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mc:AlternateContent xmlns:mc="http://schemas.openxmlformats.org/markup-compatibility/2006">
    <mc:Choice Requires="x15">
      <x15ac:absPath xmlns:x15ac="http://schemas.microsoft.com/office/spreadsheetml/2010/11/ac" url="https://intermediumsa.sharepoint.com/sites/TimeRI855/Documentos Compartilhados/General/Inter&amp;Co IR Base/Séries Históricas/1. Website Version/06. 4Q24/"/>
    </mc:Choice>
  </mc:AlternateContent>
  <xr:revisionPtr revIDLastSave="11" documentId="8_{BCC3B94E-0B8D-CF45-B155-8214C959C6C9}" xr6:coauthVersionLast="47" xr6:coauthVersionMax="47" xr10:uidLastSave="{DF4BBF82-DF2F-0744-A0AB-2352E427D618}"/>
  <bookViews>
    <workbookView xWindow="-560" yWindow="-20980" windowWidth="33600" windowHeight="18320" tabRatio="502" activeTab="1" xr2:uid="{00000000-000D-0000-FFFF-FFFF00000000}"/>
  </bookViews>
  <sheets>
    <sheet name="Names" sheetId="40" state="hidden" r:id="rId1"/>
    <sheet name="Summary | Sumário" sheetId="13" r:id="rId2"/>
    <sheet name="1. Highlights" sheetId="48" r:id="rId3"/>
    <sheet name="2. BS | BP" sheetId="20" r:id="rId4"/>
    <sheet name="3. IS | DRE" sheetId="18" r:id="rId5"/>
    <sheet name="4. Credit | Crédito" sheetId="19" r:id="rId6"/>
    <sheet name="5. Funding" sheetId="41" r:id="rId7"/>
    <sheet name="6. Fee Revenue | R. de Serviços" sheetId="35" r:id="rId8"/>
    <sheet name="7. Financial KPIs (Financeiros)" sheetId="28" r:id="rId9"/>
    <sheet name="7.1. Tier I Ratio | Basileia" sheetId="42" r:id="rId10"/>
    <sheet name="7.2. NIMs" sheetId="36" r:id="rId11"/>
    <sheet name="7.3. Efficiency | Eficiência" sheetId="37" r:id="rId12"/>
    <sheet name="7.4. CTS | Custo de servir" sheetId="38" r:id="rId13"/>
    <sheet name="7.5. ARPAC" sheetId="39" r:id="rId14"/>
    <sheet name="7.6. Cost of Risk" sheetId="51" r:id="rId15"/>
    <sheet name="1. Inter Invest" sheetId="31" r:id="rId16"/>
    <sheet name="2. Inter Seguros" sheetId="30" r:id="rId17"/>
    <sheet name="3. Inter Shop" sheetId="29" r:id="rId18"/>
    <sheet name="4. Digital Acou. | Conta Dig." sheetId="32" r:id="rId19"/>
    <sheet name="5. Oper. KPIs | KPIs Oper." sheetId="23" r:id="rId20"/>
    <sheet name="1. Market Data | Dado de Mer." sheetId="54" r:id="rId21"/>
    <sheet name="2. Simulation | Simulação" sheetId="52" r:id="rId22"/>
    <sheet name="3. Disclaimer" sheetId="46" r:id="rId23"/>
    <sheet name="4. Glossary | Glossário" sheetId="44"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9" l="1"/>
  <c r="H6" i="39"/>
  <c r="H13" i="35"/>
  <c r="E113" i="19"/>
  <c r="F113" i="19"/>
  <c r="G113" i="19"/>
  <c r="H113" i="19"/>
  <c r="D113" i="19"/>
  <c r="B12" i="30"/>
  <c r="R19" i="54"/>
  <c r="B8" i="39"/>
  <c r="A8" i="39"/>
  <c r="B28" i="19"/>
  <c r="B25" i="19"/>
  <c r="B29" i="19" l="1"/>
  <c r="B27" i="19"/>
  <c r="B26" i="19"/>
  <c r="B24" i="19"/>
  <c r="AB12" i="42"/>
  <c r="AA12" i="42"/>
  <c r="B40" i="35"/>
  <c r="B120" i="19"/>
  <c r="B32" i="18"/>
  <c r="C5" i="52" l="1"/>
  <c r="J9" i="52"/>
  <c r="K9" i="52"/>
  <c r="L9" i="52"/>
  <c r="M9" i="52"/>
  <c r="N9" i="52"/>
  <c r="O9" i="52"/>
  <c r="C3" i="52"/>
  <c r="R23" i="54"/>
  <c r="R22" i="54"/>
  <c r="W22" i="54"/>
  <c r="R21" i="54"/>
  <c r="W18" i="54"/>
  <c r="U15" i="54"/>
  <c r="U14" i="54"/>
  <c r="U13" i="54"/>
  <c r="T15" i="54"/>
  <c r="T14" i="54"/>
  <c r="T13" i="54"/>
  <c r="Q13" i="54"/>
  <c r="B15" i="54"/>
  <c r="T13" i="32" l="1"/>
  <c r="Y5" i="51" l="1"/>
  <c r="N35" i="52"/>
  <c r="Y13" i="51"/>
  <c r="H5" i="51"/>
  <c r="H13" i="51"/>
  <c r="Y25" i="39"/>
  <c r="Y26" i="39"/>
  <c r="H14" i="39"/>
  <c r="T5" i="31" l="1"/>
  <c r="Y6" i="38"/>
  <c r="Y5" i="38" s="1"/>
  <c r="Y6" i="39"/>
  <c r="Y5" i="39" s="1"/>
  <c r="H8" i="51"/>
  <c r="H16" i="51"/>
  <c r="Y20" i="39"/>
  <c r="Y19" i="39" s="1"/>
  <c r="B4" i="36"/>
  <c r="B44" i="36"/>
  <c r="B31" i="36"/>
  <c r="B77" i="19"/>
  <c r="B76" i="19"/>
  <c r="B75" i="19"/>
  <c r="B74" i="19"/>
  <c r="B73" i="19"/>
  <c r="B72" i="19"/>
  <c r="Y5" i="28" l="1"/>
  <c r="B17" i="35"/>
  <c r="B36" i="35" l="1"/>
  <c r="B35" i="35"/>
  <c r="B34" i="35"/>
  <c r="B33" i="35"/>
  <c r="B26" i="35"/>
  <c r="B22" i="35"/>
  <c r="B16" i="35"/>
  <c r="B21" i="35"/>
  <c r="F17" i="35" l="1"/>
  <c r="E17" i="35"/>
  <c r="G17" i="35"/>
  <c r="AB17" i="35"/>
  <c r="AA17" i="35"/>
  <c r="H17" i="35"/>
  <c r="B91" i="19"/>
  <c r="B90" i="19"/>
  <c r="B113" i="19"/>
  <c r="B107" i="19"/>
  <c r="B69" i="19"/>
  <c r="B57" i="19"/>
  <c r="K26" i="48"/>
  <c r="K25" i="48"/>
  <c r="K24" i="48"/>
  <c r="K21" i="48"/>
  <c r="K12" i="48"/>
  <c r="B2" i="48"/>
  <c r="H2" i="51"/>
  <c r="H2" i="39"/>
  <c r="H2" i="38"/>
  <c r="Y2" i="38"/>
  <c r="H2" i="36"/>
  <c r="H2" i="37"/>
  <c r="H2" i="42"/>
  <c r="H2" i="28"/>
  <c r="H2" i="35"/>
  <c r="H2" i="41"/>
  <c r="H2" i="19"/>
  <c r="H2" i="18"/>
  <c r="H2" i="20"/>
  <c r="Y2" i="18"/>
  <c r="U19" i="54"/>
  <c r="U20" i="54"/>
  <c r="U21" i="54"/>
  <c r="U22" i="54"/>
  <c r="U23" i="54"/>
  <c r="U18" i="54"/>
  <c r="U11" i="54"/>
  <c r="U10" i="54"/>
  <c r="U6" i="54"/>
  <c r="U5" i="54"/>
  <c r="T6" i="54"/>
  <c r="T5" i="54"/>
  <c r="T11" i="54"/>
  <c r="T10" i="54"/>
  <c r="T19" i="54"/>
  <c r="T20" i="54"/>
  <c r="T21" i="54"/>
  <c r="T22" i="54"/>
  <c r="T23" i="54"/>
  <c r="T18" i="54"/>
  <c r="R2" i="54"/>
  <c r="T2" i="23"/>
  <c r="T2" i="32"/>
  <c r="S2" i="29"/>
  <c r="T2" i="30"/>
  <c r="T2" i="31"/>
  <c r="Y2" i="51"/>
  <c r="Y2" i="39"/>
  <c r="Y2" i="37"/>
  <c r="Y2" i="36"/>
  <c r="AB21" i="42"/>
  <c r="AB22" i="42"/>
  <c r="AB20" i="42"/>
  <c r="AB19" i="42"/>
  <c r="AB18" i="42"/>
  <c r="AB15" i="42"/>
  <c r="AB16" i="42"/>
  <c r="AB14" i="42"/>
  <c r="AB6" i="42"/>
  <c r="AB7" i="42"/>
  <c r="AB8" i="42"/>
  <c r="AB9" i="42"/>
  <c r="AB10" i="42"/>
  <c r="AB11" i="42"/>
  <c r="AB5" i="42"/>
  <c r="AA21" i="42"/>
  <c r="AA22" i="42"/>
  <c r="AA20" i="42"/>
  <c r="AA19" i="42"/>
  <c r="AA18" i="42"/>
  <c r="AA15" i="42"/>
  <c r="AA16" i="42"/>
  <c r="AA14" i="42"/>
  <c r="AA6" i="42"/>
  <c r="AA7" i="42"/>
  <c r="AA8" i="42"/>
  <c r="AA9" i="42"/>
  <c r="AA10" i="42"/>
  <c r="AA11" i="42"/>
  <c r="AA5" i="42"/>
  <c r="Y2" i="42"/>
  <c r="Y2" i="28"/>
  <c r="Y2" i="35"/>
  <c r="Y2" i="41" l="1"/>
  <c r="Y2" i="19"/>
  <c r="K2" i="48"/>
  <c r="Y2" i="20"/>
  <c r="B12" i="42"/>
  <c r="B15" i="28"/>
  <c r="B13" i="28"/>
  <c r="B12" i="28"/>
  <c r="B37" i="19"/>
  <c r="B30" i="18"/>
  <c r="B29" i="18"/>
  <c r="B28" i="18"/>
  <c r="G2" i="19"/>
  <c r="F2" i="19"/>
  <c r="E2" i="19"/>
  <c r="E38" i="19"/>
  <c r="W19" i="54"/>
  <c r="P13" i="54"/>
  <c r="Q10" i="54"/>
  <c r="Q11" i="54"/>
  <c r="X5" i="28"/>
  <c r="AA5" i="28" s="1"/>
  <c r="J21" i="48"/>
  <c r="M21" i="48" s="1"/>
  <c r="N32" i="52"/>
  <c r="Q2" i="54"/>
  <c r="S2" i="23"/>
  <c r="S2" i="32"/>
  <c r="R2" i="29"/>
  <c r="S2" i="30"/>
  <c r="S2" i="31"/>
  <c r="X2" i="51"/>
  <c r="X2" i="39"/>
  <c r="X2" i="38"/>
  <c r="X2" i="37"/>
  <c r="X2" i="36"/>
  <c r="X2" i="42"/>
  <c r="X2" i="28"/>
  <c r="X2" i="35"/>
  <c r="X2" i="41"/>
  <c r="X2" i="19"/>
  <c r="X2" i="18"/>
  <c r="X2" i="20"/>
  <c r="J2" i="48"/>
  <c r="K24" i="13"/>
  <c r="B27" i="54"/>
  <c r="B26" i="54"/>
  <c r="D13" i="54"/>
  <c r="E13" i="54"/>
  <c r="F13" i="54"/>
  <c r="G13" i="54"/>
  <c r="H13" i="54"/>
  <c r="I13" i="54"/>
  <c r="J13" i="54"/>
  <c r="K13" i="54"/>
  <c r="L13" i="54"/>
  <c r="M13" i="54"/>
  <c r="N13" i="54"/>
  <c r="O13" i="54"/>
  <c r="C13" i="54"/>
  <c r="W4" i="54"/>
  <c r="W5" i="54"/>
  <c r="W6" i="54"/>
  <c r="W9" i="54"/>
  <c r="W13" i="54"/>
  <c r="W20" i="54"/>
  <c r="W21" i="54"/>
  <c r="B23" i="54"/>
  <c r="B22" i="54"/>
  <c r="B21" i="54"/>
  <c r="B20" i="54"/>
  <c r="B19" i="54"/>
  <c r="B18" i="54"/>
  <c r="B17" i="54"/>
  <c r="B14" i="54"/>
  <c r="B13" i="54"/>
  <c r="B11" i="54"/>
  <c r="B10" i="54"/>
  <c r="B9" i="54"/>
  <c r="B8" i="54"/>
  <c r="B6" i="54"/>
  <c r="B5" i="54"/>
  <c r="B4" i="54"/>
  <c r="B2" i="54"/>
  <c r="U2" i="54"/>
  <c r="T2" i="54"/>
  <c r="W2" i="23"/>
  <c r="V2" i="23"/>
  <c r="W2" i="32"/>
  <c r="V2" i="32"/>
  <c r="V2" i="29"/>
  <c r="U2" i="29"/>
  <c r="W2" i="30"/>
  <c r="V2" i="30"/>
  <c r="W2" i="31"/>
  <c r="V2" i="31"/>
  <c r="AB2" i="51"/>
  <c r="AA2" i="51"/>
  <c r="AB2" i="39"/>
  <c r="AA2" i="39"/>
  <c r="AB2" i="38"/>
  <c r="AA2" i="38"/>
  <c r="AB2" i="37"/>
  <c r="AA2" i="37"/>
  <c r="AB2" i="36"/>
  <c r="AA2" i="36"/>
  <c r="AB2" i="42"/>
  <c r="AA2" i="42"/>
  <c r="AB2" i="28"/>
  <c r="AA2" i="28"/>
  <c r="AB2" i="35"/>
  <c r="AA2" i="35"/>
  <c r="AB2" i="41"/>
  <c r="AA2" i="41"/>
  <c r="AB2" i="18"/>
  <c r="AB2" i="19"/>
  <c r="AA2" i="19"/>
  <c r="AB2" i="20"/>
  <c r="AA2" i="18"/>
  <c r="AA2" i="20"/>
  <c r="M2" i="48"/>
  <c r="N2" i="48"/>
  <c r="P2" i="54"/>
  <c r="O2" i="54"/>
  <c r="N2" i="54"/>
  <c r="M2" i="54"/>
  <c r="L2" i="54"/>
  <c r="K2" i="54"/>
  <c r="J2" i="54"/>
  <c r="I2" i="54"/>
  <c r="H2" i="54"/>
  <c r="G2" i="54"/>
  <c r="F2" i="54"/>
  <c r="E2" i="54"/>
  <c r="D2" i="54"/>
  <c r="C2" i="54"/>
  <c r="B35" i="48"/>
  <c r="W5" i="28"/>
  <c r="I21" i="48"/>
  <c r="I22" i="52"/>
  <c r="R2" i="23"/>
  <c r="R2" i="32"/>
  <c r="Q2" i="29"/>
  <c r="R2" i="30"/>
  <c r="R2" i="31"/>
  <c r="W2" i="51"/>
  <c r="W2" i="39"/>
  <c r="X15" i="39" s="1"/>
  <c r="W2" i="38"/>
  <c r="W2" i="37"/>
  <c r="W2" i="36"/>
  <c r="W2" i="42"/>
  <c r="V5" i="28"/>
  <c r="U5" i="28"/>
  <c r="AB5" i="28" s="1"/>
  <c r="W2" i="28"/>
  <c r="W2" i="35"/>
  <c r="W2" i="41"/>
  <c r="W2" i="18"/>
  <c r="V2" i="18"/>
  <c r="U2" i="18"/>
  <c r="W2" i="20"/>
  <c r="I2" i="48"/>
  <c r="W2" i="19"/>
  <c r="V2" i="39"/>
  <c r="H21" i="48"/>
  <c r="B9" i="35"/>
  <c r="B7" i="35"/>
  <c r="B6" i="35"/>
  <c r="Q2" i="23"/>
  <c r="Q2" i="32"/>
  <c r="P2" i="29"/>
  <c r="Q2" i="30"/>
  <c r="Q2" i="31"/>
  <c r="V2" i="51"/>
  <c r="V2" i="38"/>
  <c r="V2" i="37"/>
  <c r="V33" i="37" s="1"/>
  <c r="V2" i="36"/>
  <c r="V2" i="42"/>
  <c r="V2" i="28"/>
  <c r="V2" i="35"/>
  <c r="V2" i="41"/>
  <c r="V2" i="19"/>
  <c r="V2" i="20"/>
  <c r="V91" i="19" s="1"/>
  <c r="H2" i="48"/>
  <c r="T16" i="28"/>
  <c r="B54" i="36"/>
  <c r="B53" i="36"/>
  <c r="B52" i="36"/>
  <c r="B51" i="36"/>
  <c r="B50" i="36"/>
  <c r="B49" i="36"/>
  <c r="B48" i="36"/>
  <c r="B47" i="36"/>
  <c r="B46" i="36"/>
  <c r="B45" i="36"/>
  <c r="B43" i="36"/>
  <c r="B42" i="36"/>
  <c r="B41" i="36"/>
  <c r="B39" i="36"/>
  <c r="B38" i="36"/>
  <c r="B37" i="36"/>
  <c r="B36" i="36"/>
  <c r="B35" i="36"/>
  <c r="B34" i="36"/>
  <c r="B33" i="36"/>
  <c r="B32" i="36"/>
  <c r="B30" i="36"/>
  <c r="B29" i="36"/>
  <c r="B28" i="36"/>
  <c r="B117" i="19"/>
  <c r="B116" i="19"/>
  <c r="B115" i="19"/>
  <c r="G21" i="48"/>
  <c r="N21" i="48" s="1"/>
  <c r="M32" i="52"/>
  <c r="E9" i="52"/>
  <c r="P2" i="23"/>
  <c r="P2" i="32"/>
  <c r="O2" i="29"/>
  <c r="P2" i="30"/>
  <c r="P2" i="31"/>
  <c r="W6" i="31" s="1"/>
  <c r="G2" i="51"/>
  <c r="U2" i="51"/>
  <c r="AB16" i="51" s="1"/>
  <c r="G2" i="39"/>
  <c r="U2" i="39"/>
  <c r="G2" i="38"/>
  <c r="U2" i="38"/>
  <c r="AB12" i="38" s="1"/>
  <c r="G2" i="37"/>
  <c r="U2" i="37"/>
  <c r="G2" i="36"/>
  <c r="U2" i="36"/>
  <c r="U2" i="42"/>
  <c r="G2" i="42"/>
  <c r="G22" i="42"/>
  <c r="G21" i="42"/>
  <c r="G20" i="42"/>
  <c r="G19" i="42"/>
  <c r="G18" i="42"/>
  <c r="G16" i="42"/>
  <c r="G15" i="42"/>
  <c r="G14" i="42"/>
  <c r="G11" i="42"/>
  <c r="G10" i="42"/>
  <c r="G9" i="42"/>
  <c r="G8" i="42"/>
  <c r="G7" i="42"/>
  <c r="G6" i="42"/>
  <c r="G5" i="42"/>
  <c r="G5" i="28"/>
  <c r="G2" i="28"/>
  <c r="U2" i="28"/>
  <c r="G2" i="35"/>
  <c r="U2" i="35"/>
  <c r="G2" i="41"/>
  <c r="G18" i="41" s="1"/>
  <c r="U2" i="41"/>
  <c r="G2" i="18"/>
  <c r="G2" i="20"/>
  <c r="F2" i="20"/>
  <c r="U2" i="20"/>
  <c r="G2" i="48"/>
  <c r="U2" i="19"/>
  <c r="C18" i="52"/>
  <c r="C13" i="52"/>
  <c r="T5" i="28"/>
  <c r="S5" i="28"/>
  <c r="H5" i="28" s="1"/>
  <c r="E5" i="28"/>
  <c r="F5" i="28"/>
  <c r="B38" i="35"/>
  <c r="B17" i="41"/>
  <c r="B23" i="41"/>
  <c r="B25" i="41"/>
  <c r="B25" i="48"/>
  <c r="B104" i="19"/>
  <c r="B87" i="19"/>
  <c r="B9" i="30"/>
  <c r="B85" i="19"/>
  <c r="B112" i="19"/>
  <c r="F21" i="48"/>
  <c r="D86" i="19"/>
  <c r="J86" i="19"/>
  <c r="K86" i="19"/>
  <c r="L86" i="19"/>
  <c r="M86" i="19"/>
  <c r="E86" i="19" s="1"/>
  <c r="C86" i="19"/>
  <c r="B80" i="19"/>
  <c r="B88" i="19"/>
  <c r="B86" i="19"/>
  <c r="B84" i="19"/>
  <c r="B83" i="19"/>
  <c r="B82" i="19"/>
  <c r="B81" i="19"/>
  <c r="B79" i="19"/>
  <c r="B102" i="19"/>
  <c r="B10" i="51"/>
  <c r="B9" i="51"/>
  <c r="B8" i="51"/>
  <c r="L35" i="52" s="1"/>
  <c r="B7" i="51"/>
  <c r="B6" i="51"/>
  <c r="B5" i="51"/>
  <c r="B4" i="51"/>
  <c r="B52" i="19"/>
  <c r="B53" i="19"/>
  <c r="B54" i="19"/>
  <c r="B55" i="19"/>
  <c r="B56" i="19"/>
  <c r="B59" i="19"/>
  <c r="B60" i="19"/>
  <c r="B61" i="19"/>
  <c r="B111" i="19"/>
  <c r="B110" i="19"/>
  <c r="B109" i="19"/>
  <c r="B108" i="19"/>
  <c r="B106" i="19"/>
  <c r="B103" i="19"/>
  <c r="B101" i="19"/>
  <c r="B100" i="19"/>
  <c r="B99" i="19"/>
  <c r="B98" i="19"/>
  <c r="B97" i="19"/>
  <c r="B96" i="19"/>
  <c r="B95" i="19"/>
  <c r="B94" i="19"/>
  <c r="B93" i="19"/>
  <c r="B67" i="19"/>
  <c r="B68" i="19"/>
  <c r="B64" i="19"/>
  <c r="B65" i="19"/>
  <c r="B66" i="19"/>
  <c r="B62" i="19"/>
  <c r="B63" i="19"/>
  <c r="B58" i="19"/>
  <c r="O2" i="23"/>
  <c r="O2" i="32"/>
  <c r="N2" i="29"/>
  <c r="O2" i="30"/>
  <c r="O2" i="31"/>
  <c r="T2" i="51"/>
  <c r="T13" i="51" s="1"/>
  <c r="T2" i="39"/>
  <c r="T2" i="38"/>
  <c r="T2" i="37"/>
  <c r="T2" i="36"/>
  <c r="T2" i="42"/>
  <c r="T2" i="28"/>
  <c r="T2" i="35"/>
  <c r="B36" i="41"/>
  <c r="B27" i="41"/>
  <c r="B24" i="41"/>
  <c r="B22" i="41"/>
  <c r="B21" i="41"/>
  <c r="B20" i="41"/>
  <c r="B19" i="41"/>
  <c r="B18" i="41"/>
  <c r="V18" i="41"/>
  <c r="B9" i="41"/>
  <c r="B14" i="41"/>
  <c r="B13" i="41"/>
  <c r="F13" i="41" s="1"/>
  <c r="B12" i="41"/>
  <c r="B11" i="41"/>
  <c r="B10" i="41"/>
  <c r="B15" i="41"/>
  <c r="B8" i="41"/>
  <c r="B7" i="41"/>
  <c r="B6" i="41"/>
  <c r="B5" i="41"/>
  <c r="B4" i="41"/>
  <c r="B46" i="41"/>
  <c r="T2" i="41"/>
  <c r="T2" i="19"/>
  <c r="T2" i="18"/>
  <c r="T2" i="20"/>
  <c r="F2" i="48"/>
  <c r="B28" i="37"/>
  <c r="B26" i="37"/>
  <c r="B27" i="37"/>
  <c r="B13" i="48"/>
  <c r="B38" i="48"/>
  <c r="B37" i="48"/>
  <c r="B36" i="48"/>
  <c r="B34" i="48"/>
  <c r="B33" i="48"/>
  <c r="B31" i="48"/>
  <c r="B30" i="48"/>
  <c r="B29" i="48"/>
  <c r="B28" i="48"/>
  <c r="B26" i="48"/>
  <c r="B24" i="48"/>
  <c r="B23" i="48"/>
  <c r="B21" i="48"/>
  <c r="B20" i="48"/>
  <c r="B19" i="48"/>
  <c r="B18" i="48"/>
  <c r="B17" i="48"/>
  <c r="B15" i="48"/>
  <c r="B14" i="48"/>
  <c r="B12" i="48"/>
  <c r="B11" i="48"/>
  <c r="B9" i="48"/>
  <c r="B8" i="48"/>
  <c r="B7" i="48"/>
  <c r="B6" i="48"/>
  <c r="B5" i="48"/>
  <c r="B4" i="48"/>
  <c r="E2" i="48"/>
  <c r="D2" i="48"/>
  <c r="C2" i="48"/>
  <c r="B32" i="37"/>
  <c r="B33" i="37"/>
  <c r="B34" i="37"/>
  <c r="B29" i="37"/>
  <c r="B31" i="37"/>
  <c r="B25" i="37"/>
  <c r="B23" i="37"/>
  <c r="B17" i="37"/>
  <c r="B18" i="37"/>
  <c r="B20" i="37"/>
  <c r="B21" i="37"/>
  <c r="B22" i="37"/>
  <c r="B16" i="37"/>
  <c r="K18" i="13"/>
  <c r="I35" i="52"/>
  <c r="D9" i="52"/>
  <c r="B13" i="38"/>
  <c r="B10" i="37"/>
  <c r="C47" i="52"/>
  <c r="T9" i="52"/>
  <c r="T32" i="52"/>
  <c r="S9" i="52"/>
  <c r="S32" i="52"/>
  <c r="R9" i="52"/>
  <c r="R32" i="52"/>
  <c r="Q9" i="52"/>
  <c r="Q32" i="52" s="1"/>
  <c r="Q8" i="52"/>
  <c r="Q31" i="52"/>
  <c r="I33" i="52"/>
  <c r="I34" i="52"/>
  <c r="I36" i="52"/>
  <c r="I37" i="52"/>
  <c r="I39" i="52"/>
  <c r="I40" i="52"/>
  <c r="I41" i="52"/>
  <c r="I42" i="52"/>
  <c r="I43" i="52"/>
  <c r="I32" i="52"/>
  <c r="I12" i="52"/>
  <c r="I14" i="52"/>
  <c r="I15" i="52"/>
  <c r="I17" i="52"/>
  <c r="I18" i="52"/>
  <c r="I20" i="52"/>
  <c r="I21" i="52"/>
  <c r="I23" i="52"/>
  <c r="I25" i="52"/>
  <c r="I26" i="52"/>
  <c r="I10" i="52"/>
  <c r="I11" i="52"/>
  <c r="I9" i="52"/>
  <c r="E24" i="52"/>
  <c r="D24" i="52"/>
  <c r="C24" i="52"/>
  <c r="C25" i="52"/>
  <c r="C26" i="52"/>
  <c r="C27" i="52"/>
  <c r="C9" i="52"/>
  <c r="C10" i="52"/>
  <c r="C11" i="52"/>
  <c r="C12" i="52"/>
  <c r="C14" i="52"/>
  <c r="C15" i="52"/>
  <c r="C16" i="52"/>
  <c r="C17" i="52"/>
  <c r="C19" i="52"/>
  <c r="J32" i="52"/>
  <c r="O32" i="52"/>
  <c r="L32" i="52"/>
  <c r="K32" i="52"/>
  <c r="H10" i="13"/>
  <c r="K28" i="13"/>
  <c r="K30" i="13"/>
  <c r="K26" i="13"/>
  <c r="BI2" i="40"/>
  <c r="BI1" i="40"/>
  <c r="BG1" i="40"/>
  <c r="BG2" i="40"/>
  <c r="C21" i="48"/>
  <c r="D21" i="48"/>
  <c r="E21" i="48"/>
  <c r="B26" i="39"/>
  <c r="B12" i="39"/>
  <c r="V26" i="39"/>
  <c r="B20" i="51"/>
  <c r="B48" i="19"/>
  <c r="H34" i="13"/>
  <c r="B18" i="51"/>
  <c r="B17" i="51"/>
  <c r="B16" i="51"/>
  <c r="B15" i="51"/>
  <c r="B14" i="51"/>
  <c r="B13" i="51"/>
  <c r="B12" i="51"/>
  <c r="B2" i="51"/>
  <c r="B14" i="18"/>
  <c r="S2" i="51"/>
  <c r="R2" i="51"/>
  <c r="S17" i="51" s="1"/>
  <c r="Q2" i="51"/>
  <c r="P2" i="51"/>
  <c r="O2" i="51"/>
  <c r="N2" i="51"/>
  <c r="M2" i="51"/>
  <c r="M13" i="51" s="1"/>
  <c r="L2" i="51"/>
  <c r="M17" i="51" s="1"/>
  <c r="K2" i="51"/>
  <c r="J2" i="51"/>
  <c r="F2" i="51"/>
  <c r="E2" i="51"/>
  <c r="D2" i="51"/>
  <c r="J17" i="51"/>
  <c r="C2" i="51"/>
  <c r="B16" i="28"/>
  <c r="B20" i="39"/>
  <c r="B22" i="39"/>
  <c r="B8" i="38"/>
  <c r="B7" i="37"/>
  <c r="B12" i="18"/>
  <c r="I13" i="48" s="1"/>
  <c r="B21" i="18"/>
  <c r="B25" i="18"/>
  <c r="B15" i="18"/>
  <c r="B6" i="18"/>
  <c r="B11" i="18"/>
  <c r="B2" i="30"/>
  <c r="N2" i="23"/>
  <c r="N2" i="32"/>
  <c r="M2" i="29"/>
  <c r="N2" i="30"/>
  <c r="N2" i="31"/>
  <c r="S2" i="39"/>
  <c r="S2" i="38"/>
  <c r="S2" i="37"/>
  <c r="S2" i="36"/>
  <c r="S2" i="42"/>
  <c r="S2" i="28"/>
  <c r="R2" i="28"/>
  <c r="S2" i="35"/>
  <c r="S2" i="41"/>
  <c r="S2" i="19"/>
  <c r="S2" i="18"/>
  <c r="S2" i="20"/>
  <c r="R2" i="20"/>
  <c r="F6" i="13"/>
  <c r="H12" i="13"/>
  <c r="B4" i="23"/>
  <c r="B4" i="29"/>
  <c r="B4" i="30"/>
  <c r="B4" i="31"/>
  <c r="B11" i="31"/>
  <c r="B10" i="31"/>
  <c r="B9" i="31"/>
  <c r="B8" i="31"/>
  <c r="B7" i="31"/>
  <c r="V7" i="31" s="1"/>
  <c r="B6" i="31"/>
  <c r="B5" i="31"/>
  <c r="B2" i="31"/>
  <c r="B4" i="28"/>
  <c r="W9" i="31"/>
  <c r="B10" i="30"/>
  <c r="V10" i="30" s="1"/>
  <c r="B8" i="30"/>
  <c r="W8" i="30" s="1"/>
  <c r="B7" i="30"/>
  <c r="B6" i="30"/>
  <c r="B5" i="30"/>
  <c r="V5" i="30" s="1"/>
  <c r="B14" i="37"/>
  <c r="B13" i="37"/>
  <c r="B12" i="37"/>
  <c r="J21" i="37" s="1"/>
  <c r="B11" i="37"/>
  <c r="V20" i="37" s="1"/>
  <c r="B9" i="37"/>
  <c r="B8" i="37"/>
  <c r="B6" i="37"/>
  <c r="B5" i="37"/>
  <c r="B4" i="37"/>
  <c r="B2" i="37"/>
  <c r="B26" i="18"/>
  <c r="B23" i="18"/>
  <c r="B22" i="18"/>
  <c r="B20" i="18"/>
  <c r="B19" i="18"/>
  <c r="B18" i="18"/>
  <c r="B17" i="18"/>
  <c r="B10" i="18"/>
  <c r="B9" i="18"/>
  <c r="B7" i="18"/>
  <c r="B5" i="18"/>
  <c r="B4" i="18"/>
  <c r="B2" i="18"/>
  <c r="B11" i="23"/>
  <c r="B10" i="23"/>
  <c r="B9" i="23"/>
  <c r="B8" i="23"/>
  <c r="B7" i="23"/>
  <c r="B6" i="23"/>
  <c r="K5" i="48" s="1"/>
  <c r="B5" i="23"/>
  <c r="B2" i="23"/>
  <c r="B13" i="32"/>
  <c r="B12" i="32"/>
  <c r="V12" i="32"/>
  <c r="B11" i="32"/>
  <c r="B10" i="32"/>
  <c r="V10" i="32"/>
  <c r="B9" i="32"/>
  <c r="B7" i="32"/>
  <c r="V7" i="32"/>
  <c r="B6" i="32"/>
  <c r="B5" i="32"/>
  <c r="V5" i="32"/>
  <c r="B4" i="32"/>
  <c r="B2" i="32"/>
  <c r="M2" i="32"/>
  <c r="L2" i="32"/>
  <c r="K2" i="32"/>
  <c r="J2" i="32"/>
  <c r="I2" i="32"/>
  <c r="H2" i="32"/>
  <c r="G2" i="32"/>
  <c r="F2" i="32"/>
  <c r="E2" i="32"/>
  <c r="D2" i="32"/>
  <c r="C2" i="32"/>
  <c r="L2" i="29"/>
  <c r="K2" i="29"/>
  <c r="J2" i="29"/>
  <c r="I2" i="29"/>
  <c r="H2" i="29"/>
  <c r="G2" i="29"/>
  <c r="F2" i="29"/>
  <c r="E2" i="29"/>
  <c r="D2" i="29"/>
  <c r="C2" i="29"/>
  <c r="B11" i="29"/>
  <c r="B10" i="29"/>
  <c r="B9" i="29"/>
  <c r="B8" i="29"/>
  <c r="B7" i="29"/>
  <c r="B6" i="29"/>
  <c r="B5" i="29"/>
  <c r="U5" i="29" s="1"/>
  <c r="B2" i="29"/>
  <c r="M2" i="23"/>
  <c r="L2" i="23"/>
  <c r="K2" i="23"/>
  <c r="J2" i="23"/>
  <c r="I2" i="23"/>
  <c r="H2" i="23"/>
  <c r="G2" i="23"/>
  <c r="F2" i="23"/>
  <c r="E2" i="23"/>
  <c r="D2" i="23"/>
  <c r="C2" i="23"/>
  <c r="M2" i="30"/>
  <c r="L2" i="30"/>
  <c r="K2" i="30"/>
  <c r="J2" i="30"/>
  <c r="I2" i="30"/>
  <c r="H2" i="30"/>
  <c r="G2" i="30"/>
  <c r="F2" i="30"/>
  <c r="E2" i="30"/>
  <c r="D2" i="30"/>
  <c r="C2" i="30"/>
  <c r="M2" i="31"/>
  <c r="L2" i="31"/>
  <c r="K2" i="31"/>
  <c r="J2" i="31"/>
  <c r="I2" i="31"/>
  <c r="H2" i="31"/>
  <c r="G2" i="31"/>
  <c r="F2" i="31"/>
  <c r="E2" i="31"/>
  <c r="D2" i="31"/>
  <c r="C2" i="31"/>
  <c r="B31" i="39"/>
  <c r="B30" i="39"/>
  <c r="B29" i="39"/>
  <c r="B28" i="39"/>
  <c r="B27" i="39"/>
  <c r="B25" i="39"/>
  <c r="B24" i="39"/>
  <c r="B23" i="39"/>
  <c r="B21" i="39"/>
  <c r="B19" i="39"/>
  <c r="B18" i="39"/>
  <c r="B16" i="39"/>
  <c r="B15" i="39"/>
  <c r="B14" i="39"/>
  <c r="B13" i="39"/>
  <c r="B11" i="39"/>
  <c r="H25" i="39" s="1"/>
  <c r="B10" i="39"/>
  <c r="B9" i="39"/>
  <c r="B7" i="39"/>
  <c r="B6" i="39"/>
  <c r="B5" i="39"/>
  <c r="B4" i="39"/>
  <c r="B2" i="39"/>
  <c r="R2" i="39"/>
  <c r="Q2" i="39"/>
  <c r="Q26" i="39" s="1"/>
  <c r="P2" i="39"/>
  <c r="O2" i="39"/>
  <c r="N2" i="39"/>
  <c r="M2" i="39"/>
  <c r="N30" i="39" s="1"/>
  <c r="L2" i="39"/>
  <c r="L26" i="39" s="1"/>
  <c r="K2" i="39"/>
  <c r="J2" i="39"/>
  <c r="F2" i="39"/>
  <c r="F26" i="39" s="1"/>
  <c r="E2" i="39"/>
  <c r="D2" i="39"/>
  <c r="C2" i="39"/>
  <c r="R2" i="38"/>
  <c r="Q2" i="38"/>
  <c r="P2" i="38"/>
  <c r="Q13" i="38" s="1"/>
  <c r="O2" i="38"/>
  <c r="N2" i="38"/>
  <c r="M2" i="38"/>
  <c r="L2" i="38"/>
  <c r="K2" i="38"/>
  <c r="J2" i="38"/>
  <c r="F2" i="38"/>
  <c r="E2" i="38"/>
  <c r="D2" i="38"/>
  <c r="C2" i="38"/>
  <c r="R2" i="37"/>
  <c r="Q2" i="37"/>
  <c r="P2" i="37"/>
  <c r="O2" i="37"/>
  <c r="N2" i="37"/>
  <c r="N19" i="37" s="1"/>
  <c r="M2" i="37"/>
  <c r="M19" i="37" s="1"/>
  <c r="L2" i="37"/>
  <c r="K2" i="37"/>
  <c r="J2" i="37"/>
  <c r="F2" i="37"/>
  <c r="E2" i="37"/>
  <c r="D2" i="37"/>
  <c r="D19" i="37" s="1"/>
  <c r="C2" i="37"/>
  <c r="C19" i="37" s="1"/>
  <c r="B14" i="38"/>
  <c r="B12" i="38"/>
  <c r="B11" i="38"/>
  <c r="B10" i="38"/>
  <c r="B9" i="38"/>
  <c r="B7" i="38"/>
  <c r="B6" i="38"/>
  <c r="B5" i="38"/>
  <c r="B4" i="38"/>
  <c r="B2" i="38"/>
  <c r="B26" i="36"/>
  <c r="B25" i="36"/>
  <c r="B24" i="36"/>
  <c r="B23" i="36"/>
  <c r="B22" i="36"/>
  <c r="B21" i="36"/>
  <c r="B20" i="36"/>
  <c r="B19" i="36"/>
  <c r="B18" i="36"/>
  <c r="B17" i="36"/>
  <c r="B16" i="36"/>
  <c r="B15" i="36"/>
  <c r="B13" i="36"/>
  <c r="B6" i="28" s="1"/>
  <c r="B12" i="36"/>
  <c r="B11" i="36"/>
  <c r="B10" i="36"/>
  <c r="B9" i="36"/>
  <c r="B8" i="36"/>
  <c r="B7" i="36"/>
  <c r="B6" i="36"/>
  <c r="B5" i="36"/>
  <c r="B2" i="36"/>
  <c r="R2" i="36"/>
  <c r="Q2" i="36"/>
  <c r="P2" i="36"/>
  <c r="O2" i="36"/>
  <c r="N2" i="36"/>
  <c r="M2" i="36"/>
  <c r="L2" i="36"/>
  <c r="K2" i="36"/>
  <c r="J2" i="36"/>
  <c r="F2" i="36"/>
  <c r="E2" i="36"/>
  <c r="D2" i="36"/>
  <c r="C2" i="36"/>
  <c r="B22" i="42"/>
  <c r="B21" i="42"/>
  <c r="B20" i="42"/>
  <c r="B19" i="42"/>
  <c r="B18" i="42"/>
  <c r="B17" i="42"/>
  <c r="B16" i="42"/>
  <c r="B15" i="42"/>
  <c r="B14" i="42"/>
  <c r="B13" i="42"/>
  <c r="B11" i="42"/>
  <c r="B10" i="42"/>
  <c r="B9" i="42"/>
  <c r="B8" i="42"/>
  <c r="B7" i="42"/>
  <c r="B6" i="42"/>
  <c r="B5" i="42"/>
  <c r="B4" i="42"/>
  <c r="B2" i="42"/>
  <c r="R2" i="42"/>
  <c r="Q2" i="42"/>
  <c r="P2" i="42"/>
  <c r="O2" i="42"/>
  <c r="N2" i="42"/>
  <c r="M2" i="42"/>
  <c r="L2" i="42"/>
  <c r="K2" i="42"/>
  <c r="J2" i="42"/>
  <c r="F2" i="42"/>
  <c r="E2" i="42"/>
  <c r="D2" i="42"/>
  <c r="C2" i="42"/>
  <c r="B14" i="28"/>
  <c r="B11" i="28"/>
  <c r="B10" i="28"/>
  <c r="B9" i="28"/>
  <c r="B8" i="28"/>
  <c r="B7" i="28"/>
  <c r="B5" i="28"/>
  <c r="B2" i="28"/>
  <c r="Q2" i="28"/>
  <c r="P2" i="28"/>
  <c r="O2" i="28"/>
  <c r="N2" i="28"/>
  <c r="M2" i="28"/>
  <c r="L2" i="28"/>
  <c r="K2" i="28"/>
  <c r="J2" i="28"/>
  <c r="F2" i="28"/>
  <c r="E2" i="28"/>
  <c r="D2" i="28"/>
  <c r="C2" i="28"/>
  <c r="B37" i="35"/>
  <c r="B32" i="35"/>
  <c r="B31" i="35"/>
  <c r="B30" i="35"/>
  <c r="B29" i="35"/>
  <c r="B27" i="35"/>
  <c r="B25" i="35"/>
  <c r="B24" i="35"/>
  <c r="B20" i="35"/>
  <c r="B19" i="35"/>
  <c r="B18" i="35"/>
  <c r="B15" i="35"/>
  <c r="B13" i="35"/>
  <c r="B12" i="35"/>
  <c r="B11" i="35"/>
  <c r="B10" i="35"/>
  <c r="B8" i="35"/>
  <c r="B5" i="35"/>
  <c r="B4" i="35"/>
  <c r="B2" i="35"/>
  <c r="R2" i="35"/>
  <c r="Q2" i="35"/>
  <c r="P2" i="35"/>
  <c r="O2" i="35"/>
  <c r="N2" i="35"/>
  <c r="M2" i="35"/>
  <c r="L2" i="35"/>
  <c r="K2" i="35"/>
  <c r="J2" i="35"/>
  <c r="F2" i="35"/>
  <c r="E2" i="35"/>
  <c r="D2" i="35"/>
  <c r="C2" i="35"/>
  <c r="B44" i="41"/>
  <c r="B43" i="41"/>
  <c r="B42" i="41"/>
  <c r="B41" i="41"/>
  <c r="B40" i="41"/>
  <c r="B39" i="41"/>
  <c r="B38" i="41"/>
  <c r="M37" i="41" s="1"/>
  <c r="B37" i="41"/>
  <c r="B34" i="41"/>
  <c r="B33" i="41"/>
  <c r="H33" i="41" s="1"/>
  <c r="B32" i="41"/>
  <c r="B31" i="41"/>
  <c r="B30" i="41"/>
  <c r="B29" i="41"/>
  <c r="B28" i="41"/>
  <c r="B2" i="41"/>
  <c r="R2" i="41"/>
  <c r="Q2" i="41"/>
  <c r="P2" i="41"/>
  <c r="O2" i="41"/>
  <c r="O18" i="41" s="1"/>
  <c r="N2" i="41"/>
  <c r="M2" i="41"/>
  <c r="L2" i="41"/>
  <c r="K2" i="41"/>
  <c r="J2" i="41"/>
  <c r="F2" i="41"/>
  <c r="E2" i="41"/>
  <c r="E18" i="41" s="1"/>
  <c r="D2" i="41"/>
  <c r="C2" i="41"/>
  <c r="B70" i="19"/>
  <c r="B51" i="19"/>
  <c r="B50" i="19"/>
  <c r="B49" i="19"/>
  <c r="B47" i="19"/>
  <c r="B46" i="19"/>
  <c r="B45" i="19"/>
  <c r="B44" i="19"/>
  <c r="Y96" i="19" s="1"/>
  <c r="B43" i="19"/>
  <c r="B42" i="19"/>
  <c r="B41" i="19"/>
  <c r="B39" i="19"/>
  <c r="B38" i="19"/>
  <c r="B36" i="19"/>
  <c r="B34" i="19"/>
  <c r="B33" i="19"/>
  <c r="B32" i="19"/>
  <c r="B31" i="19"/>
  <c r="B22" i="19"/>
  <c r="B21" i="19"/>
  <c r="B20" i="19"/>
  <c r="B19" i="19"/>
  <c r="B17" i="19"/>
  <c r="B16" i="19"/>
  <c r="B15" i="19"/>
  <c r="B14" i="19"/>
  <c r="B12" i="19"/>
  <c r="B11" i="19"/>
  <c r="B10" i="19"/>
  <c r="B9" i="19"/>
  <c r="B8" i="19"/>
  <c r="B7" i="19"/>
  <c r="B6" i="19"/>
  <c r="B5" i="19"/>
  <c r="B4" i="19"/>
  <c r="B2" i="19"/>
  <c r="Q2" i="19"/>
  <c r="F27" i="19" s="1"/>
  <c r="R2" i="19"/>
  <c r="P2" i="19"/>
  <c r="O2" i="19"/>
  <c r="N2" i="19"/>
  <c r="M2" i="19"/>
  <c r="L2" i="19"/>
  <c r="K2" i="19"/>
  <c r="J2" i="19"/>
  <c r="D2" i="19"/>
  <c r="C2" i="19"/>
  <c r="R2" i="18"/>
  <c r="Q2" i="18"/>
  <c r="P2" i="18"/>
  <c r="O2" i="18"/>
  <c r="N2" i="18"/>
  <c r="M2" i="18"/>
  <c r="L2" i="18"/>
  <c r="K2" i="18"/>
  <c r="J2" i="18"/>
  <c r="F2" i="18"/>
  <c r="E2" i="18"/>
  <c r="D2" i="18"/>
  <c r="C2" i="18"/>
  <c r="B41" i="20"/>
  <c r="B40" i="20"/>
  <c r="B38" i="20"/>
  <c r="B37" i="20"/>
  <c r="B36" i="20"/>
  <c r="B35" i="20"/>
  <c r="B34" i="20"/>
  <c r="B33" i="20"/>
  <c r="B32" i="20"/>
  <c r="B31" i="20"/>
  <c r="B29" i="20"/>
  <c r="B28" i="20"/>
  <c r="H28" i="20" s="1"/>
  <c r="B27" i="20"/>
  <c r="B26" i="20"/>
  <c r="H26" i="20" s="1"/>
  <c r="B25" i="20"/>
  <c r="B24" i="20"/>
  <c r="B23" i="20"/>
  <c r="B22" i="20"/>
  <c r="H22" i="20" s="1"/>
  <c r="B21" i="20"/>
  <c r="H21" i="20" s="1"/>
  <c r="B20" i="20"/>
  <c r="B19" i="20"/>
  <c r="B17" i="20"/>
  <c r="B16" i="20"/>
  <c r="H16" i="20" s="1"/>
  <c r="B15" i="20"/>
  <c r="H15" i="20" s="1"/>
  <c r="B14" i="20"/>
  <c r="B13" i="20"/>
  <c r="B12" i="20"/>
  <c r="H12" i="20" s="1"/>
  <c r="B11" i="20"/>
  <c r="B10" i="20"/>
  <c r="H10" i="20" s="1"/>
  <c r="B9" i="20"/>
  <c r="H9" i="20" s="1"/>
  <c r="B8" i="20"/>
  <c r="B7" i="20"/>
  <c r="F7" i="20" s="1"/>
  <c r="B6" i="20"/>
  <c r="F6" i="20" s="1"/>
  <c r="B5" i="20"/>
  <c r="H5" i="20" s="1"/>
  <c r="B4" i="20"/>
  <c r="B2" i="20"/>
  <c r="Q2" i="20"/>
  <c r="P2" i="20"/>
  <c r="O2" i="20"/>
  <c r="N2" i="20"/>
  <c r="M2" i="20"/>
  <c r="L2" i="20"/>
  <c r="K2" i="20"/>
  <c r="K91" i="19" s="1"/>
  <c r="J2" i="20"/>
  <c r="E2" i="20"/>
  <c r="D2" i="20"/>
  <c r="C2" i="20"/>
  <c r="F9" i="48"/>
  <c r="C9" i="48"/>
  <c r="I9" i="48"/>
  <c r="E9" i="48"/>
  <c r="D9" i="48"/>
  <c r="I5" i="48"/>
  <c r="H5" i="48"/>
  <c r="D5" i="48"/>
  <c r="F6" i="48"/>
  <c r="D6" i="48"/>
  <c r="C6" i="48"/>
  <c r="W11" i="32"/>
  <c r="W12" i="32"/>
  <c r="W5" i="32"/>
  <c r="W6" i="32"/>
  <c r="D25" i="48"/>
  <c r="H25" i="48"/>
  <c r="I25" i="48"/>
  <c r="V8" i="29"/>
  <c r="V9" i="29"/>
  <c r="W5" i="30"/>
  <c r="W10" i="30"/>
  <c r="R30" i="39"/>
  <c r="J30" i="39"/>
  <c r="T30" i="39"/>
  <c r="C28" i="39"/>
  <c r="M30" i="39"/>
  <c r="D25" i="39"/>
  <c r="C25" i="39"/>
  <c r="S15" i="39"/>
  <c r="N15" i="39"/>
  <c r="F15" i="39"/>
  <c r="AB14" i="39"/>
  <c r="Q15" i="39"/>
  <c r="M26" i="39"/>
  <c r="C26" i="39"/>
  <c r="D26" i="39"/>
  <c r="E26" i="39"/>
  <c r="P26" i="39"/>
  <c r="AB10" i="39"/>
  <c r="T13" i="38"/>
  <c r="R13" i="38"/>
  <c r="AB7" i="38"/>
  <c r="S22" i="37"/>
  <c r="R22" i="37"/>
  <c r="E19" i="37"/>
  <c r="G32" i="41"/>
  <c r="F18" i="41"/>
  <c r="F10" i="41"/>
  <c r="F9" i="41"/>
  <c r="K18" i="41"/>
  <c r="L18" i="41"/>
  <c r="E28" i="41"/>
  <c r="C37" i="41"/>
  <c r="K37" i="41"/>
  <c r="Q37" i="41"/>
  <c r="R37" i="41"/>
  <c r="G37" i="41"/>
  <c r="N37" i="41"/>
  <c r="F37" i="41"/>
  <c r="E37" i="41"/>
  <c r="W37" i="41"/>
  <c r="F29" i="41"/>
  <c r="E29" i="41"/>
  <c r="F30" i="41"/>
  <c r="R18" i="41"/>
  <c r="E6" i="41"/>
  <c r="E8" i="41"/>
  <c r="E12" i="41"/>
  <c r="E7" i="41"/>
  <c r="N18" i="41"/>
  <c r="D18" i="41"/>
  <c r="K21" i="52"/>
  <c r="L21" i="52"/>
  <c r="J21" i="52"/>
  <c r="L11" i="52"/>
  <c r="L22" i="52"/>
  <c r="D15" i="48"/>
  <c r="I15" i="48"/>
  <c r="H15" i="48"/>
  <c r="F15" i="48"/>
  <c r="E15" i="48"/>
  <c r="F33" i="20"/>
  <c r="E33" i="20"/>
  <c r="E16" i="20"/>
  <c r="E25" i="20"/>
  <c r="F25" i="20"/>
  <c r="E26" i="20"/>
  <c r="E37" i="20"/>
  <c r="E22" i="20"/>
  <c r="E29" i="20"/>
  <c r="F29" i="20"/>
  <c r="E5" i="20"/>
  <c r="E41" i="20"/>
  <c r="F41" i="20"/>
  <c r="C97" i="19"/>
  <c r="K16" i="13"/>
  <c r="K14" i="13"/>
  <c r="K12" i="13"/>
  <c r="K10" i="13"/>
  <c r="H32" i="13"/>
  <c r="H30" i="13"/>
  <c r="H28" i="13"/>
  <c r="H26" i="13"/>
  <c r="H24" i="13"/>
  <c r="H22" i="13"/>
  <c r="H20" i="13"/>
  <c r="H18" i="13"/>
  <c r="H16" i="13"/>
  <c r="H14" i="13"/>
  <c r="E6" i="42"/>
  <c r="E7" i="42"/>
  <c r="E8" i="42"/>
  <c r="E20" i="42"/>
  <c r="E21" i="42"/>
  <c r="E22" i="42"/>
  <c r="E5" i="42"/>
  <c r="F21" i="42"/>
  <c r="F22" i="42"/>
  <c r="F20" i="42"/>
  <c r="F6" i="42"/>
  <c r="F7" i="42"/>
  <c r="F5" i="42"/>
  <c r="AA9" i="39"/>
  <c r="H13" i="48"/>
  <c r="AB23" i="39"/>
  <c r="AB9" i="39"/>
  <c r="F13" i="48"/>
  <c r="G13" i="48"/>
  <c r="G14" i="48"/>
  <c r="G15" i="48"/>
  <c r="C13" i="48"/>
  <c r="C14" i="48"/>
  <c r="V6" i="31"/>
  <c r="W10" i="31"/>
  <c r="V7" i="29"/>
  <c r="V6" i="29"/>
  <c r="W11" i="31"/>
  <c r="F5" i="48"/>
  <c r="C5" i="48"/>
  <c r="W7" i="32"/>
  <c r="J17" i="52"/>
  <c r="M25" i="52"/>
  <c r="AB8" i="39"/>
  <c r="AA8" i="39"/>
  <c r="L17" i="52"/>
  <c r="AB8" i="38"/>
  <c r="V8" i="31"/>
  <c r="K25" i="52"/>
  <c r="AA22" i="39"/>
  <c r="E13" i="48"/>
  <c r="AB8" i="28"/>
  <c r="E17" i="51"/>
  <c r="W7" i="31"/>
  <c r="U9" i="29"/>
  <c r="U6" i="29"/>
  <c r="V6" i="30"/>
  <c r="V9" i="31"/>
  <c r="V10" i="29"/>
  <c r="F38" i="48"/>
  <c r="O13" i="51"/>
  <c r="E13" i="51"/>
  <c r="W5" i="51"/>
  <c r="W13" i="51"/>
  <c r="P13" i="51"/>
  <c r="G13" i="51"/>
  <c r="F13" i="51"/>
  <c r="F5" i="51"/>
  <c r="V5" i="51"/>
  <c r="V13" i="51"/>
  <c r="D13" i="51"/>
  <c r="C13" i="51"/>
  <c r="K13" i="51"/>
  <c r="K5" i="51"/>
  <c r="S5" i="51"/>
  <c r="J13" i="51"/>
  <c r="E38" i="48"/>
  <c r="U11" i="29"/>
  <c r="D38" i="48"/>
  <c r="V10" i="31"/>
  <c r="V11" i="29"/>
  <c r="U7" i="29"/>
  <c r="H38" i="48"/>
  <c r="V7" i="30"/>
  <c r="U10" i="29"/>
  <c r="V8" i="30"/>
  <c r="V11" i="31"/>
  <c r="U8" i="29"/>
  <c r="AA14" i="51"/>
  <c r="I38" i="48"/>
  <c r="D11" i="23" l="1"/>
  <c r="E27" i="19"/>
  <c r="G27" i="19"/>
  <c r="W9" i="23"/>
  <c r="O28" i="37"/>
  <c r="U33" i="37"/>
  <c r="D32" i="37"/>
  <c r="AA8" i="28"/>
  <c r="Y9" i="51"/>
  <c r="Y7" i="51" s="1"/>
  <c r="Y10" i="51" s="1"/>
  <c r="M35" i="52"/>
  <c r="K9" i="48"/>
  <c r="G11" i="23"/>
  <c r="W7" i="23"/>
  <c r="W8" i="23"/>
  <c r="V10" i="23"/>
  <c r="V9" i="23"/>
  <c r="AA14" i="39"/>
  <c r="Y15" i="39"/>
  <c r="AA15" i="39" s="1"/>
  <c r="Y13" i="39"/>
  <c r="Y16" i="39" s="1"/>
  <c r="K7" i="48" s="1"/>
  <c r="AA16" i="51"/>
  <c r="Y17" i="51"/>
  <c r="Y15" i="51" s="1"/>
  <c r="Y18" i="51" s="1"/>
  <c r="L13" i="51"/>
  <c r="O5" i="51"/>
  <c r="L5" i="51"/>
  <c r="K26" i="39"/>
  <c r="L25" i="39"/>
  <c r="Q25" i="39"/>
  <c r="AA10" i="39"/>
  <c r="N25" i="39"/>
  <c r="M15" i="39"/>
  <c r="V25" i="39"/>
  <c r="F30" i="39"/>
  <c r="AB12" i="39"/>
  <c r="H26" i="39"/>
  <c r="W30" i="39"/>
  <c r="H29" i="39"/>
  <c r="AB21" i="39"/>
  <c r="J26" i="39"/>
  <c r="L30" i="39"/>
  <c r="L15" i="39"/>
  <c r="AA23" i="39"/>
  <c r="J25" i="39"/>
  <c r="AA27" i="39"/>
  <c r="AA8" i="38"/>
  <c r="AA9" i="38"/>
  <c r="AA7" i="38"/>
  <c r="L30" i="37"/>
  <c r="D31" i="37"/>
  <c r="M31" i="37"/>
  <c r="R30" i="37"/>
  <c r="K31" i="37"/>
  <c r="U20" i="37"/>
  <c r="G20" i="37"/>
  <c r="E28" i="37"/>
  <c r="C33" i="37"/>
  <c r="F20" i="37"/>
  <c r="Q30" i="37"/>
  <c r="N27" i="37"/>
  <c r="G33" i="37"/>
  <c r="J19" i="37"/>
  <c r="O17" i="37"/>
  <c r="K17" i="37"/>
  <c r="O30" i="37"/>
  <c r="N20" i="37"/>
  <c r="B30" i="37"/>
  <c r="B19" i="37"/>
  <c r="S28" i="37"/>
  <c r="Q17" i="37"/>
  <c r="F19" i="37"/>
  <c r="D27" i="37"/>
  <c r="L22" i="37"/>
  <c r="L31" i="37"/>
  <c r="K30" i="37"/>
  <c r="V30" i="37"/>
  <c r="O22" i="37"/>
  <c r="R31" i="37"/>
  <c r="L32" i="37"/>
  <c r="AA22" i="20"/>
  <c r="AA28" i="20"/>
  <c r="X33" i="37"/>
  <c r="Q20" i="37"/>
  <c r="M33" i="37"/>
  <c r="Q32" i="37"/>
  <c r="C20" i="37"/>
  <c r="W30" i="37"/>
  <c r="P22" i="37"/>
  <c r="P30" i="37"/>
  <c r="P21" i="37"/>
  <c r="K32" i="37"/>
  <c r="U19" i="37"/>
  <c r="P20" i="37"/>
  <c r="K22" i="37"/>
  <c r="D33" i="37"/>
  <c r="O31" i="37"/>
  <c r="V21" i="37"/>
  <c r="K23" i="36"/>
  <c r="D49" i="36"/>
  <c r="F21" i="36"/>
  <c r="E51" i="36"/>
  <c r="P53" i="36"/>
  <c r="F25" i="36"/>
  <c r="U20" i="36"/>
  <c r="E20" i="36"/>
  <c r="E25" i="36"/>
  <c r="N48" i="36"/>
  <c r="Y48" i="36"/>
  <c r="M49" i="36"/>
  <c r="P49" i="36"/>
  <c r="P21" i="36"/>
  <c r="Y21" i="36"/>
  <c r="H21" i="36"/>
  <c r="K49" i="36"/>
  <c r="H49" i="36"/>
  <c r="N53" i="36"/>
  <c r="J23" i="36"/>
  <c r="D23" i="36"/>
  <c r="H23" i="36"/>
  <c r="Y23" i="36"/>
  <c r="H51" i="36"/>
  <c r="Y51" i="36"/>
  <c r="N49" i="36"/>
  <c r="O23" i="36"/>
  <c r="X25" i="36"/>
  <c r="H25" i="36"/>
  <c r="Y25" i="36"/>
  <c r="Y53" i="36"/>
  <c r="H53" i="36"/>
  <c r="O25" i="36"/>
  <c r="Q23" i="36"/>
  <c r="L53" i="36"/>
  <c r="C23" i="36"/>
  <c r="E23" i="36"/>
  <c r="M25" i="36"/>
  <c r="F48" i="36"/>
  <c r="G23" i="36"/>
  <c r="N25" i="36"/>
  <c r="M23" i="36"/>
  <c r="L51" i="36"/>
  <c r="L21" i="36"/>
  <c r="O21" i="36"/>
  <c r="M48" i="36"/>
  <c r="L20" i="36"/>
  <c r="L25" i="36"/>
  <c r="R49" i="36"/>
  <c r="L23" i="36"/>
  <c r="K25" i="36"/>
  <c r="R51" i="36"/>
  <c r="G48" i="36"/>
  <c r="G21" i="36"/>
  <c r="G25" i="36"/>
  <c r="R48" i="36"/>
  <c r="E48" i="36"/>
  <c r="R21" i="36"/>
  <c r="O51" i="36"/>
  <c r="N21" i="36"/>
  <c r="U51" i="36"/>
  <c r="U23" i="36"/>
  <c r="N51" i="36"/>
  <c r="E21" i="36"/>
  <c r="D48" i="36"/>
  <c r="U25" i="36"/>
  <c r="J25" i="36"/>
  <c r="M51" i="36"/>
  <c r="M20" i="36"/>
  <c r="J48" i="36"/>
  <c r="Q53" i="36"/>
  <c r="L48" i="36"/>
  <c r="C53" i="36"/>
  <c r="F53" i="36"/>
  <c r="F23" i="36"/>
  <c r="G49" i="36"/>
  <c r="Q25" i="36"/>
  <c r="G53" i="36"/>
  <c r="U21" i="36"/>
  <c r="D51" i="36"/>
  <c r="C25" i="36"/>
  <c r="E53" i="36"/>
  <c r="P51" i="36"/>
  <c r="D25" i="36"/>
  <c r="O20" i="36"/>
  <c r="R20" i="36"/>
  <c r="AA9" i="28"/>
  <c r="AA10" i="28"/>
  <c r="AB12" i="28"/>
  <c r="AB7" i="28"/>
  <c r="AA11" i="28"/>
  <c r="K38" i="48"/>
  <c r="F29" i="48"/>
  <c r="AA10" i="20"/>
  <c r="H21" i="35"/>
  <c r="L11" i="23"/>
  <c r="AA16" i="20"/>
  <c r="AA5" i="20"/>
  <c r="AA8" i="35"/>
  <c r="AA21" i="35"/>
  <c r="AA6" i="35"/>
  <c r="AA12" i="35"/>
  <c r="H29" i="41"/>
  <c r="E5" i="41"/>
  <c r="D37" i="41"/>
  <c r="J37" i="41"/>
  <c r="V34" i="41"/>
  <c r="V40" i="41" s="1"/>
  <c r="W41" i="41" s="1"/>
  <c r="D34" i="41"/>
  <c r="D40" i="41" s="1"/>
  <c r="J41" i="41" s="1"/>
  <c r="F32" i="41"/>
  <c r="S18" i="41"/>
  <c r="H10" i="41"/>
  <c r="H30" i="41"/>
  <c r="X37" i="41"/>
  <c r="H37" i="41"/>
  <c r="Y37" i="41"/>
  <c r="AB5" i="41"/>
  <c r="AB24" i="41"/>
  <c r="H13" i="41"/>
  <c r="C11" i="41"/>
  <c r="C18" i="41"/>
  <c r="N34" i="41"/>
  <c r="N40" i="41" s="1"/>
  <c r="O41" i="41" s="1"/>
  <c r="E31" i="41"/>
  <c r="H31" i="41"/>
  <c r="E9" i="41"/>
  <c r="E10" i="41"/>
  <c r="O37" i="41"/>
  <c r="S37" i="41"/>
  <c r="K11" i="41"/>
  <c r="K15" i="41" s="1"/>
  <c r="J11" i="41"/>
  <c r="W34" i="41"/>
  <c r="F6" i="41"/>
  <c r="H32" i="41"/>
  <c r="H6" i="41"/>
  <c r="H14" i="41"/>
  <c r="E14" i="41"/>
  <c r="M18" i="41"/>
  <c r="E30" i="41"/>
  <c r="P37" i="41"/>
  <c r="L37" i="41"/>
  <c r="S34" i="41"/>
  <c r="S40" i="41" s="1"/>
  <c r="T41" i="41" s="1"/>
  <c r="F33" i="41"/>
  <c r="F7" i="41"/>
  <c r="F31" i="41"/>
  <c r="L11" i="41"/>
  <c r="L15" i="41" s="1"/>
  <c r="H7" i="41"/>
  <c r="E13" i="41"/>
  <c r="G30" i="41"/>
  <c r="V37" i="41"/>
  <c r="T37" i="41"/>
  <c r="F14" i="41"/>
  <c r="AA28" i="41"/>
  <c r="AA33" i="41"/>
  <c r="H8" i="41"/>
  <c r="H9" i="41"/>
  <c r="Y18" i="41"/>
  <c r="H18" i="41"/>
  <c r="M11" i="52"/>
  <c r="N11" i="52"/>
  <c r="M21" i="52"/>
  <c r="AB20" i="18"/>
  <c r="AA11" i="18"/>
  <c r="AA29" i="18"/>
  <c r="M22" i="52"/>
  <c r="N22" i="52"/>
  <c r="AB30" i="18"/>
  <c r="E14" i="48"/>
  <c r="K14" i="48"/>
  <c r="N14" i="48" s="1"/>
  <c r="AA15" i="18"/>
  <c r="M14" i="52"/>
  <c r="K15" i="48"/>
  <c r="N15" i="48" s="1"/>
  <c r="AB21" i="18"/>
  <c r="K13" i="48"/>
  <c r="N13" i="48" s="1"/>
  <c r="K17" i="52"/>
  <c r="L37" i="52"/>
  <c r="H36" i="20"/>
  <c r="C91" i="19"/>
  <c r="E9" i="20"/>
  <c r="E7" i="20"/>
  <c r="H11" i="20"/>
  <c r="M37" i="52"/>
  <c r="H23" i="20"/>
  <c r="H37" i="20"/>
  <c r="H6" i="20"/>
  <c r="H24" i="20"/>
  <c r="H29" i="20"/>
  <c r="M42" i="52"/>
  <c r="N42" i="52"/>
  <c r="H25" i="20"/>
  <c r="H27" i="20"/>
  <c r="K37" i="52"/>
  <c r="H35" i="20"/>
  <c r="J91" i="19"/>
  <c r="E15" i="20"/>
  <c r="H13" i="20"/>
  <c r="E28" i="20"/>
  <c r="X91" i="19"/>
  <c r="H14" i="20"/>
  <c r="H20" i="20"/>
  <c r="AA26" i="20"/>
  <c r="H41" i="20"/>
  <c r="H34" i="20"/>
  <c r="H7" i="20"/>
  <c r="F16" i="20"/>
  <c r="AA9" i="20"/>
  <c r="AA15" i="20"/>
  <c r="AA21" i="20"/>
  <c r="H9" i="19"/>
  <c r="Y99" i="19"/>
  <c r="Y100" i="19"/>
  <c r="H32" i="19"/>
  <c r="P11" i="23"/>
  <c r="U34" i="41"/>
  <c r="U40" i="41" s="1"/>
  <c r="G13" i="41"/>
  <c r="D11" i="41"/>
  <c r="D15" i="41" s="1"/>
  <c r="E22" i="41" s="1"/>
  <c r="N11" i="41"/>
  <c r="N15" i="41" s="1"/>
  <c r="O22" i="41" s="1"/>
  <c r="E8" i="20"/>
  <c r="E91" i="19" s="1"/>
  <c r="M91" i="19"/>
  <c r="L34" i="41"/>
  <c r="L40" i="41" s="1"/>
  <c r="M41" i="41" s="1"/>
  <c r="K34" i="41"/>
  <c r="K40" i="41" s="1"/>
  <c r="W86" i="19"/>
  <c r="N87" i="19"/>
  <c r="U82" i="19"/>
  <c r="G82" i="19" s="1"/>
  <c r="E34" i="19"/>
  <c r="M101" i="19"/>
  <c r="K28" i="19"/>
  <c r="L102" i="19"/>
  <c r="W101" i="19"/>
  <c r="G29" i="48"/>
  <c r="R97" i="19"/>
  <c r="D39" i="19"/>
  <c r="D37" i="19" s="1"/>
  <c r="M99" i="19"/>
  <c r="M103" i="19"/>
  <c r="E33" i="19"/>
  <c r="J30" i="48"/>
  <c r="J29" i="48"/>
  <c r="T99" i="19"/>
  <c r="K104" i="19"/>
  <c r="M102" i="19"/>
  <c r="G21" i="19"/>
  <c r="X86" i="19"/>
  <c r="K87" i="19"/>
  <c r="N28" i="19"/>
  <c r="N86" i="19"/>
  <c r="E22" i="19"/>
  <c r="L28" i="19"/>
  <c r="E10" i="19"/>
  <c r="E21" i="19"/>
  <c r="C103" i="19"/>
  <c r="X83" i="19"/>
  <c r="L26" i="19"/>
  <c r="L25" i="19" s="1"/>
  <c r="N102" i="19"/>
  <c r="N101" i="19"/>
  <c r="X85" i="19"/>
  <c r="L100" i="19"/>
  <c r="L99" i="19"/>
  <c r="Q88" i="19"/>
  <c r="F88" i="19" s="1"/>
  <c r="X28" i="19"/>
  <c r="K99" i="19"/>
  <c r="T100" i="19"/>
  <c r="M100" i="19"/>
  <c r="Y101" i="19"/>
  <c r="T28" i="19"/>
  <c r="N100" i="19"/>
  <c r="U96" i="19"/>
  <c r="AB96" i="19" s="1"/>
  <c r="Y102" i="19"/>
  <c r="W100" i="19"/>
  <c r="T101" i="19"/>
  <c r="S81" i="19"/>
  <c r="O28" i="19"/>
  <c r="D97" i="19"/>
  <c r="F21" i="19"/>
  <c r="F30" i="48"/>
  <c r="F32" i="19"/>
  <c r="X100" i="19"/>
  <c r="N99" i="19"/>
  <c r="E30" i="48"/>
  <c r="S28" i="19"/>
  <c r="W87" i="19"/>
  <c r="C96" i="19"/>
  <c r="C95" i="19" s="1"/>
  <c r="I30" i="48"/>
  <c r="E29" i="48"/>
  <c r="W97" i="19"/>
  <c r="U100" i="19"/>
  <c r="M96" i="19"/>
  <c r="M82" i="19"/>
  <c r="E82" i="19" s="1"/>
  <c r="S101" i="19"/>
  <c r="T87" i="19"/>
  <c r="V39" i="19"/>
  <c r="S99" i="19"/>
  <c r="W39" i="19"/>
  <c r="X104" i="19"/>
  <c r="Y104" i="19"/>
  <c r="X103" i="19"/>
  <c r="Y103" i="19"/>
  <c r="I29" i="48"/>
  <c r="O100" i="19"/>
  <c r="U103" i="19"/>
  <c r="O88" i="19"/>
  <c r="N85" i="19"/>
  <c r="AA44" i="19"/>
  <c r="U102" i="19"/>
  <c r="D82" i="19"/>
  <c r="P99" i="19"/>
  <c r="Q99" i="19"/>
  <c r="W96" i="19"/>
  <c r="T88" i="19"/>
  <c r="G34" i="19"/>
  <c r="S86" i="19"/>
  <c r="W81" i="19"/>
  <c r="G33" i="19"/>
  <c r="W28" i="19"/>
  <c r="S100" i="19"/>
  <c r="J87" i="19"/>
  <c r="U76" i="19"/>
  <c r="C39" i="19"/>
  <c r="Q102" i="19"/>
  <c r="J82" i="19"/>
  <c r="N96" i="19"/>
  <c r="P97" i="19"/>
  <c r="Y97" i="19"/>
  <c r="Y95" i="19" s="1"/>
  <c r="AA69" i="19"/>
  <c r="D99" i="19"/>
  <c r="W99" i="19"/>
  <c r="Q96" i="19"/>
  <c r="C28" i="19"/>
  <c r="H116" i="19"/>
  <c r="M20" i="37"/>
  <c r="V22" i="37"/>
  <c r="G29" i="41"/>
  <c r="S83" i="19"/>
  <c r="H8" i="19"/>
  <c r="V28" i="19"/>
  <c r="Q97" i="19"/>
  <c r="D102" i="19"/>
  <c r="R82" i="19"/>
  <c r="P101" i="19"/>
  <c r="P81" i="19"/>
  <c r="X82" i="19"/>
  <c r="H7" i="19"/>
  <c r="J26" i="19"/>
  <c r="J25" i="19" s="1"/>
  <c r="D29" i="48"/>
  <c r="D30" i="48"/>
  <c r="J28" i="19"/>
  <c r="R28" i="19"/>
  <c r="E32" i="19"/>
  <c r="G32" i="19"/>
  <c r="M97" i="19"/>
  <c r="U97" i="19"/>
  <c r="P100" i="19"/>
  <c r="J97" i="19"/>
  <c r="F38" i="19"/>
  <c r="R88" i="19"/>
  <c r="E8" i="19"/>
  <c r="X88" i="19"/>
  <c r="P26" i="19"/>
  <c r="P25" i="19" s="1"/>
  <c r="N103" i="19"/>
  <c r="L82" i="19"/>
  <c r="N82" i="19"/>
  <c r="J99" i="19"/>
  <c r="J96" i="19"/>
  <c r="C104" i="19"/>
  <c r="L104" i="19"/>
  <c r="X87" i="19"/>
  <c r="W83" i="19"/>
  <c r="P28" i="19"/>
  <c r="K97" i="19"/>
  <c r="S97" i="19"/>
  <c r="R83" i="19"/>
  <c r="N26" i="19"/>
  <c r="N25" i="19" s="1"/>
  <c r="R103" i="19"/>
  <c r="C29" i="48"/>
  <c r="F33" i="19"/>
  <c r="N97" i="19"/>
  <c r="Q100" i="19"/>
  <c r="X97" i="19"/>
  <c r="D83" i="19"/>
  <c r="R86" i="19"/>
  <c r="S103" i="19"/>
  <c r="Q103" i="19"/>
  <c r="M39" i="19"/>
  <c r="C87" i="19"/>
  <c r="T26" i="19"/>
  <c r="T25" i="19" s="1"/>
  <c r="P82" i="19"/>
  <c r="V82" i="19"/>
  <c r="D81" i="19"/>
  <c r="P96" i="19"/>
  <c r="J88" i="19"/>
  <c r="V87" i="19"/>
  <c r="F116" i="19"/>
  <c r="W104" i="19"/>
  <c r="J83" i="19"/>
  <c r="X99" i="19"/>
  <c r="P87" i="19"/>
  <c r="L97" i="19"/>
  <c r="T97" i="19"/>
  <c r="Q104" i="19"/>
  <c r="P103" i="19"/>
  <c r="C100" i="19"/>
  <c r="K85" i="19"/>
  <c r="K84" i="19" s="1"/>
  <c r="H33" i="19"/>
  <c r="H29" i="48"/>
  <c r="O97" i="19"/>
  <c r="J100" i="19"/>
  <c r="R100" i="19"/>
  <c r="J103" i="19"/>
  <c r="K82" i="19"/>
  <c r="O82" i="19"/>
  <c r="K103" i="19"/>
  <c r="N104" i="19"/>
  <c r="V83" i="19"/>
  <c r="C75" i="19"/>
  <c r="H21" i="19"/>
  <c r="H38" i="19"/>
  <c r="U83" i="19"/>
  <c r="G83" i="19" s="1"/>
  <c r="H30" i="48"/>
  <c r="F34" i="19"/>
  <c r="K100" i="19"/>
  <c r="K81" i="19"/>
  <c r="W103" i="19"/>
  <c r="K96" i="19"/>
  <c r="W82" i="19"/>
  <c r="C99" i="19"/>
  <c r="D87" i="19"/>
  <c r="L39" i="19"/>
  <c r="L37" i="19" s="1"/>
  <c r="P83" i="19"/>
  <c r="X81" i="19"/>
  <c r="H6" i="19"/>
  <c r="C11" i="23"/>
  <c r="O11" i="23"/>
  <c r="F11" i="23"/>
  <c r="V31" i="37"/>
  <c r="J11" i="23"/>
  <c r="Q13" i="32"/>
  <c r="H24" i="48" s="1"/>
  <c r="N30" i="37"/>
  <c r="E5" i="31"/>
  <c r="O13" i="32"/>
  <c r="F24" i="48" s="1"/>
  <c r="R5" i="31"/>
  <c r="I26" i="48" s="1"/>
  <c r="X13" i="39"/>
  <c r="M28" i="39"/>
  <c r="W13" i="39"/>
  <c r="R20" i="37"/>
  <c r="Q11" i="23"/>
  <c r="R33" i="37"/>
  <c r="J32" i="37"/>
  <c r="C30" i="37"/>
  <c r="G13" i="32"/>
  <c r="I11" i="23"/>
  <c r="F5" i="31"/>
  <c r="G5" i="31"/>
  <c r="G10" i="41"/>
  <c r="G31" i="41"/>
  <c r="H6" i="48"/>
  <c r="K5" i="31"/>
  <c r="G6" i="48"/>
  <c r="N5" i="31"/>
  <c r="E26" i="48" s="1"/>
  <c r="AA8" i="51"/>
  <c r="C5" i="31"/>
  <c r="D5" i="31"/>
  <c r="J9" i="48"/>
  <c r="G9" i="41"/>
  <c r="U18" i="41"/>
  <c r="V9" i="30"/>
  <c r="G8" i="41"/>
  <c r="G14" i="41"/>
  <c r="G28" i="41"/>
  <c r="U11" i="38"/>
  <c r="K13" i="32"/>
  <c r="J38" i="48"/>
  <c r="G38" i="48"/>
  <c r="X5" i="51"/>
  <c r="AA5" i="51" s="1"/>
  <c r="AA6" i="51"/>
  <c r="L5" i="31"/>
  <c r="C26" i="48" s="1"/>
  <c r="G5" i="41"/>
  <c r="G33" i="41"/>
  <c r="AB33" i="41"/>
  <c r="G9" i="48"/>
  <c r="U5" i="51"/>
  <c r="AB5" i="51" s="1"/>
  <c r="AB6" i="51"/>
  <c r="X26" i="39"/>
  <c r="AA26" i="39" s="1"/>
  <c r="AA12" i="39"/>
  <c r="U37" i="41"/>
  <c r="G6" i="41"/>
  <c r="G5" i="48"/>
  <c r="N5" i="48" s="1"/>
  <c r="W6" i="23"/>
  <c r="P13" i="32"/>
  <c r="W10" i="32"/>
  <c r="V7" i="23"/>
  <c r="E6" i="48"/>
  <c r="E5" i="48"/>
  <c r="M11" i="23"/>
  <c r="E11" i="23"/>
  <c r="H9" i="48"/>
  <c r="V6" i="23"/>
  <c r="D13" i="32"/>
  <c r="V6" i="32"/>
  <c r="V11" i="32"/>
  <c r="L13" i="32"/>
  <c r="C24" i="48" s="1"/>
  <c r="C13" i="32"/>
  <c r="E13" i="32"/>
  <c r="R13" i="32"/>
  <c r="I24" i="48" s="1"/>
  <c r="M13" i="32"/>
  <c r="D24" i="48" s="1"/>
  <c r="H13" i="32"/>
  <c r="I13" i="32"/>
  <c r="N13" i="32"/>
  <c r="E24" i="48" s="1"/>
  <c r="J25" i="48"/>
  <c r="M25" i="48" s="1"/>
  <c r="E25" i="48"/>
  <c r="C25" i="48"/>
  <c r="F25" i="48"/>
  <c r="W9" i="30"/>
  <c r="W6" i="30"/>
  <c r="W7" i="30"/>
  <c r="S5" i="31"/>
  <c r="V5" i="31" s="1"/>
  <c r="H5" i="31"/>
  <c r="I5" i="31"/>
  <c r="O5" i="31"/>
  <c r="F26" i="48" s="1"/>
  <c r="M5" i="31"/>
  <c r="D26" i="48" s="1"/>
  <c r="J5" i="31"/>
  <c r="Q5" i="31"/>
  <c r="H26" i="48" s="1"/>
  <c r="T5" i="51"/>
  <c r="C5" i="51"/>
  <c r="M5" i="51"/>
  <c r="N5" i="51"/>
  <c r="J5" i="51"/>
  <c r="P5" i="51"/>
  <c r="L9" i="51"/>
  <c r="U17" i="51"/>
  <c r="AB17" i="51" s="1"/>
  <c r="K35" i="52"/>
  <c r="R5" i="51"/>
  <c r="G5" i="51"/>
  <c r="P9" i="51"/>
  <c r="E5" i="51"/>
  <c r="R13" i="51"/>
  <c r="O9" i="51"/>
  <c r="U9" i="51"/>
  <c r="G9" i="51"/>
  <c r="X13" i="51"/>
  <c r="AA13" i="51" s="1"/>
  <c r="D5" i="51"/>
  <c r="N9" i="51"/>
  <c r="F9" i="51"/>
  <c r="N13" i="51"/>
  <c r="F16" i="51"/>
  <c r="R17" i="51"/>
  <c r="R15" i="51" s="1"/>
  <c r="C17" i="51"/>
  <c r="C15" i="51" s="1"/>
  <c r="C18" i="51" s="1"/>
  <c r="D17" i="51"/>
  <c r="D15" i="51" s="1"/>
  <c r="D18" i="51" s="1"/>
  <c r="V17" i="51"/>
  <c r="V15" i="51" s="1"/>
  <c r="V18" i="51" s="1"/>
  <c r="G16" i="51"/>
  <c r="H17" i="51" s="1"/>
  <c r="H15" i="51" s="1"/>
  <c r="H18" i="51" s="1"/>
  <c r="T17" i="51"/>
  <c r="S15" i="51"/>
  <c r="X17" i="51"/>
  <c r="X9" i="51"/>
  <c r="O17" i="51"/>
  <c r="W17" i="51"/>
  <c r="W15" i="51" s="1"/>
  <c r="W18" i="51" s="1"/>
  <c r="K17" i="51"/>
  <c r="J15" i="51"/>
  <c r="J18" i="51" s="1"/>
  <c r="S13" i="51"/>
  <c r="F25" i="39"/>
  <c r="P30" i="39"/>
  <c r="N26" i="39"/>
  <c r="O15" i="39"/>
  <c r="T26" i="39"/>
  <c r="Q30" i="39"/>
  <c r="O25" i="39"/>
  <c r="K25" i="39"/>
  <c r="D6" i="39"/>
  <c r="D5" i="39" s="1"/>
  <c r="AB27" i="39"/>
  <c r="S26" i="39"/>
  <c r="D28" i="39"/>
  <c r="V13" i="39"/>
  <c r="K30" i="39"/>
  <c r="W26" i="39"/>
  <c r="O26" i="39"/>
  <c r="R26" i="39"/>
  <c r="G25" i="39"/>
  <c r="R25" i="39"/>
  <c r="W25" i="39"/>
  <c r="AB24" i="39"/>
  <c r="AA11" i="39"/>
  <c r="G26" i="39"/>
  <c r="W15" i="39"/>
  <c r="V15" i="39"/>
  <c r="K15" i="39"/>
  <c r="Q6" i="39"/>
  <c r="AB7" i="39"/>
  <c r="AA21" i="39"/>
  <c r="C30" i="39"/>
  <c r="D30" i="39" s="1"/>
  <c r="AA7" i="39"/>
  <c r="AB22" i="39"/>
  <c r="V6" i="39"/>
  <c r="AA24" i="39"/>
  <c r="E30" i="39"/>
  <c r="G14" i="39"/>
  <c r="S13" i="39"/>
  <c r="T25" i="39"/>
  <c r="P25" i="39"/>
  <c r="M25" i="39"/>
  <c r="E25" i="39"/>
  <c r="AB29" i="39"/>
  <c r="C6" i="39"/>
  <c r="C5" i="39" s="1"/>
  <c r="AB10" i="38"/>
  <c r="M13" i="38"/>
  <c r="U13" i="38"/>
  <c r="O13" i="38"/>
  <c r="J13" i="38"/>
  <c r="T11" i="38"/>
  <c r="H12" i="38"/>
  <c r="R11" i="38"/>
  <c r="G13" i="38"/>
  <c r="Q11" i="38"/>
  <c r="G12" i="38"/>
  <c r="K13" i="38"/>
  <c r="V6" i="38"/>
  <c r="V5" i="38" s="1"/>
  <c r="V13" i="38"/>
  <c r="F33" i="37"/>
  <c r="E31" i="37"/>
  <c r="E30" i="37"/>
  <c r="U22" i="37"/>
  <c r="R21" i="37"/>
  <c r="E33" i="37"/>
  <c r="Q19" i="37"/>
  <c r="X22" i="37"/>
  <c r="S19" i="37"/>
  <c r="S30" i="37"/>
  <c r="S33" i="37"/>
  <c r="P17" i="37"/>
  <c r="M30" i="37"/>
  <c r="F31" i="37"/>
  <c r="L21" i="37"/>
  <c r="C31" i="37"/>
  <c r="D30" i="37"/>
  <c r="R19" i="37"/>
  <c r="T23" i="36"/>
  <c r="S53" i="36"/>
  <c r="C49" i="36"/>
  <c r="C51" i="36"/>
  <c r="J51" i="36"/>
  <c r="F51" i="36"/>
  <c r="O48" i="36"/>
  <c r="N23" i="36"/>
  <c r="J20" i="36"/>
  <c r="T49" i="36"/>
  <c r="T21" i="36"/>
  <c r="G51" i="36"/>
  <c r="K21" i="36"/>
  <c r="K53" i="36"/>
  <c r="R25" i="36"/>
  <c r="F49" i="36"/>
  <c r="Q51" i="36"/>
  <c r="O53" i="36"/>
  <c r="P23" i="36"/>
  <c r="V25" i="36"/>
  <c r="S23" i="36"/>
  <c r="V51" i="36"/>
  <c r="S51" i="36"/>
  <c r="V23" i="36"/>
  <c r="S21" i="36"/>
  <c r="S49" i="36"/>
  <c r="V21" i="36"/>
  <c r="V49" i="36"/>
  <c r="W53" i="36"/>
  <c r="W23" i="36"/>
  <c r="AA10" i="36"/>
  <c r="W51" i="36"/>
  <c r="T53" i="36"/>
  <c r="J21" i="36"/>
  <c r="P25" i="36"/>
  <c r="W21" i="36"/>
  <c r="T51" i="36"/>
  <c r="W49" i="36"/>
  <c r="R53" i="36"/>
  <c r="J53" i="36"/>
  <c r="S25" i="36"/>
  <c r="Q21" i="36"/>
  <c r="C21" i="36"/>
  <c r="D21" i="36"/>
  <c r="K51" i="36"/>
  <c r="Q49" i="36"/>
  <c r="V53" i="36"/>
  <c r="AA20" i="35"/>
  <c r="AA25" i="35"/>
  <c r="AB21" i="35"/>
  <c r="AB25" i="35"/>
  <c r="AB8" i="35"/>
  <c r="O11" i="41"/>
  <c r="J18" i="41"/>
  <c r="P34" i="41"/>
  <c r="P40" i="41" s="1"/>
  <c r="Q41" i="41" s="1"/>
  <c r="Q18" i="41"/>
  <c r="P11" i="41"/>
  <c r="R34" i="41"/>
  <c r="R40" i="41" s="1"/>
  <c r="S41" i="41" s="1"/>
  <c r="T18" i="41"/>
  <c r="F5" i="41"/>
  <c r="R11" i="41"/>
  <c r="R15" i="41" s="1"/>
  <c r="F28" i="41"/>
  <c r="W18" i="41"/>
  <c r="AA14" i="41"/>
  <c r="J34" i="41"/>
  <c r="J40" i="41" s="1"/>
  <c r="F8" i="41"/>
  <c r="P18" i="41"/>
  <c r="C34" i="41"/>
  <c r="E33" i="41"/>
  <c r="E34" i="41" s="1"/>
  <c r="E40" i="41" s="1"/>
  <c r="E32" i="41"/>
  <c r="V86" i="19"/>
  <c r="P86" i="19"/>
  <c r="D103" i="19"/>
  <c r="Q87" i="19"/>
  <c r="F87" i="19" s="1"/>
  <c r="D104" i="19"/>
  <c r="J102" i="19"/>
  <c r="Q101" i="19"/>
  <c r="J81" i="19"/>
  <c r="D28" i="19"/>
  <c r="S87" i="19"/>
  <c r="C101" i="19"/>
  <c r="J101" i="19"/>
  <c r="D100" i="19"/>
  <c r="S102" i="19"/>
  <c r="L101" i="19"/>
  <c r="N81" i="19"/>
  <c r="D88" i="19"/>
  <c r="S82" i="19"/>
  <c r="M81" i="19"/>
  <c r="E81" i="19" s="1"/>
  <c r="S96" i="19"/>
  <c r="D96" i="19"/>
  <c r="G9" i="19"/>
  <c r="K83" i="19"/>
  <c r="K88" i="19"/>
  <c r="O87" i="19"/>
  <c r="O101" i="19"/>
  <c r="O83" i="19"/>
  <c r="O86" i="19"/>
  <c r="T86" i="19"/>
  <c r="T102" i="19"/>
  <c r="S26" i="19"/>
  <c r="S25" i="19" s="1"/>
  <c r="R26" i="19"/>
  <c r="R25" i="19" s="1"/>
  <c r="R87" i="19"/>
  <c r="T83" i="19"/>
  <c r="W102" i="19"/>
  <c r="T82" i="19"/>
  <c r="D101" i="19"/>
  <c r="R81" i="19"/>
  <c r="C88" i="19"/>
  <c r="P104" i="19"/>
  <c r="K26" i="19"/>
  <c r="K25" i="19" s="1"/>
  <c r="N88" i="19"/>
  <c r="S104" i="19"/>
  <c r="W26" i="19"/>
  <c r="W25" i="19" s="1"/>
  <c r="L88" i="19"/>
  <c r="L87" i="19"/>
  <c r="M104" i="19"/>
  <c r="L83" i="19"/>
  <c r="X26" i="19"/>
  <c r="X25" i="19" s="1"/>
  <c r="O26" i="19"/>
  <c r="O25" i="19" s="1"/>
  <c r="U26" i="19"/>
  <c r="P88" i="19"/>
  <c r="P102" i="19"/>
  <c r="C102" i="19"/>
  <c r="V26" i="19"/>
  <c r="V25" i="19" s="1"/>
  <c r="V88" i="19"/>
  <c r="F14" i="48"/>
  <c r="H14" i="48"/>
  <c r="I14" i="48"/>
  <c r="L20" i="52"/>
  <c r="D14" i="48"/>
  <c r="J13" i="48"/>
  <c r="J15" i="48"/>
  <c r="D13" i="48"/>
  <c r="J22" i="52"/>
  <c r="K22" i="52"/>
  <c r="K11" i="52"/>
  <c r="J11" i="52"/>
  <c r="K20" i="52"/>
  <c r="M17" i="52"/>
  <c r="L25" i="52"/>
  <c r="J20" i="52"/>
  <c r="J25" i="52"/>
  <c r="R91" i="19"/>
  <c r="F11" i="20"/>
  <c r="E36" i="20"/>
  <c r="F17" i="20"/>
  <c r="P91" i="19"/>
  <c r="F24" i="20"/>
  <c r="F5" i="20"/>
  <c r="O91" i="19"/>
  <c r="F22" i="20"/>
  <c r="F21" i="20"/>
  <c r="F35" i="20"/>
  <c r="F23" i="20"/>
  <c r="F14" i="20"/>
  <c r="E38" i="20"/>
  <c r="D91" i="19"/>
  <c r="W91" i="19"/>
  <c r="F36" i="20"/>
  <c r="K42" i="52"/>
  <c r="E23" i="20"/>
  <c r="L42" i="52"/>
  <c r="L91" i="19"/>
  <c r="F37" i="20"/>
  <c r="F27" i="20"/>
  <c r="F10" i="20"/>
  <c r="F26" i="20"/>
  <c r="U91" i="19"/>
  <c r="F12" i="20"/>
  <c r="T91" i="19"/>
  <c r="E20" i="20"/>
  <c r="E10" i="20"/>
  <c r="E14" i="20"/>
  <c r="F20" i="48"/>
  <c r="E24" i="20"/>
  <c r="E6" i="20"/>
  <c r="F28" i="20"/>
  <c r="F20" i="20"/>
  <c r="E27" i="20"/>
  <c r="E12" i="20"/>
  <c r="AA12" i="20"/>
  <c r="N91" i="19"/>
  <c r="E21" i="20"/>
  <c r="E11" i="20"/>
  <c r="E17" i="20"/>
  <c r="F9" i="20"/>
  <c r="F15" i="20"/>
  <c r="E13" i="20"/>
  <c r="F13" i="20"/>
  <c r="S91" i="19"/>
  <c r="E35" i="20"/>
  <c r="L41" i="41"/>
  <c r="AB29" i="18" l="1"/>
  <c r="Q9" i="37"/>
  <c r="D22" i="37"/>
  <c r="W19" i="37"/>
  <c r="U31" i="37"/>
  <c r="T16" i="35"/>
  <c r="S50" i="36"/>
  <c r="AB9" i="36"/>
  <c r="J20" i="48"/>
  <c r="V113" i="19"/>
  <c r="Q75" i="19"/>
  <c r="J75" i="19"/>
  <c r="J113" i="19"/>
  <c r="P75" i="19"/>
  <c r="P113" i="19"/>
  <c r="Y75" i="19"/>
  <c r="T75" i="19"/>
  <c r="T113" i="19"/>
  <c r="M75" i="19"/>
  <c r="M113" i="19"/>
  <c r="U75" i="19"/>
  <c r="U113" i="19"/>
  <c r="K75" i="19"/>
  <c r="K113" i="19"/>
  <c r="D75" i="19"/>
  <c r="L75" i="19"/>
  <c r="L113" i="19"/>
  <c r="R75" i="19"/>
  <c r="S75" i="19"/>
  <c r="S113" i="19"/>
  <c r="O75" i="19"/>
  <c r="O113" i="19"/>
  <c r="N75" i="19"/>
  <c r="N113" i="19"/>
  <c r="W75" i="19"/>
  <c r="W113" i="19"/>
  <c r="X75" i="19"/>
  <c r="X113" i="19"/>
  <c r="AB57" i="19"/>
  <c r="E5" i="37"/>
  <c r="AA13" i="28"/>
  <c r="AB9" i="51"/>
  <c r="E28" i="39"/>
  <c r="AA13" i="39"/>
  <c r="AA15" i="28"/>
  <c r="V8" i="23"/>
  <c r="J30" i="37"/>
  <c r="AA34" i="20"/>
  <c r="AB10" i="18"/>
  <c r="L33" i="37"/>
  <c r="R16" i="35"/>
  <c r="R22" i="35" s="1"/>
  <c r="G31" i="37"/>
  <c r="AA19" i="41"/>
  <c r="AB12" i="41"/>
  <c r="AA35" i="36"/>
  <c r="D9" i="37"/>
  <c r="AA7" i="28"/>
  <c r="AB19" i="35"/>
  <c r="D21" i="37"/>
  <c r="X16" i="35"/>
  <c r="X22" i="35" s="1"/>
  <c r="P5" i="37"/>
  <c r="V16" i="35"/>
  <c r="J16" i="35"/>
  <c r="L16" i="35"/>
  <c r="L22" i="35" s="1"/>
  <c r="L26" i="35" s="1"/>
  <c r="L27" i="35" s="1"/>
  <c r="U16" i="35"/>
  <c r="S16" i="35"/>
  <c r="S22" i="35" s="1"/>
  <c r="S26" i="35" s="1"/>
  <c r="S27" i="35" s="1"/>
  <c r="Q16" i="35"/>
  <c r="Q22" i="35" s="1"/>
  <c r="AB13" i="37"/>
  <c r="M16" i="35"/>
  <c r="C16" i="35"/>
  <c r="C22" i="35" s="1"/>
  <c r="C26" i="35" s="1"/>
  <c r="C27" i="35" s="1"/>
  <c r="C30" i="35" s="1"/>
  <c r="K16" i="35"/>
  <c r="D16" i="35"/>
  <c r="D22" i="35" s="1"/>
  <c r="D26" i="35" s="1"/>
  <c r="D27" i="35" s="1"/>
  <c r="D30" i="35" s="1"/>
  <c r="P16" i="35"/>
  <c r="P22" i="35" s="1"/>
  <c r="P26" i="35" s="1"/>
  <c r="P27" i="35" s="1"/>
  <c r="W16" i="35"/>
  <c r="W22" i="35" s="1"/>
  <c r="W26" i="35" s="1"/>
  <c r="W27" i="35" s="1"/>
  <c r="O16" i="35"/>
  <c r="W29" i="19"/>
  <c r="I31" i="48" s="1"/>
  <c r="S29" i="19"/>
  <c r="E31" i="48" s="1"/>
  <c r="AA36" i="36"/>
  <c r="U26" i="39"/>
  <c r="AB26" i="39" s="1"/>
  <c r="AA45" i="36"/>
  <c r="AA37" i="36"/>
  <c r="G50" i="36"/>
  <c r="L20" i="37"/>
  <c r="X11" i="41"/>
  <c r="K19" i="37"/>
  <c r="K22" i="36"/>
  <c r="R29" i="19"/>
  <c r="D31" i="48" s="1"/>
  <c r="AB9" i="28"/>
  <c r="O20" i="37"/>
  <c r="V32" i="37"/>
  <c r="O5" i="37"/>
  <c r="AB9" i="41"/>
  <c r="F30" i="37"/>
  <c r="AA11" i="20"/>
  <c r="V50" i="36"/>
  <c r="L9" i="37"/>
  <c r="L29" i="37" s="1"/>
  <c r="P32" i="37"/>
  <c r="O29" i="19"/>
  <c r="AB7" i="35"/>
  <c r="AA11" i="37"/>
  <c r="N31" i="37"/>
  <c r="G22" i="37"/>
  <c r="AA57" i="19"/>
  <c r="M20" i="52"/>
  <c r="AA23" i="18"/>
  <c r="P19" i="37"/>
  <c r="R11" i="52"/>
  <c r="T29" i="19"/>
  <c r="F31" i="48" s="1"/>
  <c r="Q31" i="37"/>
  <c r="AA12" i="37"/>
  <c r="M38" i="48"/>
  <c r="N29" i="19"/>
  <c r="V29" i="19"/>
  <c r="H31" i="48" s="1"/>
  <c r="X29" i="19"/>
  <c r="J31" i="48" s="1"/>
  <c r="E50" i="36"/>
  <c r="U25" i="19"/>
  <c r="G25" i="19" s="1"/>
  <c r="G26" i="19"/>
  <c r="AA9" i="36"/>
  <c r="O33" i="37"/>
  <c r="X27" i="37"/>
  <c r="AB12" i="37"/>
  <c r="K10" i="52"/>
  <c r="K12" i="52" s="1"/>
  <c r="C26" i="19"/>
  <c r="C25" i="19"/>
  <c r="M13" i="48"/>
  <c r="D26" i="19"/>
  <c r="D25" i="19"/>
  <c r="V9" i="37"/>
  <c r="V17" i="37"/>
  <c r="W5" i="23"/>
  <c r="V5" i="23"/>
  <c r="K29" i="19"/>
  <c r="C29" i="19" s="1"/>
  <c r="Q34" i="41"/>
  <c r="Q40" i="41" s="1"/>
  <c r="R41" i="41" s="1"/>
  <c r="O15" i="41"/>
  <c r="F50" i="36"/>
  <c r="O19" i="37"/>
  <c r="N9" i="48"/>
  <c r="K20" i="37"/>
  <c r="M9" i="48"/>
  <c r="P33" i="37"/>
  <c r="AA27" i="19"/>
  <c r="H27" i="19"/>
  <c r="AB27" i="19"/>
  <c r="L29" i="19"/>
  <c r="D29" i="19" s="1"/>
  <c r="G20" i="19"/>
  <c r="U28" i="19"/>
  <c r="J29" i="19"/>
  <c r="E16" i="19"/>
  <c r="M26" i="19"/>
  <c r="E20" i="19"/>
  <c r="M28" i="19"/>
  <c r="E28" i="19" s="1"/>
  <c r="F16" i="19"/>
  <c r="Q26" i="19"/>
  <c r="P29" i="19"/>
  <c r="F20" i="19"/>
  <c r="Q28" i="19"/>
  <c r="F28" i="19" s="1"/>
  <c r="AA63" i="19"/>
  <c r="K14" i="52"/>
  <c r="L14" i="52"/>
  <c r="L10" i="52"/>
  <c r="L12" i="52" s="1"/>
  <c r="D85" i="19"/>
  <c r="D84" i="19" s="1"/>
  <c r="D111" i="19" s="1"/>
  <c r="J10" i="52"/>
  <c r="J12" i="52" s="1"/>
  <c r="H16" i="19"/>
  <c r="Y26" i="19"/>
  <c r="H20" i="19"/>
  <c r="Y28" i="19"/>
  <c r="E7" i="19"/>
  <c r="AB63" i="19"/>
  <c r="M43" i="52"/>
  <c r="N14" i="52"/>
  <c r="L43" i="52"/>
  <c r="N21" i="52"/>
  <c r="T21" i="52" s="1"/>
  <c r="E16" i="52"/>
  <c r="D16" i="52" s="1"/>
  <c r="N10" i="52"/>
  <c r="AB8" i="51"/>
  <c r="J35" i="52"/>
  <c r="T35" i="52" s="1"/>
  <c r="M10" i="52"/>
  <c r="M12" i="52" s="1"/>
  <c r="M15" i="52" s="1"/>
  <c r="M18" i="52" s="1"/>
  <c r="Y16" i="28"/>
  <c r="E14" i="52"/>
  <c r="AB17" i="20"/>
  <c r="J37" i="52"/>
  <c r="AB38" i="20"/>
  <c r="J42" i="52"/>
  <c r="T42" i="52" s="1"/>
  <c r="T11" i="52"/>
  <c r="R22" i="52"/>
  <c r="T22" i="52"/>
  <c r="K43" i="52"/>
  <c r="H17" i="20"/>
  <c r="N37" i="52"/>
  <c r="J14" i="52"/>
  <c r="AA9" i="18"/>
  <c r="AB14" i="18"/>
  <c r="N17" i="52"/>
  <c r="T17" i="52" s="1"/>
  <c r="AA25" i="18"/>
  <c r="N25" i="52"/>
  <c r="T25" i="52" s="1"/>
  <c r="AB28" i="41"/>
  <c r="AA18" i="18"/>
  <c r="N20" i="52"/>
  <c r="T20" i="52" s="1"/>
  <c r="L19" i="37"/>
  <c r="H5" i="39"/>
  <c r="T11" i="23"/>
  <c r="W11" i="23" s="1"/>
  <c r="K6" i="48"/>
  <c r="N6" i="48" s="1"/>
  <c r="W10" i="23"/>
  <c r="M13" i="39"/>
  <c r="L28" i="39"/>
  <c r="N38" i="48"/>
  <c r="AB14" i="28"/>
  <c r="H10" i="38"/>
  <c r="H6" i="38" s="1"/>
  <c r="H5" i="38" s="1"/>
  <c r="D50" i="36"/>
  <c r="G22" i="36"/>
  <c r="AA29" i="39"/>
  <c r="Y30" i="39"/>
  <c r="Y28" i="39"/>
  <c r="Y31" i="39" s="1"/>
  <c r="M15" i="48"/>
  <c r="D20" i="37"/>
  <c r="H20" i="39"/>
  <c r="H19" i="39" s="1"/>
  <c r="Y16" i="35"/>
  <c r="Y22" i="35" s="1"/>
  <c r="Y26" i="35" s="1"/>
  <c r="Y27" i="35" s="1"/>
  <c r="AB24" i="36"/>
  <c r="AB11" i="37"/>
  <c r="L27" i="37"/>
  <c r="AA12" i="38"/>
  <c r="Y13" i="38"/>
  <c r="AB13" i="38" s="1"/>
  <c r="Y11" i="38"/>
  <c r="Y14" i="38" s="1"/>
  <c r="K8" i="48" s="1"/>
  <c r="AB35" i="36"/>
  <c r="O27" i="37"/>
  <c r="K20" i="39"/>
  <c r="K19" i="39" s="1"/>
  <c r="H15" i="39"/>
  <c r="H13" i="39"/>
  <c r="V20" i="39"/>
  <c r="V19" i="39" s="1"/>
  <c r="K13" i="39"/>
  <c r="L13" i="39"/>
  <c r="AB45" i="36"/>
  <c r="E27" i="37"/>
  <c r="H13" i="38"/>
  <c r="H11" i="38"/>
  <c r="AB51" i="36"/>
  <c r="AB23" i="18"/>
  <c r="U30" i="37"/>
  <c r="U27" i="37"/>
  <c r="O9" i="37"/>
  <c r="O18" i="37" s="1"/>
  <c r="O23" i="37" s="1"/>
  <c r="T17" i="37"/>
  <c r="P9" i="37"/>
  <c r="P29" i="37" s="1"/>
  <c r="AB6" i="37"/>
  <c r="V19" i="37"/>
  <c r="U17" i="37"/>
  <c r="AB7" i="37"/>
  <c r="C22" i="37"/>
  <c r="AA10" i="37"/>
  <c r="G28" i="37"/>
  <c r="H27" i="37"/>
  <c r="M27" i="37"/>
  <c r="T27" i="37"/>
  <c r="F27" i="37"/>
  <c r="K28" i="37"/>
  <c r="Y27" i="37"/>
  <c r="F28" i="37"/>
  <c r="H28" i="37"/>
  <c r="C27" i="37"/>
  <c r="P28" i="37"/>
  <c r="S17" i="37"/>
  <c r="M28" i="37"/>
  <c r="Y28" i="37"/>
  <c r="P27" i="37"/>
  <c r="J17" i="37"/>
  <c r="J27" i="37"/>
  <c r="W28" i="37"/>
  <c r="N28" i="37"/>
  <c r="V28" i="37"/>
  <c r="L28" i="37"/>
  <c r="R28" i="37"/>
  <c r="K9" i="37"/>
  <c r="K18" i="37" s="1"/>
  <c r="K23" i="37" s="1"/>
  <c r="T28" i="37"/>
  <c r="AA6" i="37"/>
  <c r="C28" i="37"/>
  <c r="S27" i="37"/>
  <c r="W27" i="37"/>
  <c r="E17" i="37"/>
  <c r="G27" i="37"/>
  <c r="V27" i="37"/>
  <c r="Q27" i="37"/>
  <c r="AA8" i="37"/>
  <c r="J28" i="37"/>
  <c r="K21" i="37"/>
  <c r="D28" i="37"/>
  <c r="Q28" i="37"/>
  <c r="R27" i="37"/>
  <c r="G17" i="37"/>
  <c r="AA14" i="28"/>
  <c r="L50" i="36"/>
  <c r="T50" i="36"/>
  <c r="Q50" i="36"/>
  <c r="N50" i="36"/>
  <c r="N47" i="36" s="1"/>
  <c r="AB11" i="28"/>
  <c r="T33" i="35"/>
  <c r="T73" i="19"/>
  <c r="V33" i="35"/>
  <c r="V73" i="19"/>
  <c r="D33" i="35"/>
  <c r="D73" i="19"/>
  <c r="Q34" i="35"/>
  <c r="Q74" i="19"/>
  <c r="C36" i="35"/>
  <c r="C76" i="19"/>
  <c r="X34" i="35"/>
  <c r="X74" i="19"/>
  <c r="S36" i="35"/>
  <c r="S76" i="19"/>
  <c r="AB13" i="28"/>
  <c r="Q22" i="36"/>
  <c r="L36" i="35"/>
  <c r="L76" i="19"/>
  <c r="W34" i="35"/>
  <c r="W74" i="19"/>
  <c r="O34" i="35"/>
  <c r="O74" i="19"/>
  <c r="D36" i="35"/>
  <c r="D76" i="19"/>
  <c r="Q33" i="35"/>
  <c r="Q73" i="19"/>
  <c r="L33" i="35"/>
  <c r="L73" i="19"/>
  <c r="W33" i="35"/>
  <c r="W73" i="19"/>
  <c r="M34" i="35"/>
  <c r="M74" i="19"/>
  <c r="P34" i="35"/>
  <c r="P74" i="19"/>
  <c r="Y33" i="35"/>
  <c r="Y73" i="19"/>
  <c r="Y34" i="35"/>
  <c r="Y74" i="19"/>
  <c r="M33" i="35"/>
  <c r="M73" i="19"/>
  <c r="S33" i="35"/>
  <c r="S73" i="19"/>
  <c r="U34" i="35"/>
  <c r="U74" i="19"/>
  <c r="V35" i="35"/>
  <c r="V75" i="19"/>
  <c r="P36" i="35"/>
  <c r="P76" i="19"/>
  <c r="R36" i="35"/>
  <c r="R76" i="19"/>
  <c r="D34" i="35"/>
  <c r="D74" i="19"/>
  <c r="O36" i="35"/>
  <c r="O76" i="19"/>
  <c r="V36" i="35"/>
  <c r="V76" i="19"/>
  <c r="K34" i="35"/>
  <c r="K74" i="19"/>
  <c r="C34" i="35"/>
  <c r="C74" i="19"/>
  <c r="C33" i="35"/>
  <c r="C73" i="19"/>
  <c r="U33" i="35"/>
  <c r="U73" i="19"/>
  <c r="J34" i="35"/>
  <c r="J74" i="19"/>
  <c r="AA6" i="18"/>
  <c r="N34" i="35"/>
  <c r="N74" i="19"/>
  <c r="V34" i="35"/>
  <c r="V74" i="19"/>
  <c r="L34" i="35"/>
  <c r="L74" i="19"/>
  <c r="K33" i="35"/>
  <c r="K73" i="19"/>
  <c r="N33" i="35"/>
  <c r="N73" i="19"/>
  <c r="X33" i="35"/>
  <c r="X73" i="19"/>
  <c r="J36" i="35"/>
  <c r="J76" i="19"/>
  <c r="O33" i="35"/>
  <c r="O73" i="19"/>
  <c r="R33" i="35"/>
  <c r="R73" i="19"/>
  <c r="S34" i="35"/>
  <c r="S74" i="19"/>
  <c r="P33" i="35"/>
  <c r="P73" i="19"/>
  <c r="Y36" i="35"/>
  <c r="Y76" i="19"/>
  <c r="AB76" i="19" s="1"/>
  <c r="T34" i="35"/>
  <c r="T74" i="19"/>
  <c r="N36" i="35"/>
  <c r="N76" i="19"/>
  <c r="AB15" i="28"/>
  <c r="R34" i="35"/>
  <c r="R74" i="19"/>
  <c r="X36" i="35"/>
  <c r="X76" i="19"/>
  <c r="T36" i="35"/>
  <c r="T76" i="19"/>
  <c r="Q36" i="35"/>
  <c r="Q76" i="19"/>
  <c r="J33" i="35"/>
  <c r="J73" i="19"/>
  <c r="W36" i="35"/>
  <c r="W76" i="19"/>
  <c r="K36" i="35"/>
  <c r="K76" i="19"/>
  <c r="M36" i="35"/>
  <c r="M76" i="19"/>
  <c r="AA12" i="28"/>
  <c r="AB10" i="28"/>
  <c r="AB10" i="37"/>
  <c r="H31" i="37"/>
  <c r="H20" i="37"/>
  <c r="Y20" i="37"/>
  <c r="AB20" i="37" s="1"/>
  <c r="Y31" i="37"/>
  <c r="H21" i="37"/>
  <c r="H32" i="37"/>
  <c r="Y32" i="37"/>
  <c r="Y21" i="37"/>
  <c r="AA7" i="37"/>
  <c r="P31" i="37"/>
  <c r="Y30" i="37"/>
  <c r="Y9" i="37"/>
  <c r="Y19" i="37"/>
  <c r="AB19" i="37" s="1"/>
  <c r="Y5" i="37"/>
  <c r="Y17" i="37"/>
  <c r="H22" i="37"/>
  <c r="H33" i="37"/>
  <c r="M22" i="37"/>
  <c r="Q21" i="37"/>
  <c r="H9" i="37"/>
  <c r="H30" i="37"/>
  <c r="H19" i="37"/>
  <c r="H5" i="37"/>
  <c r="H17" i="37"/>
  <c r="Y22" i="37"/>
  <c r="AB22" i="37" s="1"/>
  <c r="Y33" i="37"/>
  <c r="K33" i="37"/>
  <c r="AA13" i="37"/>
  <c r="AB21" i="36"/>
  <c r="AA24" i="36"/>
  <c r="C22" i="36"/>
  <c r="AB23" i="36"/>
  <c r="AA11" i="36"/>
  <c r="AB11" i="36"/>
  <c r="AA52" i="36"/>
  <c r="D22" i="36"/>
  <c r="S22" i="36"/>
  <c r="AA32" i="36"/>
  <c r="O50" i="36"/>
  <c r="AB32" i="36"/>
  <c r="J22" i="36"/>
  <c r="J19" i="36" s="1"/>
  <c r="M50" i="36"/>
  <c r="AB25" i="36"/>
  <c r="N34" i="36"/>
  <c r="AA12" i="36"/>
  <c r="E22" i="36"/>
  <c r="E19" i="36" s="1"/>
  <c r="W50" i="36"/>
  <c r="AA25" i="36"/>
  <c r="AB37" i="36"/>
  <c r="T22" i="36"/>
  <c r="R50" i="36"/>
  <c r="R47" i="36" s="1"/>
  <c r="AA38" i="36"/>
  <c r="P22" i="36"/>
  <c r="J50" i="36"/>
  <c r="O22" i="36"/>
  <c r="O19" i="36" s="1"/>
  <c r="M22" i="36"/>
  <c r="L8" i="36"/>
  <c r="H50" i="36"/>
  <c r="Y50" i="36"/>
  <c r="H20" i="36"/>
  <c r="H8" i="36"/>
  <c r="Y8" i="36"/>
  <c r="Y20" i="36"/>
  <c r="AB20" i="36" s="1"/>
  <c r="H22" i="36"/>
  <c r="AB12" i="36"/>
  <c r="K50" i="36"/>
  <c r="E8" i="36"/>
  <c r="AB52" i="36"/>
  <c r="P50" i="36"/>
  <c r="Y22" i="36"/>
  <c r="L22" i="36"/>
  <c r="L19" i="36" s="1"/>
  <c r="Y34" i="36"/>
  <c r="Y49" i="36"/>
  <c r="H48" i="36"/>
  <c r="H34" i="36"/>
  <c r="N22" i="36"/>
  <c r="F22" i="36"/>
  <c r="U48" i="36"/>
  <c r="AB48" i="36" s="1"/>
  <c r="V22" i="36"/>
  <c r="U8" i="36"/>
  <c r="O8" i="36"/>
  <c r="AB10" i="36"/>
  <c r="W95" i="19"/>
  <c r="M22" i="35"/>
  <c r="M26" i="35" s="1"/>
  <c r="M27" i="35" s="1"/>
  <c r="M30" i="35" s="1"/>
  <c r="AB31" i="41"/>
  <c r="D21" i="41"/>
  <c r="N84" i="19"/>
  <c r="AA24" i="20"/>
  <c r="J22" i="35"/>
  <c r="AB12" i="18"/>
  <c r="F34" i="41"/>
  <c r="F40" i="41" s="1"/>
  <c r="K22" i="35"/>
  <c r="K26" i="35" s="1"/>
  <c r="K27" i="35" s="1"/>
  <c r="O22" i="35"/>
  <c r="O26" i="35" s="1"/>
  <c r="O27" i="35" s="1"/>
  <c r="O37" i="35" s="1"/>
  <c r="T22" i="35"/>
  <c r="AB11" i="35"/>
  <c r="AA27" i="20"/>
  <c r="AA13" i="20"/>
  <c r="G34" i="41"/>
  <c r="G40" i="41" s="1"/>
  <c r="H41" i="41" s="1"/>
  <c r="Y35" i="35"/>
  <c r="AB62" i="19"/>
  <c r="U36" i="35"/>
  <c r="AB52" i="19"/>
  <c r="O35" i="35"/>
  <c r="J35" i="35"/>
  <c r="Q35" i="35"/>
  <c r="L39" i="41"/>
  <c r="L42" i="41" s="1"/>
  <c r="L44" i="41" s="1"/>
  <c r="AA25" i="20"/>
  <c r="W35" i="35"/>
  <c r="C35" i="35"/>
  <c r="M35" i="35"/>
  <c r="U35" i="35"/>
  <c r="N35" i="35"/>
  <c r="S35" i="35"/>
  <c r="R18" i="51"/>
  <c r="P35" i="35"/>
  <c r="T35" i="35"/>
  <c r="AA7" i="18"/>
  <c r="AB8" i="41"/>
  <c r="X35" i="35"/>
  <c r="U50" i="36"/>
  <c r="K35" i="35"/>
  <c r="D35" i="35"/>
  <c r="R35" i="35"/>
  <c r="J15" i="41"/>
  <c r="K22" i="41" s="1"/>
  <c r="L35" i="35"/>
  <c r="AA52" i="19"/>
  <c r="N98" i="19"/>
  <c r="N109" i="19" s="1"/>
  <c r="AB5" i="35"/>
  <c r="AA19" i="35"/>
  <c r="AA18" i="35"/>
  <c r="H25" i="35"/>
  <c r="H19" i="35"/>
  <c r="H20" i="35"/>
  <c r="AB18" i="35"/>
  <c r="U22" i="35"/>
  <c r="H18" i="35"/>
  <c r="V22" i="35"/>
  <c r="AB9" i="35"/>
  <c r="AA47" i="19"/>
  <c r="AB6" i="35"/>
  <c r="C32" i="20"/>
  <c r="R32" i="20"/>
  <c r="AB54" i="19"/>
  <c r="S11" i="41"/>
  <c r="AA99" i="19"/>
  <c r="AA65" i="19"/>
  <c r="AB6" i="41"/>
  <c r="AA32" i="19"/>
  <c r="AA37" i="41"/>
  <c r="AA43" i="41"/>
  <c r="AB44" i="19"/>
  <c r="AB33" i="20"/>
  <c r="AA35" i="20"/>
  <c r="AA14" i="18"/>
  <c r="AB26" i="18"/>
  <c r="AA60" i="19"/>
  <c r="AA7" i="41"/>
  <c r="AA12" i="41"/>
  <c r="L98" i="19"/>
  <c r="L109" i="19" s="1"/>
  <c r="AB15" i="18"/>
  <c r="AA4" i="18"/>
  <c r="AA21" i="18"/>
  <c r="AB9" i="18"/>
  <c r="AB61" i="19"/>
  <c r="O34" i="41"/>
  <c r="O40" i="41" s="1"/>
  <c r="P41" i="41" s="1"/>
  <c r="P39" i="41" s="1"/>
  <c r="P42" i="41" s="1"/>
  <c r="P44" i="41" s="1"/>
  <c r="AB45" i="19"/>
  <c r="C15" i="41"/>
  <c r="C22" i="41" s="1"/>
  <c r="AA20" i="20"/>
  <c r="AA37" i="20"/>
  <c r="AB10" i="41"/>
  <c r="AA33" i="20"/>
  <c r="W32" i="20"/>
  <c r="AA30" i="18"/>
  <c r="AB13" i="41"/>
  <c r="AA38" i="41"/>
  <c r="AA61" i="19"/>
  <c r="Y98" i="19"/>
  <c r="Y94" i="19" s="1"/>
  <c r="AA20" i="18"/>
  <c r="AB32" i="41"/>
  <c r="AA10" i="35"/>
  <c r="F21" i="35"/>
  <c r="AA7" i="35"/>
  <c r="AB10" i="35"/>
  <c r="Y13" i="35"/>
  <c r="AA9" i="35"/>
  <c r="AA5" i="35"/>
  <c r="AB12" i="35"/>
  <c r="AA11" i="35"/>
  <c r="AA5" i="41"/>
  <c r="AB30" i="41"/>
  <c r="AB43" i="41"/>
  <c r="AA24" i="41"/>
  <c r="AB38" i="41"/>
  <c r="AB29" i="41"/>
  <c r="Y11" i="41"/>
  <c r="H11" i="41" s="1"/>
  <c r="H12" i="41"/>
  <c r="H5" i="41"/>
  <c r="AA30" i="41"/>
  <c r="Y34" i="41"/>
  <c r="H28" i="41"/>
  <c r="M11" i="41"/>
  <c r="E11" i="41" s="1"/>
  <c r="X34" i="41"/>
  <c r="X40" i="41" s="1"/>
  <c r="S39" i="41"/>
  <c r="S42" i="41" s="1"/>
  <c r="S44" i="41" s="1"/>
  <c r="AB19" i="41"/>
  <c r="AA9" i="41"/>
  <c r="AA8" i="41"/>
  <c r="AA6" i="41"/>
  <c r="AA32" i="41"/>
  <c r="AA13" i="41"/>
  <c r="AA10" i="41"/>
  <c r="AA29" i="41"/>
  <c r="E41" i="41"/>
  <c r="E39" i="41" s="1"/>
  <c r="E42" i="41" s="1"/>
  <c r="E44" i="41" s="1"/>
  <c r="AB14" i="41"/>
  <c r="AA31" i="41"/>
  <c r="AB100" i="19"/>
  <c r="AB60" i="19"/>
  <c r="K98" i="19"/>
  <c r="K109" i="19" s="1"/>
  <c r="Y85" i="19"/>
  <c r="H85" i="19" s="1"/>
  <c r="AA100" i="19"/>
  <c r="Y39" i="19"/>
  <c r="H39" i="19" s="1"/>
  <c r="W37" i="19"/>
  <c r="AA10" i="18"/>
  <c r="AA22" i="18"/>
  <c r="AA5" i="18"/>
  <c r="AA26" i="18"/>
  <c r="AA12" i="18"/>
  <c r="AB18" i="18"/>
  <c r="Y91" i="19"/>
  <c r="AB91" i="19" s="1"/>
  <c r="H8" i="20"/>
  <c r="H91" i="19" s="1"/>
  <c r="AA38" i="20"/>
  <c r="H38" i="20"/>
  <c r="K20" i="48"/>
  <c r="M20" i="48" s="1"/>
  <c r="AA41" i="20"/>
  <c r="AA8" i="20"/>
  <c r="Y32" i="20"/>
  <c r="H32" i="20" s="1"/>
  <c r="H33" i="20"/>
  <c r="AA23" i="20"/>
  <c r="AA7" i="20"/>
  <c r="O32" i="20"/>
  <c r="AA14" i="20"/>
  <c r="AA6" i="20"/>
  <c r="AA17" i="20"/>
  <c r="AA29" i="20"/>
  <c r="M87" i="19"/>
  <c r="E87" i="19" s="1"/>
  <c r="N39" i="19"/>
  <c r="N37" i="19" s="1"/>
  <c r="AB51" i="19"/>
  <c r="G7" i="19"/>
  <c r="AA54" i="19"/>
  <c r="AA67" i="19"/>
  <c r="AA51" i="19"/>
  <c r="U95" i="19"/>
  <c r="AB95" i="19" s="1"/>
  <c r="H55" i="19"/>
  <c r="AA50" i="19"/>
  <c r="AA62" i="19"/>
  <c r="E64" i="19"/>
  <c r="H42" i="19"/>
  <c r="H43" i="19"/>
  <c r="F54" i="19"/>
  <c r="D19" i="48"/>
  <c r="C50" i="36"/>
  <c r="Q39" i="41"/>
  <c r="Q42" i="41" s="1"/>
  <c r="Q44" i="41" s="1"/>
  <c r="H59" i="19"/>
  <c r="V100" i="19"/>
  <c r="H100" i="19" s="1"/>
  <c r="H67" i="19"/>
  <c r="H68" i="19"/>
  <c r="V104" i="19"/>
  <c r="H104" i="19" s="1"/>
  <c r="H50" i="19"/>
  <c r="Y87" i="19"/>
  <c r="H87" i="19" s="1"/>
  <c r="H10" i="19"/>
  <c r="H51" i="19"/>
  <c r="H61" i="19"/>
  <c r="K30" i="48"/>
  <c r="M30" i="48" s="1"/>
  <c r="H34" i="19"/>
  <c r="V103" i="19"/>
  <c r="H103" i="19" s="1"/>
  <c r="H48" i="19"/>
  <c r="V101" i="19"/>
  <c r="H46" i="19"/>
  <c r="H69" i="19"/>
  <c r="H57" i="19"/>
  <c r="V96" i="19"/>
  <c r="H44" i="19"/>
  <c r="Y88" i="19"/>
  <c r="Y112" i="19" s="1"/>
  <c r="H11" i="19"/>
  <c r="H56" i="19"/>
  <c r="V99" i="19"/>
  <c r="H99" i="19" s="1"/>
  <c r="H45" i="19"/>
  <c r="H60" i="19"/>
  <c r="H58" i="19"/>
  <c r="H53" i="19"/>
  <c r="V97" i="19"/>
  <c r="H97" i="19" s="1"/>
  <c r="H66" i="19"/>
  <c r="H65" i="19"/>
  <c r="H49" i="19"/>
  <c r="H70" i="19"/>
  <c r="H63" i="19"/>
  <c r="H62" i="19"/>
  <c r="K29" i="48"/>
  <c r="N29" i="48" s="1"/>
  <c r="H22" i="19"/>
  <c r="F8" i="20"/>
  <c r="F91" i="19" s="1"/>
  <c r="Q91" i="19"/>
  <c r="Q113" i="19" s="1"/>
  <c r="H52" i="19"/>
  <c r="H54" i="19"/>
  <c r="H64" i="19"/>
  <c r="V102" i="19"/>
  <c r="H47" i="19"/>
  <c r="W85" i="19"/>
  <c r="W84" i="19" s="1"/>
  <c r="T98" i="19"/>
  <c r="T109" i="19" s="1"/>
  <c r="G68" i="19"/>
  <c r="AA55" i="19"/>
  <c r="AA9" i="19"/>
  <c r="AB47" i="19"/>
  <c r="AB48" i="19"/>
  <c r="E49" i="19"/>
  <c r="AA42" i="19"/>
  <c r="G58" i="19"/>
  <c r="D95" i="19"/>
  <c r="D108" i="19" s="1"/>
  <c r="G52" i="19"/>
  <c r="AB49" i="19"/>
  <c r="AB64" i="19"/>
  <c r="AB103" i="19"/>
  <c r="AB55" i="19"/>
  <c r="AA43" i="19"/>
  <c r="S98" i="19"/>
  <c r="S109" i="19" s="1"/>
  <c r="M98" i="19"/>
  <c r="M109" i="19" s="1"/>
  <c r="AA68" i="19"/>
  <c r="E99" i="19"/>
  <c r="G22" i="19"/>
  <c r="E68" i="19"/>
  <c r="AA46" i="19"/>
  <c r="AB20" i="19"/>
  <c r="F70" i="19"/>
  <c r="AB65" i="19"/>
  <c r="Q86" i="19"/>
  <c r="F86" i="19" s="1"/>
  <c r="AA53" i="19"/>
  <c r="AB42" i="19"/>
  <c r="F11" i="19"/>
  <c r="AB68" i="19"/>
  <c r="AB59" i="19"/>
  <c r="AB21" i="19"/>
  <c r="AB67" i="19"/>
  <c r="U99" i="19"/>
  <c r="AB99" i="19" s="1"/>
  <c r="F52" i="19"/>
  <c r="G100" i="19"/>
  <c r="E9" i="19"/>
  <c r="AB50" i="19"/>
  <c r="AA45" i="19"/>
  <c r="AA58" i="19"/>
  <c r="AA103" i="19"/>
  <c r="X84" i="19"/>
  <c r="X80" i="19" s="1"/>
  <c r="F53" i="19"/>
  <c r="X96" i="19"/>
  <c r="AA96" i="19" s="1"/>
  <c r="G63" i="19"/>
  <c r="X39" i="19"/>
  <c r="X37" i="19" s="1"/>
  <c r="P95" i="19"/>
  <c r="E45" i="19"/>
  <c r="M85" i="19"/>
  <c r="M84" i="19" s="1"/>
  <c r="W98" i="19"/>
  <c r="W109" i="19" s="1"/>
  <c r="AA59" i="19"/>
  <c r="C30" i="48"/>
  <c r="G8" i="19"/>
  <c r="AA49" i="19"/>
  <c r="V85" i="19"/>
  <c r="V84" i="19" s="1"/>
  <c r="J112" i="19"/>
  <c r="E63" i="19"/>
  <c r="AA6" i="19"/>
  <c r="X101" i="19"/>
  <c r="AA101" i="19" s="1"/>
  <c r="AA56" i="19"/>
  <c r="E42" i="19"/>
  <c r="AB33" i="19"/>
  <c r="M95" i="19"/>
  <c r="AB97" i="19"/>
  <c r="S110" i="19"/>
  <c r="AB102" i="19"/>
  <c r="F49" i="19"/>
  <c r="F68" i="19"/>
  <c r="P98" i="19"/>
  <c r="P109" i="19" s="1"/>
  <c r="Q95" i="19"/>
  <c r="AB43" i="19"/>
  <c r="M5" i="19"/>
  <c r="M12" i="19" s="1"/>
  <c r="E12" i="19" s="1"/>
  <c r="L85" i="19"/>
  <c r="L84" i="19" s="1"/>
  <c r="L111" i="19" s="1"/>
  <c r="AB32" i="19"/>
  <c r="C98" i="19"/>
  <c r="C94" i="19" s="1"/>
  <c r="G57" i="19"/>
  <c r="J95" i="19"/>
  <c r="J108" i="19" s="1"/>
  <c r="AA70" i="19"/>
  <c r="D110" i="19"/>
  <c r="E51" i="19"/>
  <c r="AA116" i="19"/>
  <c r="AA20" i="19"/>
  <c r="F61" i="19"/>
  <c r="AB8" i="19"/>
  <c r="F63" i="19"/>
  <c r="U104" i="19"/>
  <c r="AB104" i="19" s="1"/>
  <c r="AB58" i="19"/>
  <c r="C80" i="19"/>
  <c r="F22" i="19"/>
  <c r="AB10" i="19"/>
  <c r="G30" i="48"/>
  <c r="Q98" i="19"/>
  <c r="AA66" i="19"/>
  <c r="AB69" i="19"/>
  <c r="E67" i="19"/>
  <c r="E53" i="19"/>
  <c r="D98" i="19"/>
  <c r="AB56" i="19"/>
  <c r="AB70" i="19"/>
  <c r="AA104" i="19"/>
  <c r="AA21" i="19"/>
  <c r="G10" i="19"/>
  <c r="U87" i="19"/>
  <c r="G87" i="19" s="1"/>
  <c r="AB11" i="19"/>
  <c r="AA97" i="19"/>
  <c r="AA48" i="19"/>
  <c r="AA64" i="19"/>
  <c r="AA16" i="19"/>
  <c r="G51" i="19"/>
  <c r="AB6" i="19"/>
  <c r="W110" i="19"/>
  <c r="AB22" i="19"/>
  <c r="F42" i="19"/>
  <c r="F66" i="19"/>
  <c r="P5" i="19"/>
  <c r="P15" i="19" s="1"/>
  <c r="P17" i="19" s="1"/>
  <c r="E97" i="19"/>
  <c r="K112" i="19"/>
  <c r="P32" i="20"/>
  <c r="R112" i="19"/>
  <c r="G97" i="19"/>
  <c r="AB7" i="19"/>
  <c r="Y82" i="19"/>
  <c r="S32" i="20"/>
  <c r="D32" i="20"/>
  <c r="T15" i="51"/>
  <c r="T18" i="51" s="1"/>
  <c r="Y5" i="19"/>
  <c r="Y81" i="19"/>
  <c r="E57" i="19"/>
  <c r="F55" i="19"/>
  <c r="K95" i="19"/>
  <c r="K108" i="19" s="1"/>
  <c r="AA8" i="19"/>
  <c r="Y83" i="19"/>
  <c r="U15" i="51"/>
  <c r="AB15" i="51" s="1"/>
  <c r="AA38" i="19"/>
  <c r="Y86" i="19"/>
  <c r="G49" i="19"/>
  <c r="J32" i="20"/>
  <c r="K32" i="20"/>
  <c r="E59" i="19"/>
  <c r="AA33" i="19"/>
  <c r="AB38" i="19"/>
  <c r="F43" i="19"/>
  <c r="K39" i="19"/>
  <c r="K37" i="19" s="1"/>
  <c r="E66" i="19"/>
  <c r="F100" i="19"/>
  <c r="C5" i="19"/>
  <c r="C15" i="19" s="1"/>
  <c r="C17" i="19" s="1"/>
  <c r="J110" i="19"/>
  <c r="E70" i="19"/>
  <c r="D5" i="19"/>
  <c r="D15" i="19" s="1"/>
  <c r="D17" i="19" s="1"/>
  <c r="AB66" i="19"/>
  <c r="F7" i="19"/>
  <c r="Q82" i="19"/>
  <c r="F82" i="19" s="1"/>
  <c r="AA7" i="19"/>
  <c r="F67" i="19"/>
  <c r="AA22" i="19"/>
  <c r="V81" i="19"/>
  <c r="V5" i="19"/>
  <c r="V15" i="19" s="1"/>
  <c r="V17" i="19" s="1"/>
  <c r="F10" i="19"/>
  <c r="F59" i="19"/>
  <c r="X5" i="19"/>
  <c r="G56" i="19"/>
  <c r="G38" i="19"/>
  <c r="AA10" i="19"/>
  <c r="P39" i="19"/>
  <c r="P37" i="19" s="1"/>
  <c r="P85" i="19"/>
  <c r="P84" i="19" s="1"/>
  <c r="P80" i="19" s="1"/>
  <c r="E56" i="19"/>
  <c r="W5" i="19"/>
  <c r="W15" i="19" s="1"/>
  <c r="W17" i="19" s="1"/>
  <c r="G55" i="19"/>
  <c r="F56" i="19"/>
  <c r="E6" i="19"/>
  <c r="AA34" i="19"/>
  <c r="G66" i="19"/>
  <c r="U86" i="19"/>
  <c r="G67" i="19"/>
  <c r="S95" i="19"/>
  <c r="S108" i="19" s="1"/>
  <c r="M83" i="19"/>
  <c r="E83" i="19" s="1"/>
  <c r="AB34" i="19"/>
  <c r="AA11" i="19"/>
  <c r="AB6" i="18"/>
  <c r="AB7" i="18"/>
  <c r="K80" i="19"/>
  <c r="R35" i="52"/>
  <c r="G11" i="38"/>
  <c r="N13" i="39"/>
  <c r="K6" i="39"/>
  <c r="K5" i="39" s="1"/>
  <c r="E61" i="19"/>
  <c r="M6" i="38"/>
  <c r="M5" i="38" s="1"/>
  <c r="L6" i="39"/>
  <c r="L5" i="39" s="1"/>
  <c r="J6" i="39"/>
  <c r="J5" i="39" s="1"/>
  <c r="S13" i="35"/>
  <c r="F22" i="37"/>
  <c r="F101" i="19"/>
  <c r="E20" i="37"/>
  <c r="Q28" i="39"/>
  <c r="P7" i="51"/>
  <c r="P10" i="51" s="1"/>
  <c r="P16" i="28" s="1"/>
  <c r="D80" i="19"/>
  <c r="K13" i="35"/>
  <c r="Q6" i="38"/>
  <c r="Q5" i="38" s="1"/>
  <c r="Q14" i="38" s="1"/>
  <c r="C8" i="48" s="1"/>
  <c r="L20" i="39"/>
  <c r="L19" i="39" s="1"/>
  <c r="R32" i="37"/>
  <c r="L18" i="37"/>
  <c r="W13" i="35"/>
  <c r="R9" i="37"/>
  <c r="R29" i="37" s="1"/>
  <c r="E43" i="19"/>
  <c r="F51" i="19"/>
  <c r="U5" i="19"/>
  <c r="U15" i="19" s="1"/>
  <c r="E13" i="35"/>
  <c r="V13" i="35"/>
  <c r="D6" i="38"/>
  <c r="D5" i="38" s="1"/>
  <c r="U6" i="38"/>
  <c r="AB9" i="38"/>
  <c r="O20" i="39"/>
  <c r="O19" i="39" s="1"/>
  <c r="U25" i="39"/>
  <c r="AB25" i="39" s="1"/>
  <c r="AB11" i="39"/>
  <c r="G15" i="20"/>
  <c r="AB15" i="20"/>
  <c r="G41" i="20"/>
  <c r="AB41" i="20"/>
  <c r="X6" i="38"/>
  <c r="AA6" i="38" s="1"/>
  <c r="AA10" i="38"/>
  <c r="X15" i="51"/>
  <c r="AA17" i="51"/>
  <c r="N11" i="23"/>
  <c r="V41" i="41"/>
  <c r="V39" i="41" s="1"/>
  <c r="V42" i="41" s="1"/>
  <c r="V44" i="41" s="1"/>
  <c r="AB18" i="41"/>
  <c r="G27" i="20"/>
  <c r="AB27" i="20"/>
  <c r="G10" i="20"/>
  <c r="AB10" i="20"/>
  <c r="G11" i="20"/>
  <c r="AB11" i="20"/>
  <c r="G14" i="20"/>
  <c r="AB14" i="20"/>
  <c r="G7" i="20"/>
  <c r="AB7" i="20"/>
  <c r="G28" i="20"/>
  <c r="AB28" i="20"/>
  <c r="G23" i="20"/>
  <c r="AB23" i="20"/>
  <c r="AA19" i="18"/>
  <c r="V37" i="19"/>
  <c r="K5" i="19"/>
  <c r="U9" i="37"/>
  <c r="G21" i="20"/>
  <c r="AB21" i="20"/>
  <c r="G24" i="20"/>
  <c r="AB24" i="20"/>
  <c r="G34" i="20"/>
  <c r="AB34" i="20"/>
  <c r="G9" i="20"/>
  <c r="AB9" i="20"/>
  <c r="G13" i="20"/>
  <c r="AB13" i="20"/>
  <c r="AB19" i="18"/>
  <c r="AB11" i="18"/>
  <c r="E52" i="19"/>
  <c r="U53" i="36"/>
  <c r="AB53" i="36" s="1"/>
  <c r="AB38" i="36"/>
  <c r="W6" i="38"/>
  <c r="W5" i="38" s="1"/>
  <c r="G10" i="38"/>
  <c r="G6" i="38" s="1"/>
  <c r="G5" i="38" s="1"/>
  <c r="R6" i="39"/>
  <c r="R5" i="39" s="1"/>
  <c r="P5" i="31"/>
  <c r="W8" i="31"/>
  <c r="G16" i="20"/>
  <c r="AB16" i="20"/>
  <c r="G20" i="35"/>
  <c r="AB20" i="35"/>
  <c r="U13" i="51"/>
  <c r="AB14" i="51"/>
  <c r="G37" i="20"/>
  <c r="AB37" i="20"/>
  <c r="U28" i="37"/>
  <c r="AB8" i="37"/>
  <c r="U101" i="19"/>
  <c r="U110" i="19" s="1"/>
  <c r="AB46" i="19"/>
  <c r="G62" i="19"/>
  <c r="E55" i="19"/>
  <c r="G59" i="19"/>
  <c r="P110" i="19"/>
  <c r="P15" i="41"/>
  <c r="Q22" i="41" s="1"/>
  <c r="N7" i="51"/>
  <c r="N10" i="51" s="1"/>
  <c r="N16" i="28" s="1"/>
  <c r="N21" i="41"/>
  <c r="G35" i="20"/>
  <c r="AB35" i="20"/>
  <c r="G5" i="20"/>
  <c r="AB5" i="20"/>
  <c r="AB4" i="18"/>
  <c r="G16" i="19"/>
  <c r="AB16" i="19"/>
  <c r="F57" i="19"/>
  <c r="M13" i="35"/>
  <c r="U7" i="51"/>
  <c r="G25" i="48"/>
  <c r="N25" i="48" s="1"/>
  <c r="V5" i="29"/>
  <c r="F13" i="32"/>
  <c r="G24" i="48"/>
  <c r="N24" i="48" s="1"/>
  <c r="W13" i="32"/>
  <c r="AB37" i="41"/>
  <c r="U22" i="36"/>
  <c r="G22" i="20"/>
  <c r="AB22" i="20"/>
  <c r="G8" i="20"/>
  <c r="G91" i="19" s="1"/>
  <c r="AB8" i="20"/>
  <c r="G25" i="20"/>
  <c r="AB25" i="20"/>
  <c r="AB22" i="18"/>
  <c r="E65" i="19"/>
  <c r="U85" i="19"/>
  <c r="AB9" i="19"/>
  <c r="G116" i="19"/>
  <c r="AB116" i="19"/>
  <c r="G7" i="41"/>
  <c r="AB7" i="41"/>
  <c r="U49" i="36"/>
  <c r="AB36" i="36"/>
  <c r="G12" i="20"/>
  <c r="AB12" i="20"/>
  <c r="G20" i="20"/>
  <c r="AB20" i="20"/>
  <c r="G36" i="20"/>
  <c r="G26" i="20"/>
  <c r="AB26" i="20"/>
  <c r="G6" i="20"/>
  <c r="AB6" i="20"/>
  <c r="V32" i="20"/>
  <c r="G29" i="20"/>
  <c r="AB29" i="20"/>
  <c r="AB25" i="18"/>
  <c r="AB5" i="18"/>
  <c r="G53" i="19"/>
  <c r="AB53" i="19"/>
  <c r="F64" i="19"/>
  <c r="U39" i="19"/>
  <c r="E21" i="35"/>
  <c r="C13" i="35"/>
  <c r="J13" i="35"/>
  <c r="J9" i="37"/>
  <c r="J29" i="37" s="1"/>
  <c r="D20" i="39"/>
  <c r="D19" i="39" s="1"/>
  <c r="D31" i="39" s="1"/>
  <c r="X7" i="51"/>
  <c r="AA7" i="51" s="1"/>
  <c r="AA9" i="51"/>
  <c r="J5" i="48"/>
  <c r="M5" i="48" s="1"/>
  <c r="K11" i="23"/>
  <c r="R11" i="23"/>
  <c r="I6" i="48"/>
  <c r="S11" i="23"/>
  <c r="V11" i="23" s="1"/>
  <c r="J6" i="48"/>
  <c r="H11" i="23"/>
  <c r="S13" i="32"/>
  <c r="V13" i="32" s="1"/>
  <c r="J13" i="32"/>
  <c r="J26" i="48"/>
  <c r="M26" i="48" s="1"/>
  <c r="T9" i="51"/>
  <c r="T7" i="51" s="1"/>
  <c r="S9" i="51"/>
  <c r="S7" i="51" s="1"/>
  <c r="S10" i="51" s="1"/>
  <c r="S16" i="28" s="1"/>
  <c r="E9" i="51"/>
  <c r="E7" i="51" s="1"/>
  <c r="E10" i="51" s="1"/>
  <c r="E16" i="28" s="1"/>
  <c r="J9" i="51"/>
  <c r="J7" i="51" s="1"/>
  <c r="J10" i="51" s="1"/>
  <c r="J16" i="28" s="1"/>
  <c r="S18" i="51"/>
  <c r="G8" i="51"/>
  <c r="W9" i="51"/>
  <c r="W7" i="51" s="1"/>
  <c r="W10" i="51" s="1"/>
  <c r="W16" i="28" s="1"/>
  <c r="O7" i="51"/>
  <c r="O10" i="51" s="1"/>
  <c r="O16" i="28" s="1"/>
  <c r="N17" i="51"/>
  <c r="N15" i="51" s="1"/>
  <c r="N18" i="51" s="1"/>
  <c r="E16" i="51"/>
  <c r="V9" i="51"/>
  <c r="V7" i="51" s="1"/>
  <c r="V10" i="51" s="1"/>
  <c r="V16" i="28" s="1"/>
  <c r="F7" i="51"/>
  <c r="F10" i="51" s="1"/>
  <c r="F16" i="28" s="1"/>
  <c r="M15" i="51"/>
  <c r="M18" i="51" s="1"/>
  <c r="K9" i="51"/>
  <c r="K7" i="51" s="1"/>
  <c r="K10" i="51" s="1"/>
  <c r="K16" i="28" s="1"/>
  <c r="C9" i="51"/>
  <c r="C7" i="51" s="1"/>
  <c r="C10" i="51" s="1"/>
  <c r="C16" i="28" s="1"/>
  <c r="D9" i="51"/>
  <c r="D7" i="51" s="1"/>
  <c r="D10" i="51" s="1"/>
  <c r="D16" i="28" s="1"/>
  <c r="R9" i="51"/>
  <c r="R7" i="51" s="1"/>
  <c r="R10" i="51" s="1"/>
  <c r="R16" i="28" s="1"/>
  <c r="Q16" i="28"/>
  <c r="P17" i="51"/>
  <c r="P15" i="51" s="1"/>
  <c r="P18" i="51" s="1"/>
  <c r="O15" i="51"/>
  <c r="O18" i="51" s="1"/>
  <c r="L17" i="51"/>
  <c r="L15" i="51" s="1"/>
  <c r="L18" i="51" s="1"/>
  <c r="K15" i="51"/>
  <c r="K18" i="51" s="1"/>
  <c r="G17" i="51"/>
  <c r="G15" i="51" s="1"/>
  <c r="G18" i="51" s="1"/>
  <c r="M9" i="51"/>
  <c r="M7" i="51" s="1"/>
  <c r="M10" i="51" s="1"/>
  <c r="M16" i="28" s="1"/>
  <c r="L7" i="51"/>
  <c r="L10" i="51" s="1"/>
  <c r="L16" i="28" s="1"/>
  <c r="G20" i="39"/>
  <c r="G19" i="39" s="1"/>
  <c r="U6" i="39"/>
  <c r="AB6" i="39" s="1"/>
  <c r="R20" i="39"/>
  <c r="R19" i="39" s="1"/>
  <c r="G5" i="39"/>
  <c r="O13" i="39"/>
  <c r="K28" i="39"/>
  <c r="J28" i="39"/>
  <c r="X30" i="39"/>
  <c r="W28" i="39"/>
  <c r="C20" i="39"/>
  <c r="C19" i="39" s="1"/>
  <c r="C31" i="39" s="1"/>
  <c r="P28" i="39"/>
  <c r="H12" i="48"/>
  <c r="V5" i="39"/>
  <c r="V16" i="39" s="1"/>
  <c r="H7" i="48" s="1"/>
  <c r="T20" i="39"/>
  <c r="T19" i="39" s="1"/>
  <c r="M20" i="39"/>
  <c r="M19" i="39" s="1"/>
  <c r="M31" i="39" s="1"/>
  <c r="T6" i="39"/>
  <c r="U30" i="39"/>
  <c r="U28" i="39"/>
  <c r="T28" i="39"/>
  <c r="T15" i="39"/>
  <c r="T13" i="39"/>
  <c r="Q5" i="39"/>
  <c r="C12" i="48"/>
  <c r="X25" i="39"/>
  <c r="AA25" i="39" s="1"/>
  <c r="V30" i="39"/>
  <c r="V28" i="39"/>
  <c r="G29" i="39"/>
  <c r="O30" i="39"/>
  <c r="O28" i="39"/>
  <c r="G15" i="39"/>
  <c r="F13" i="39"/>
  <c r="G13" i="39"/>
  <c r="X28" i="39"/>
  <c r="F28" i="39"/>
  <c r="G30" i="39"/>
  <c r="N28" i="39"/>
  <c r="C13" i="39"/>
  <c r="C16" i="39" s="1"/>
  <c r="D13" i="39"/>
  <c r="D16" i="39" s="1"/>
  <c r="C15" i="39"/>
  <c r="D15" i="39" s="1"/>
  <c r="X6" i="39"/>
  <c r="AA6" i="39" s="1"/>
  <c r="Q20" i="39"/>
  <c r="Q19" i="39" s="1"/>
  <c r="S25" i="39"/>
  <c r="S20" i="39" s="1"/>
  <c r="S19" i="39" s="1"/>
  <c r="S6" i="39"/>
  <c r="U15" i="39"/>
  <c r="AB15" i="39" s="1"/>
  <c r="U13" i="39"/>
  <c r="AB13" i="39" s="1"/>
  <c r="O6" i="39"/>
  <c r="O5" i="39" s="1"/>
  <c r="P6" i="39"/>
  <c r="R15" i="39"/>
  <c r="R13" i="39"/>
  <c r="W20" i="39"/>
  <c r="W19" i="39" s="1"/>
  <c r="M6" i="39"/>
  <c r="M5" i="39" s="1"/>
  <c r="M16" i="39" s="1"/>
  <c r="W6" i="39"/>
  <c r="S30" i="39"/>
  <c r="S28" i="39"/>
  <c r="R28" i="39"/>
  <c r="P15" i="39"/>
  <c r="P13" i="39"/>
  <c r="J20" i="39"/>
  <c r="J19" i="39" s="1"/>
  <c r="P20" i="39"/>
  <c r="P19" i="39" s="1"/>
  <c r="E6" i="39"/>
  <c r="E5" i="39" s="1"/>
  <c r="E20" i="39"/>
  <c r="E19" i="39" s="1"/>
  <c r="E31" i="39" s="1"/>
  <c r="J15" i="39"/>
  <c r="E15" i="39"/>
  <c r="E13" i="39"/>
  <c r="J13" i="39"/>
  <c r="Q13" i="39"/>
  <c r="E13" i="38"/>
  <c r="J11" i="38"/>
  <c r="J6" i="38"/>
  <c r="J5" i="38" s="1"/>
  <c r="P6" i="38"/>
  <c r="P5" i="38" s="1"/>
  <c r="O6" i="38"/>
  <c r="O5" i="38" s="1"/>
  <c r="L6" i="38"/>
  <c r="L5" i="38" s="1"/>
  <c r="F6" i="38"/>
  <c r="F5" i="38" s="1"/>
  <c r="S6" i="38"/>
  <c r="S5" i="38" s="1"/>
  <c r="E6" i="38"/>
  <c r="E5" i="38" s="1"/>
  <c r="N6" i="38"/>
  <c r="N5" i="38" s="1"/>
  <c r="T6" i="38"/>
  <c r="T5" i="38" s="1"/>
  <c r="T14" i="38" s="1"/>
  <c r="L11" i="38"/>
  <c r="L13" i="38"/>
  <c r="K11" i="38"/>
  <c r="X13" i="38"/>
  <c r="AA13" i="38" s="1"/>
  <c r="X11" i="38"/>
  <c r="S13" i="38"/>
  <c r="S11" i="38"/>
  <c r="W13" i="38"/>
  <c r="W11" i="38"/>
  <c r="N13" i="38"/>
  <c r="N11" i="38"/>
  <c r="F11" i="38"/>
  <c r="F13" i="38"/>
  <c r="E11" i="38"/>
  <c r="K6" i="38"/>
  <c r="K5" i="38" s="1"/>
  <c r="V11" i="38"/>
  <c r="V14" i="38" s="1"/>
  <c r="H8" i="48" s="1"/>
  <c r="R6" i="38"/>
  <c r="R5" i="38" s="1"/>
  <c r="R14" i="38" s="1"/>
  <c r="D8" i="48" s="1"/>
  <c r="O11" i="38"/>
  <c r="P11" i="38"/>
  <c r="P13" i="38"/>
  <c r="D11" i="38"/>
  <c r="C13" i="38"/>
  <c r="D13" i="38" s="1"/>
  <c r="C11" i="38"/>
  <c r="C6" i="38"/>
  <c r="C5" i="38" s="1"/>
  <c r="M11" i="38"/>
  <c r="X19" i="37"/>
  <c r="S9" i="37"/>
  <c r="S18" i="37" s="1"/>
  <c r="S23" i="37" s="1"/>
  <c r="X30" i="37"/>
  <c r="W22" i="37"/>
  <c r="W33" i="37"/>
  <c r="J22" i="37"/>
  <c r="J33" i="37"/>
  <c r="N33" i="37"/>
  <c r="N22" i="37"/>
  <c r="M21" i="37"/>
  <c r="M32" i="37"/>
  <c r="M9" i="37"/>
  <c r="K27" i="37"/>
  <c r="K5" i="37"/>
  <c r="U32" i="37"/>
  <c r="U21" i="37"/>
  <c r="G21" i="37"/>
  <c r="G32" i="37"/>
  <c r="T19" i="37"/>
  <c r="T30" i="37"/>
  <c r="G30" i="37"/>
  <c r="G9" i="37"/>
  <c r="G19" i="37"/>
  <c r="J5" i="37"/>
  <c r="E22" i="37"/>
  <c r="T33" i="37"/>
  <c r="T22" i="37"/>
  <c r="O14" i="37"/>
  <c r="Q18" i="37"/>
  <c r="Q23" i="37" s="1"/>
  <c r="Q29" i="37"/>
  <c r="E32" i="37"/>
  <c r="E21" i="37"/>
  <c r="X20" i="37"/>
  <c r="X31" i="37"/>
  <c r="C5" i="37"/>
  <c r="C17" i="37"/>
  <c r="V18" i="37"/>
  <c r="V23" i="37" s="1"/>
  <c r="V29" i="37"/>
  <c r="W20" i="37"/>
  <c r="W31" i="37"/>
  <c r="L17" i="37"/>
  <c r="L5" i="37"/>
  <c r="T5" i="37"/>
  <c r="E9" i="37"/>
  <c r="T20" i="37"/>
  <c r="T31" i="37"/>
  <c r="T9" i="37"/>
  <c r="X32" i="37"/>
  <c r="X21" i="37"/>
  <c r="N17" i="37"/>
  <c r="N5" i="37"/>
  <c r="W9" i="37"/>
  <c r="J20" i="37"/>
  <c r="J31" i="37"/>
  <c r="Q33" i="37"/>
  <c r="Q22" i="37"/>
  <c r="T21" i="37"/>
  <c r="T32" i="37"/>
  <c r="X28" i="37"/>
  <c r="X9" i="37"/>
  <c r="S5" i="37"/>
  <c r="U5" i="37"/>
  <c r="O21" i="37"/>
  <c r="O32" i="37"/>
  <c r="W32" i="37"/>
  <c r="W21" i="37"/>
  <c r="W5" i="37"/>
  <c r="W17" i="37"/>
  <c r="Q5" i="37"/>
  <c r="R5" i="37"/>
  <c r="R17" i="37"/>
  <c r="S32" i="37"/>
  <c r="S21" i="37"/>
  <c r="S31" i="37"/>
  <c r="S20" i="37"/>
  <c r="D29" i="37"/>
  <c r="D18" i="37"/>
  <c r="V5" i="37"/>
  <c r="M17" i="37"/>
  <c r="M5" i="37"/>
  <c r="D17" i="37"/>
  <c r="D5" i="37"/>
  <c r="F17" i="37"/>
  <c r="F5" i="37"/>
  <c r="G5" i="37"/>
  <c r="X17" i="37"/>
  <c r="X5" i="37"/>
  <c r="C21" i="37"/>
  <c r="C32" i="37"/>
  <c r="C9" i="37"/>
  <c r="G47" i="36"/>
  <c r="W25" i="36"/>
  <c r="T25" i="36"/>
  <c r="F34" i="36"/>
  <c r="P48" i="36"/>
  <c r="P34" i="36"/>
  <c r="G34" i="36"/>
  <c r="F47" i="36"/>
  <c r="O49" i="36"/>
  <c r="O34" i="36"/>
  <c r="F20" i="36"/>
  <c r="F8" i="36"/>
  <c r="V20" i="36"/>
  <c r="V8" i="36"/>
  <c r="X53" i="36"/>
  <c r="AA53" i="36" s="1"/>
  <c r="D20" i="36"/>
  <c r="D8" i="36"/>
  <c r="W48" i="36"/>
  <c r="W34" i="36"/>
  <c r="M8" i="36"/>
  <c r="M21" i="36"/>
  <c r="X49" i="36"/>
  <c r="T48" i="36"/>
  <c r="T34" i="36"/>
  <c r="K20" i="36"/>
  <c r="K19" i="36" s="1"/>
  <c r="K8" i="36"/>
  <c r="J8" i="36"/>
  <c r="M53" i="36"/>
  <c r="M34" i="36"/>
  <c r="W20" i="36"/>
  <c r="W8" i="36"/>
  <c r="J34" i="36"/>
  <c r="J49" i="36"/>
  <c r="S48" i="36"/>
  <c r="S47" i="36" s="1"/>
  <c r="S34" i="36"/>
  <c r="X23" i="36"/>
  <c r="AA23" i="36" s="1"/>
  <c r="N20" i="36"/>
  <c r="N8" i="36"/>
  <c r="E49" i="36"/>
  <c r="E34" i="36"/>
  <c r="G8" i="36"/>
  <c r="G20" i="36"/>
  <c r="V34" i="36"/>
  <c r="V48" i="36"/>
  <c r="V47" i="36" s="1"/>
  <c r="U34" i="36"/>
  <c r="K48" i="36"/>
  <c r="K34" i="36"/>
  <c r="R23" i="36"/>
  <c r="R22" i="36" s="1"/>
  <c r="R19" i="36" s="1"/>
  <c r="R8" i="36"/>
  <c r="P20" i="36"/>
  <c r="P8" i="36"/>
  <c r="X48" i="36"/>
  <c r="AA48" i="36" s="1"/>
  <c r="X34" i="36"/>
  <c r="X21" i="36"/>
  <c r="AA21" i="36" s="1"/>
  <c r="S20" i="36"/>
  <c r="S8" i="36"/>
  <c r="T8" i="36"/>
  <c r="T20" i="36"/>
  <c r="C8" i="36"/>
  <c r="C7" i="36" s="1"/>
  <c r="C20" i="36"/>
  <c r="C48" i="36"/>
  <c r="C34" i="36"/>
  <c r="C33" i="36" s="1"/>
  <c r="D34" i="36"/>
  <c r="D53" i="36"/>
  <c r="D47" i="36" s="1"/>
  <c r="R34" i="36"/>
  <c r="Q20" i="36"/>
  <c r="Q8" i="36"/>
  <c r="Q48" i="36"/>
  <c r="Q34" i="36"/>
  <c r="X20" i="36"/>
  <c r="X8" i="36"/>
  <c r="X51" i="36"/>
  <c r="AA51" i="36" s="1"/>
  <c r="L49" i="36"/>
  <c r="L34" i="36"/>
  <c r="W22" i="36"/>
  <c r="X13" i="35"/>
  <c r="N13" i="35"/>
  <c r="U13" i="35"/>
  <c r="P13" i="35"/>
  <c r="G21" i="35"/>
  <c r="R13" i="35"/>
  <c r="E25" i="35"/>
  <c r="D13" i="35"/>
  <c r="T26" i="35"/>
  <c r="T27" i="35" s="1"/>
  <c r="T37" i="35" s="1"/>
  <c r="Q13" i="35"/>
  <c r="G19" i="35"/>
  <c r="E19" i="35"/>
  <c r="O13" i="35"/>
  <c r="E18" i="35"/>
  <c r="T13" i="35"/>
  <c r="F25" i="35"/>
  <c r="F19" i="35"/>
  <c r="F18" i="35"/>
  <c r="G18" i="35"/>
  <c r="G25" i="35"/>
  <c r="L13" i="35"/>
  <c r="F13" i="35"/>
  <c r="P22" i="41"/>
  <c r="O21" i="41"/>
  <c r="O20" i="41" s="1"/>
  <c r="O23" i="41" s="1"/>
  <c r="O25" i="41" s="1"/>
  <c r="F12" i="41"/>
  <c r="Q11" i="41"/>
  <c r="R39" i="41"/>
  <c r="R42" i="41" s="1"/>
  <c r="R44" i="41" s="1"/>
  <c r="M34" i="41"/>
  <c r="M40" i="41" s="1"/>
  <c r="M39" i="41" s="1"/>
  <c r="M42" i="41" s="1"/>
  <c r="M44" i="41" s="1"/>
  <c r="F41" i="41"/>
  <c r="F39" i="41" s="1"/>
  <c r="F42" i="41" s="1"/>
  <c r="F44" i="41" s="1"/>
  <c r="C21" i="41"/>
  <c r="X18" i="41"/>
  <c r="AA18" i="41" s="1"/>
  <c r="W11" i="41"/>
  <c r="W15" i="41" s="1"/>
  <c r="L40" i="52" s="1"/>
  <c r="T11" i="41"/>
  <c r="G41" i="41"/>
  <c r="L21" i="41"/>
  <c r="M22" i="41"/>
  <c r="C40" i="41"/>
  <c r="D41" i="41" s="1"/>
  <c r="D39" i="41" s="1"/>
  <c r="D42" i="41" s="1"/>
  <c r="D44" i="41" s="1"/>
  <c r="C41" i="41"/>
  <c r="S15" i="41"/>
  <c r="K41" i="41"/>
  <c r="K39" i="41" s="1"/>
  <c r="K42" i="41" s="1"/>
  <c r="K44" i="41" s="1"/>
  <c r="J39" i="41"/>
  <c r="J42" i="41" s="1"/>
  <c r="J44" i="41" s="1"/>
  <c r="W40" i="41"/>
  <c r="V11" i="41"/>
  <c r="V15" i="41" s="1"/>
  <c r="K40" i="52" s="1"/>
  <c r="G12" i="41"/>
  <c r="U11" i="41"/>
  <c r="R21" i="41"/>
  <c r="S22" i="41"/>
  <c r="T34" i="41"/>
  <c r="X15" i="41"/>
  <c r="M40" i="52" s="1"/>
  <c r="U81" i="19"/>
  <c r="G6" i="19"/>
  <c r="E62" i="19"/>
  <c r="F60" i="19"/>
  <c r="G70" i="19"/>
  <c r="G54" i="19"/>
  <c r="F6" i="19"/>
  <c r="Q81" i="19"/>
  <c r="S85" i="19"/>
  <c r="S84" i="19" s="1"/>
  <c r="S39" i="19"/>
  <c r="S37" i="19" s="1"/>
  <c r="Q83" i="19"/>
  <c r="F83" i="19" s="1"/>
  <c r="F8" i="19"/>
  <c r="F58" i="19"/>
  <c r="S5" i="19"/>
  <c r="S15" i="19" s="1"/>
  <c r="S17" i="19" s="1"/>
  <c r="F62" i="19"/>
  <c r="G46" i="19"/>
  <c r="R101" i="19"/>
  <c r="J85" i="19"/>
  <c r="J84" i="19" s="1"/>
  <c r="J39" i="19"/>
  <c r="J37" i="19" s="1"/>
  <c r="J5" i="19"/>
  <c r="R102" i="19"/>
  <c r="G47" i="19"/>
  <c r="E54" i="19"/>
  <c r="R99" i="19"/>
  <c r="G45" i="19"/>
  <c r="X102" i="19"/>
  <c r="AA102" i="19" s="1"/>
  <c r="E11" i="19"/>
  <c r="M88" i="19"/>
  <c r="M112" i="19" s="1"/>
  <c r="O85" i="19"/>
  <c r="O84" i="19" s="1"/>
  <c r="O39" i="19"/>
  <c r="O37" i="19" s="1"/>
  <c r="G42" i="19"/>
  <c r="T110" i="19"/>
  <c r="K102" i="19"/>
  <c r="E47" i="19"/>
  <c r="O96" i="19"/>
  <c r="F44" i="19"/>
  <c r="O81" i="19"/>
  <c r="O5" i="19"/>
  <c r="O99" i="19"/>
  <c r="F45" i="19"/>
  <c r="E100" i="19"/>
  <c r="J98" i="19"/>
  <c r="G61" i="19"/>
  <c r="X98" i="19"/>
  <c r="Q112" i="19"/>
  <c r="P112" i="19"/>
  <c r="G64" i="19"/>
  <c r="T104" i="19"/>
  <c r="S88" i="19"/>
  <c r="R96" i="19"/>
  <c r="R95" i="19" s="1"/>
  <c r="G44" i="19"/>
  <c r="L96" i="19"/>
  <c r="E96" i="19" s="1"/>
  <c r="E44" i="19"/>
  <c r="O103" i="19"/>
  <c r="F48" i="19"/>
  <c r="M37" i="19"/>
  <c r="E39" i="19"/>
  <c r="E37" i="19" s="1"/>
  <c r="G65" i="19"/>
  <c r="T81" i="19"/>
  <c r="T5" i="19"/>
  <c r="O104" i="19"/>
  <c r="F104" i="19" s="1"/>
  <c r="F50" i="19"/>
  <c r="T103" i="19"/>
  <c r="G48" i="19"/>
  <c r="G60" i="19"/>
  <c r="T39" i="19"/>
  <c r="T85" i="19"/>
  <c r="F47" i="19"/>
  <c r="O102" i="19"/>
  <c r="G11" i="19"/>
  <c r="U88" i="19"/>
  <c r="F9" i="19"/>
  <c r="Q39" i="19"/>
  <c r="Q5" i="19"/>
  <c r="Q85" i="19"/>
  <c r="R5" i="19"/>
  <c r="R15" i="19" s="1"/>
  <c r="R17" i="19" s="1"/>
  <c r="L103" i="19"/>
  <c r="E48" i="19"/>
  <c r="R85" i="19"/>
  <c r="R84" i="19" s="1"/>
  <c r="R39" i="19"/>
  <c r="R37" i="19" s="1"/>
  <c r="K101" i="19"/>
  <c r="E46" i="19"/>
  <c r="F65" i="19"/>
  <c r="J104" i="19"/>
  <c r="E104" i="19" s="1"/>
  <c r="E50" i="19"/>
  <c r="G43" i="19"/>
  <c r="L81" i="19"/>
  <c r="L5" i="19"/>
  <c r="W88" i="19"/>
  <c r="W112" i="19" s="1"/>
  <c r="T96" i="19"/>
  <c r="R104" i="19"/>
  <c r="G50" i="19"/>
  <c r="N83" i="19"/>
  <c r="N5" i="19"/>
  <c r="E58" i="19"/>
  <c r="E60" i="19"/>
  <c r="F46" i="19"/>
  <c r="L110" i="19"/>
  <c r="J14" i="48"/>
  <c r="M14" i="48" s="1"/>
  <c r="N12" i="52"/>
  <c r="R14" i="52"/>
  <c r="C20" i="48"/>
  <c r="F38" i="20"/>
  <c r="D20" i="48"/>
  <c r="X32" i="20"/>
  <c r="H20" i="48"/>
  <c r="L32" i="20"/>
  <c r="I20" i="48"/>
  <c r="E20" i="48"/>
  <c r="G33" i="20"/>
  <c r="U32" i="20"/>
  <c r="R37" i="52"/>
  <c r="N43" i="52"/>
  <c r="N32" i="20"/>
  <c r="F34" i="20"/>
  <c r="F32" i="20" s="1"/>
  <c r="Q32" i="20"/>
  <c r="E34" i="20"/>
  <c r="E32" i="20" s="1"/>
  <c r="M32" i="20"/>
  <c r="T32" i="20"/>
  <c r="G20" i="48"/>
  <c r="G38" i="20"/>
  <c r="G17" i="20"/>
  <c r="N95" i="19"/>
  <c r="F97" i="19"/>
  <c r="K21" i="41"/>
  <c r="L22" i="41"/>
  <c r="M6" i="48" l="1"/>
  <c r="G19" i="36"/>
  <c r="AB21" i="37"/>
  <c r="N80" i="19"/>
  <c r="O29" i="37"/>
  <c r="D22" i="41"/>
  <c r="D20" i="41" s="1"/>
  <c r="D23" i="41" s="1"/>
  <c r="D25" i="41" s="1"/>
  <c r="AB75" i="19"/>
  <c r="E47" i="36"/>
  <c r="AA75" i="19"/>
  <c r="E75" i="19"/>
  <c r="F75" i="19"/>
  <c r="Y113" i="19"/>
  <c r="H75" i="19"/>
  <c r="R113" i="19"/>
  <c r="G75" i="19"/>
  <c r="AB30" i="39"/>
  <c r="T47" i="36"/>
  <c r="T46" i="36" s="1"/>
  <c r="AA30" i="39"/>
  <c r="L31" i="39"/>
  <c r="E16" i="35"/>
  <c r="E22" i="35" s="1"/>
  <c r="E26" i="35" s="1"/>
  <c r="E27" i="35" s="1"/>
  <c r="V31" i="39"/>
  <c r="G39" i="41"/>
  <c r="M23" i="52"/>
  <c r="M26" i="52" s="1"/>
  <c r="G16" i="35"/>
  <c r="H16" i="35"/>
  <c r="H22" i="35" s="1"/>
  <c r="T26" i="37"/>
  <c r="K20" i="41"/>
  <c r="K23" i="41" s="1"/>
  <c r="K25" i="41" s="1"/>
  <c r="K15" i="52"/>
  <c r="K18" i="52" s="1"/>
  <c r="K23" i="52" s="1"/>
  <c r="K26" i="52" s="1"/>
  <c r="AB11" i="41"/>
  <c r="R20" i="52"/>
  <c r="U29" i="19"/>
  <c r="G28" i="19"/>
  <c r="Q25" i="19"/>
  <c r="F26" i="19"/>
  <c r="K29" i="37"/>
  <c r="AB28" i="19"/>
  <c r="AA28" i="19"/>
  <c r="H28" i="19"/>
  <c r="Y25" i="19"/>
  <c r="Y29" i="19" s="1"/>
  <c r="AB26" i="19"/>
  <c r="H26" i="19"/>
  <c r="AA26" i="19"/>
  <c r="M25" i="19"/>
  <c r="E25" i="19" s="1"/>
  <c r="E26" i="19"/>
  <c r="K31" i="39"/>
  <c r="AA28" i="39"/>
  <c r="L15" i="52"/>
  <c r="L18" i="52" s="1"/>
  <c r="L23" i="52" s="1"/>
  <c r="L26" i="52" s="1"/>
  <c r="T12" i="52"/>
  <c r="AA32" i="20"/>
  <c r="T10" i="52"/>
  <c r="J15" i="52"/>
  <c r="J18" i="52" s="1"/>
  <c r="J23" i="52" s="1"/>
  <c r="J26" i="52" s="1"/>
  <c r="W108" i="19"/>
  <c r="R25" i="52"/>
  <c r="L41" i="52"/>
  <c r="T37" i="52"/>
  <c r="T14" i="52"/>
  <c r="O26" i="37"/>
  <c r="R21" i="52"/>
  <c r="M41" i="52"/>
  <c r="K41" i="52"/>
  <c r="J43" i="52"/>
  <c r="T43" i="52" s="1"/>
  <c r="H16" i="39"/>
  <c r="AA33" i="35"/>
  <c r="J21" i="41"/>
  <c r="T32" i="35"/>
  <c r="T31" i="35" s="1"/>
  <c r="L32" i="35"/>
  <c r="AA76" i="19"/>
  <c r="P32" i="35"/>
  <c r="J32" i="35"/>
  <c r="D32" i="35"/>
  <c r="N32" i="35"/>
  <c r="W32" i="35"/>
  <c r="AA34" i="35"/>
  <c r="Q47" i="36"/>
  <c r="R46" i="36" s="1"/>
  <c r="L16" i="39"/>
  <c r="Q19" i="36"/>
  <c r="R18" i="36" s="1"/>
  <c r="L47" i="36"/>
  <c r="AA11" i="38"/>
  <c r="AB11" i="38"/>
  <c r="C19" i="36"/>
  <c r="C18" i="36" s="1"/>
  <c r="H14" i="38"/>
  <c r="H9" i="28" s="1"/>
  <c r="U32" i="35"/>
  <c r="V32" i="35"/>
  <c r="M32" i="35"/>
  <c r="O77" i="19"/>
  <c r="O6" i="36" s="1"/>
  <c r="O17" i="36" s="1"/>
  <c r="AB33" i="35"/>
  <c r="AA36" i="35"/>
  <c r="G7" i="51"/>
  <c r="G10" i="51" s="1"/>
  <c r="G16" i="28" s="1"/>
  <c r="H9" i="51"/>
  <c r="H7" i="51" s="1"/>
  <c r="H10" i="51" s="1"/>
  <c r="H16" i="28" s="1"/>
  <c r="G28" i="39"/>
  <c r="G31" i="39" s="1"/>
  <c r="H30" i="39"/>
  <c r="Q31" i="39"/>
  <c r="K16" i="39"/>
  <c r="H28" i="39"/>
  <c r="H31" i="39" s="1"/>
  <c r="AB34" i="35"/>
  <c r="AA27" i="37"/>
  <c r="AA17" i="37"/>
  <c r="S32" i="35"/>
  <c r="C32" i="35"/>
  <c r="C77" i="19"/>
  <c r="C6" i="36" s="1"/>
  <c r="N26" i="37"/>
  <c r="S26" i="37"/>
  <c r="O32" i="35"/>
  <c r="O31" i="35" s="1"/>
  <c r="E26" i="37"/>
  <c r="L26" i="37"/>
  <c r="P77" i="19"/>
  <c r="P6" i="36" s="1"/>
  <c r="H26" i="37"/>
  <c r="Q32" i="35"/>
  <c r="U77" i="19"/>
  <c r="U6" i="36" s="1"/>
  <c r="M77" i="19"/>
  <c r="M6" i="36" s="1"/>
  <c r="M31" i="36" s="1"/>
  <c r="D26" i="37"/>
  <c r="W26" i="37"/>
  <c r="AB17" i="37"/>
  <c r="Y26" i="37"/>
  <c r="P14" i="37"/>
  <c r="P18" i="37"/>
  <c r="P23" i="37" s="1"/>
  <c r="K26" i="37"/>
  <c r="AB32" i="37"/>
  <c r="AA9" i="37"/>
  <c r="AA30" i="37"/>
  <c r="J26" i="37"/>
  <c r="F26" i="37"/>
  <c r="V26" i="37"/>
  <c r="AB27" i="37"/>
  <c r="Q26" i="37"/>
  <c r="M26" i="37"/>
  <c r="L14" i="37"/>
  <c r="K14" i="37"/>
  <c r="AB33" i="37"/>
  <c r="AB30" i="37"/>
  <c r="D14" i="37"/>
  <c r="AB31" i="37"/>
  <c r="C26" i="37"/>
  <c r="R26" i="37"/>
  <c r="G26" i="37"/>
  <c r="V14" i="37"/>
  <c r="H37" i="48" s="1"/>
  <c r="Q14" i="37"/>
  <c r="C37" i="48" s="1"/>
  <c r="P26" i="37"/>
  <c r="S19" i="36"/>
  <c r="R10" i="52"/>
  <c r="F33" i="35"/>
  <c r="F73" i="19"/>
  <c r="H36" i="35"/>
  <c r="H76" i="19"/>
  <c r="F34" i="35"/>
  <c r="F74" i="19"/>
  <c r="E34" i="35"/>
  <c r="E74" i="19"/>
  <c r="N77" i="19"/>
  <c r="N6" i="36" s="1"/>
  <c r="L77" i="19"/>
  <c r="L6" i="36" s="1"/>
  <c r="E36" i="35"/>
  <c r="E76" i="19"/>
  <c r="G36" i="35"/>
  <c r="G76" i="19"/>
  <c r="H33" i="35"/>
  <c r="H73" i="19"/>
  <c r="D77" i="19"/>
  <c r="D6" i="36" s="1"/>
  <c r="K77" i="19"/>
  <c r="K6" i="36" s="1"/>
  <c r="Q77" i="19"/>
  <c r="Q6" i="36" s="1"/>
  <c r="G34" i="35"/>
  <c r="G74" i="19"/>
  <c r="E33" i="35"/>
  <c r="E73" i="19"/>
  <c r="H34" i="35"/>
  <c r="H74" i="19"/>
  <c r="K32" i="35"/>
  <c r="J77" i="19"/>
  <c r="J6" i="36" s="1"/>
  <c r="J5" i="36" s="1"/>
  <c r="AA74" i="19"/>
  <c r="AB74" i="19"/>
  <c r="G33" i="35"/>
  <c r="G73" i="19"/>
  <c r="F36" i="35"/>
  <c r="F76" i="19"/>
  <c r="AB36" i="35"/>
  <c r="R77" i="19"/>
  <c r="R6" i="36" s="1"/>
  <c r="R17" i="36" s="1"/>
  <c r="S77" i="19"/>
  <c r="S6" i="36" s="1"/>
  <c r="S17" i="36" s="1"/>
  <c r="T77" i="19"/>
  <c r="T6" i="36" s="1"/>
  <c r="R32" i="35"/>
  <c r="X32" i="35"/>
  <c r="X77" i="19"/>
  <c r="V77" i="19"/>
  <c r="V6" i="36" s="1"/>
  <c r="AB73" i="19"/>
  <c r="Y77" i="19"/>
  <c r="Y6" i="36" s="1"/>
  <c r="AA73" i="19"/>
  <c r="W77" i="19"/>
  <c r="W6" i="36" s="1"/>
  <c r="W5" i="36" s="1"/>
  <c r="AB9" i="37"/>
  <c r="AA33" i="37"/>
  <c r="H18" i="37"/>
  <c r="H23" i="37" s="1"/>
  <c r="H29" i="37"/>
  <c r="Y14" i="37"/>
  <c r="Y18" i="37"/>
  <c r="Y23" i="37" s="1"/>
  <c r="Y29" i="37"/>
  <c r="AA19" i="37"/>
  <c r="AA32" i="37"/>
  <c r="AA31" i="37"/>
  <c r="AA22" i="37"/>
  <c r="AA21" i="37"/>
  <c r="AA5" i="37"/>
  <c r="AA20" i="37"/>
  <c r="H14" i="37"/>
  <c r="H8" i="28" s="1"/>
  <c r="O47" i="36"/>
  <c r="O46" i="36" s="1"/>
  <c r="D19" i="36"/>
  <c r="M19" i="36"/>
  <c r="M18" i="36" s="1"/>
  <c r="P7" i="36"/>
  <c r="P19" i="36"/>
  <c r="N33" i="36"/>
  <c r="J47" i="36"/>
  <c r="J46" i="36" s="1"/>
  <c r="W47" i="36"/>
  <c r="W46" i="36" s="1"/>
  <c r="M47" i="36"/>
  <c r="N46" i="36" s="1"/>
  <c r="H47" i="36"/>
  <c r="H46" i="36" s="1"/>
  <c r="AA49" i="36"/>
  <c r="AA8" i="36"/>
  <c r="M7" i="36"/>
  <c r="L7" i="36"/>
  <c r="AB8" i="36"/>
  <c r="AA20" i="36"/>
  <c r="F19" i="36"/>
  <c r="F18" i="36" s="1"/>
  <c r="Y33" i="36"/>
  <c r="H19" i="36"/>
  <c r="H18" i="36" s="1"/>
  <c r="N19" i="36"/>
  <c r="O18" i="36" s="1"/>
  <c r="V7" i="36"/>
  <c r="H33" i="36"/>
  <c r="C47" i="36"/>
  <c r="C46" i="36" s="1"/>
  <c r="V19" i="36"/>
  <c r="K34" i="52" s="1"/>
  <c r="K36" i="52" s="1"/>
  <c r="F7" i="36"/>
  <c r="Y47" i="36"/>
  <c r="AB50" i="36"/>
  <c r="K47" i="36"/>
  <c r="P47" i="36"/>
  <c r="Y7" i="36"/>
  <c r="H7" i="36"/>
  <c r="AA34" i="36"/>
  <c r="AB34" i="36"/>
  <c r="AB49" i="36"/>
  <c r="Y19" i="36"/>
  <c r="N34" i="52" s="1"/>
  <c r="AB39" i="19"/>
  <c r="AA98" i="19"/>
  <c r="X95" i="19"/>
  <c r="AA95" i="19" s="1"/>
  <c r="G22" i="35"/>
  <c r="Y32" i="35"/>
  <c r="AB35" i="35"/>
  <c r="AA35" i="35"/>
  <c r="Q26" i="35"/>
  <c r="Q27" i="35" s="1"/>
  <c r="Q30" i="35" s="1"/>
  <c r="F35" i="35"/>
  <c r="E35" i="35"/>
  <c r="O39" i="41"/>
  <c r="O42" i="41" s="1"/>
  <c r="O44" i="41" s="1"/>
  <c r="H35" i="35"/>
  <c r="G35" i="35"/>
  <c r="Y37" i="35"/>
  <c r="Y30" i="35"/>
  <c r="AB13" i="35"/>
  <c r="V26" i="35"/>
  <c r="AA16" i="35"/>
  <c r="AB16" i="35"/>
  <c r="D33" i="36"/>
  <c r="Y15" i="41"/>
  <c r="J16" i="39"/>
  <c r="V12" i="19"/>
  <c r="H18" i="48" s="1"/>
  <c r="P21" i="41"/>
  <c r="P20" i="41" s="1"/>
  <c r="P23" i="41" s="1"/>
  <c r="P25" i="41" s="1"/>
  <c r="L33" i="36"/>
  <c r="T19" i="36"/>
  <c r="AA13" i="35"/>
  <c r="M37" i="35"/>
  <c r="O30" i="35"/>
  <c r="Y40" i="41"/>
  <c r="AB40" i="41" s="1"/>
  <c r="H34" i="41"/>
  <c r="H40" i="41" s="1"/>
  <c r="H39" i="41" s="1"/>
  <c r="H42" i="41" s="1"/>
  <c r="H44" i="41" s="1"/>
  <c r="AB34" i="41"/>
  <c r="M15" i="41"/>
  <c r="E15" i="41" s="1"/>
  <c r="AA34" i="41"/>
  <c r="AA11" i="41"/>
  <c r="AA85" i="19"/>
  <c r="X110" i="19"/>
  <c r="Y37" i="19"/>
  <c r="H37" i="19" s="1"/>
  <c r="N20" i="48"/>
  <c r="AA91" i="19"/>
  <c r="M15" i="19"/>
  <c r="E15" i="19" s="1"/>
  <c r="AB88" i="19"/>
  <c r="M29" i="48"/>
  <c r="H101" i="19"/>
  <c r="AB83" i="19"/>
  <c r="H83" i="19"/>
  <c r="H102" i="19"/>
  <c r="Y41" i="41"/>
  <c r="AA87" i="19"/>
  <c r="V110" i="19"/>
  <c r="AA88" i="19"/>
  <c r="H88" i="19"/>
  <c r="AB82" i="19"/>
  <c r="H82" i="19"/>
  <c r="G33" i="36"/>
  <c r="U47" i="36"/>
  <c r="V98" i="19"/>
  <c r="V95" i="19"/>
  <c r="H96" i="19"/>
  <c r="Y22" i="41"/>
  <c r="AA86" i="19"/>
  <c r="H86" i="19"/>
  <c r="AA81" i="19"/>
  <c r="H81" i="19"/>
  <c r="Y15" i="19"/>
  <c r="AB15" i="19" s="1"/>
  <c r="H5" i="19"/>
  <c r="N30" i="48"/>
  <c r="M14" i="38"/>
  <c r="AA39" i="19"/>
  <c r="D94" i="19"/>
  <c r="D107" i="19" s="1"/>
  <c r="E5" i="19"/>
  <c r="U98" i="19"/>
  <c r="AB98" i="19" s="1"/>
  <c r="M94" i="19"/>
  <c r="W94" i="19"/>
  <c r="AA5" i="19"/>
  <c r="AA83" i="19"/>
  <c r="Q94" i="19"/>
  <c r="V80" i="19"/>
  <c r="D12" i="19"/>
  <c r="P94" i="19"/>
  <c r="S94" i="19"/>
  <c r="E85" i="19"/>
  <c r="Y108" i="19"/>
  <c r="W111" i="19"/>
  <c r="P12" i="19"/>
  <c r="P117" i="19" s="1"/>
  <c r="M111" i="19"/>
  <c r="AB81" i="19"/>
  <c r="AA82" i="19"/>
  <c r="AB86" i="19"/>
  <c r="C12" i="19"/>
  <c r="Y12" i="19"/>
  <c r="W12" i="19"/>
  <c r="I18" i="48" s="1"/>
  <c r="AB5" i="19"/>
  <c r="G39" i="19"/>
  <c r="G37" i="19" s="1"/>
  <c r="U37" i="19"/>
  <c r="G86" i="19"/>
  <c r="X12" i="19"/>
  <c r="X117" i="19" s="1"/>
  <c r="U84" i="19"/>
  <c r="G84" i="19" s="1"/>
  <c r="D109" i="19"/>
  <c r="X15" i="19"/>
  <c r="X17" i="19" s="1"/>
  <c r="G5" i="19"/>
  <c r="U12" i="19"/>
  <c r="Y109" i="19"/>
  <c r="AB87" i="19"/>
  <c r="Y84" i="19"/>
  <c r="R12" i="19"/>
  <c r="D18" i="48" s="1"/>
  <c r="Y110" i="19"/>
  <c r="N110" i="19"/>
  <c r="F110" i="19"/>
  <c r="P111" i="19"/>
  <c r="M110" i="19"/>
  <c r="Q109" i="19"/>
  <c r="U18" i="37"/>
  <c r="U23" i="37" s="1"/>
  <c r="G42" i="41"/>
  <c r="G44" i="41" s="1"/>
  <c r="X5" i="38"/>
  <c r="AA5" i="38" s="1"/>
  <c r="D14" i="38"/>
  <c r="U29" i="37"/>
  <c r="W14" i="38"/>
  <c r="I8" i="48" s="1"/>
  <c r="G14" i="38"/>
  <c r="G9" i="28" s="1"/>
  <c r="L23" i="37"/>
  <c r="S14" i="38"/>
  <c r="E8" i="48" s="1"/>
  <c r="G14" i="37"/>
  <c r="G8" i="28" s="1"/>
  <c r="R14" i="37"/>
  <c r="D37" i="48" s="1"/>
  <c r="C37" i="35"/>
  <c r="U5" i="39"/>
  <c r="AB5" i="39" s="1"/>
  <c r="E14" i="38"/>
  <c r="J14" i="38"/>
  <c r="D12" i="48"/>
  <c r="G12" i="48"/>
  <c r="N12" i="48" s="1"/>
  <c r="R18" i="37"/>
  <c r="R23" i="37" s="1"/>
  <c r="J18" i="37"/>
  <c r="J23" i="37" s="1"/>
  <c r="T30" i="35"/>
  <c r="D37" i="35"/>
  <c r="S29" i="37"/>
  <c r="J14" i="37"/>
  <c r="L14" i="38"/>
  <c r="F33" i="36"/>
  <c r="AB28" i="39"/>
  <c r="G85" i="19"/>
  <c r="AB85" i="19"/>
  <c r="AB13" i="51"/>
  <c r="U18" i="51"/>
  <c r="AB18" i="51" s="1"/>
  <c r="X20" i="39"/>
  <c r="AA20" i="39" s="1"/>
  <c r="K15" i="19"/>
  <c r="K17" i="19" s="1"/>
  <c r="K12" i="19"/>
  <c r="X18" i="51"/>
  <c r="AA18" i="51" s="1"/>
  <c r="AA15" i="51"/>
  <c r="AB22" i="36"/>
  <c r="U19" i="36"/>
  <c r="J34" i="52" s="1"/>
  <c r="J36" i="52" s="1"/>
  <c r="U10" i="51"/>
  <c r="AB7" i="51"/>
  <c r="AB101" i="19"/>
  <c r="U14" i="37"/>
  <c r="AB5" i="37"/>
  <c r="G16" i="39"/>
  <c r="U26" i="37"/>
  <c r="AB28" i="37"/>
  <c r="S14" i="37"/>
  <c r="E37" i="48" s="1"/>
  <c r="P14" i="38"/>
  <c r="O31" i="39"/>
  <c r="U20" i="39"/>
  <c r="U5" i="38"/>
  <c r="AB6" i="38"/>
  <c r="X26" i="35"/>
  <c r="AA22" i="35"/>
  <c r="X10" i="51"/>
  <c r="AA10" i="51" s="1"/>
  <c r="G26" i="48"/>
  <c r="N26" i="48" s="1"/>
  <c r="W5" i="31"/>
  <c r="G32" i="20"/>
  <c r="AB32" i="20"/>
  <c r="N41" i="41"/>
  <c r="N39" i="41" s="1"/>
  <c r="N42" i="41" s="1"/>
  <c r="N44" i="41" s="1"/>
  <c r="U26" i="35"/>
  <c r="AB22" i="35"/>
  <c r="K33" i="36"/>
  <c r="X26" i="37"/>
  <c r="AA28" i="37"/>
  <c r="J31" i="39"/>
  <c r="R31" i="39"/>
  <c r="J24" i="48"/>
  <c r="M24" i="48" s="1"/>
  <c r="F17" i="51"/>
  <c r="F15" i="51" s="1"/>
  <c r="F18" i="51" s="1"/>
  <c r="E15" i="51"/>
  <c r="E18" i="51" s="1"/>
  <c r="O16" i="39"/>
  <c r="P31" i="39"/>
  <c r="R16" i="39"/>
  <c r="D7" i="48" s="1"/>
  <c r="W31" i="39"/>
  <c r="S31" i="39"/>
  <c r="T5" i="39"/>
  <c r="T16" i="39" s="1"/>
  <c r="F7" i="48" s="1"/>
  <c r="F12" i="48"/>
  <c r="P5" i="39"/>
  <c r="P16" i="39" s="1"/>
  <c r="E16" i="39"/>
  <c r="I12" i="48"/>
  <c r="W5" i="39"/>
  <c r="W16" i="39" s="1"/>
  <c r="I7" i="48" s="1"/>
  <c r="T31" i="39"/>
  <c r="E12" i="48"/>
  <c r="S5" i="39"/>
  <c r="S16" i="39" s="1"/>
  <c r="E7" i="48" s="1"/>
  <c r="X5" i="39"/>
  <c r="AA5" i="39" s="1"/>
  <c r="J12" i="48"/>
  <c r="M12" i="48" s="1"/>
  <c r="Q16" i="39"/>
  <c r="C7" i="48" s="1"/>
  <c r="O14" i="38"/>
  <c r="C14" i="38"/>
  <c r="F14" i="38"/>
  <c r="K14" i="38"/>
  <c r="F8" i="48"/>
  <c r="N14" i="38"/>
  <c r="M14" i="37"/>
  <c r="M29" i="37"/>
  <c r="M18" i="37"/>
  <c r="M23" i="37" s="1"/>
  <c r="G29" i="37"/>
  <c r="G18" i="37"/>
  <c r="G23" i="37" s="1"/>
  <c r="T14" i="37"/>
  <c r="F37" i="48" s="1"/>
  <c r="X14" i="37"/>
  <c r="C29" i="37"/>
  <c r="C18" i="37"/>
  <c r="C23" i="37" s="1"/>
  <c r="W14" i="37"/>
  <c r="I37" i="48" s="1"/>
  <c r="W29" i="37"/>
  <c r="W18" i="37"/>
  <c r="W23" i="37" s="1"/>
  <c r="X29" i="37"/>
  <c r="X18" i="37"/>
  <c r="C14" i="37"/>
  <c r="D23" i="37"/>
  <c r="E29" i="37"/>
  <c r="E18" i="37"/>
  <c r="E23" i="37" s="1"/>
  <c r="E14" i="37"/>
  <c r="T29" i="37"/>
  <c r="T18" i="37"/>
  <c r="T23" i="37" s="1"/>
  <c r="J7" i="36"/>
  <c r="Q33" i="36"/>
  <c r="S46" i="36"/>
  <c r="Q7" i="36"/>
  <c r="S33" i="36"/>
  <c r="W7" i="36"/>
  <c r="E46" i="36"/>
  <c r="R7" i="36"/>
  <c r="G46" i="36"/>
  <c r="V33" i="36"/>
  <c r="K7" i="36"/>
  <c r="T33" i="36"/>
  <c r="T7" i="36"/>
  <c r="U7" i="36"/>
  <c r="N7" i="36"/>
  <c r="O7" i="36"/>
  <c r="J33" i="36"/>
  <c r="X22" i="36"/>
  <c r="X33" i="36"/>
  <c r="M33" i="36"/>
  <c r="O33" i="36"/>
  <c r="P33" i="36"/>
  <c r="S7" i="36"/>
  <c r="U33" i="36"/>
  <c r="G7" i="36"/>
  <c r="W33" i="36"/>
  <c r="X7" i="36"/>
  <c r="W19" i="36"/>
  <c r="L34" i="52" s="1"/>
  <c r="L36" i="52" s="1"/>
  <c r="R33" i="36"/>
  <c r="K18" i="36"/>
  <c r="X50" i="36"/>
  <c r="AA50" i="36" s="1"/>
  <c r="E33" i="36"/>
  <c r="D7" i="36"/>
  <c r="E7" i="36"/>
  <c r="F46" i="36"/>
  <c r="L18" i="36"/>
  <c r="K30" i="35"/>
  <c r="K37" i="35"/>
  <c r="R26" i="35"/>
  <c r="P30" i="35"/>
  <c r="P37" i="35"/>
  <c r="W30" i="35"/>
  <c r="W37" i="35"/>
  <c r="G13" i="35"/>
  <c r="J26" i="35"/>
  <c r="J27" i="35" s="1"/>
  <c r="L37" i="35"/>
  <c r="L30" i="35"/>
  <c r="F11" i="41"/>
  <c r="Q15" i="41"/>
  <c r="U15" i="41"/>
  <c r="J40" i="52" s="1"/>
  <c r="G11" i="41"/>
  <c r="E19" i="48"/>
  <c r="T22" i="41"/>
  <c r="S21" i="41"/>
  <c r="S20" i="41" s="1"/>
  <c r="S23" i="41" s="1"/>
  <c r="S25" i="41" s="1"/>
  <c r="E36" i="48" s="1"/>
  <c r="C39" i="41"/>
  <c r="C42" i="41" s="1"/>
  <c r="C44" i="41" s="1"/>
  <c r="V21" i="41"/>
  <c r="H19" i="48"/>
  <c r="W22" i="41"/>
  <c r="J19" i="48"/>
  <c r="X21" i="41"/>
  <c r="C20" i="41"/>
  <c r="C23" i="41" s="1"/>
  <c r="C25" i="41" s="1"/>
  <c r="T15" i="41"/>
  <c r="X41" i="41"/>
  <c r="W39" i="41"/>
  <c r="W42" i="41" s="1"/>
  <c r="X22" i="41"/>
  <c r="W21" i="41"/>
  <c r="I19" i="48"/>
  <c r="L20" i="41"/>
  <c r="L23" i="41" s="1"/>
  <c r="L25" i="41" s="1"/>
  <c r="T40" i="41"/>
  <c r="F81" i="19"/>
  <c r="Q108" i="19"/>
  <c r="Q110" i="19"/>
  <c r="K94" i="19"/>
  <c r="G81" i="19"/>
  <c r="G104" i="19"/>
  <c r="S12" i="19"/>
  <c r="E18" i="48" s="1"/>
  <c r="G102" i="19"/>
  <c r="G96" i="19"/>
  <c r="T95" i="19"/>
  <c r="G95" i="19" s="1"/>
  <c r="G88" i="19"/>
  <c r="U112" i="19"/>
  <c r="V112" i="19"/>
  <c r="R80" i="19"/>
  <c r="S111" i="19"/>
  <c r="G15" i="19"/>
  <c r="U17" i="19"/>
  <c r="T15" i="19"/>
  <c r="T17" i="19" s="1"/>
  <c r="T12" i="19"/>
  <c r="X109" i="19"/>
  <c r="L112" i="19"/>
  <c r="E103" i="19"/>
  <c r="O15" i="19"/>
  <c r="O17" i="19" s="1"/>
  <c r="O12" i="19"/>
  <c r="O117" i="19" s="1"/>
  <c r="X111" i="19"/>
  <c r="X112" i="19"/>
  <c r="W80" i="19"/>
  <c r="J94" i="19"/>
  <c r="K110" i="19"/>
  <c r="E101" i="19"/>
  <c r="E110" i="19" s="1"/>
  <c r="Q15" i="19"/>
  <c r="F5" i="19"/>
  <c r="Q12" i="19"/>
  <c r="T84" i="19"/>
  <c r="S80" i="19"/>
  <c r="S112" i="19"/>
  <c r="O110" i="19"/>
  <c r="R98" i="19"/>
  <c r="R94" i="19" s="1"/>
  <c r="G99" i="19"/>
  <c r="R110" i="19"/>
  <c r="G101" i="19"/>
  <c r="G110" i="19" s="1"/>
  <c r="U108" i="19"/>
  <c r="O98" i="19"/>
  <c r="F99" i="19"/>
  <c r="F102" i="19"/>
  <c r="O111" i="19"/>
  <c r="T112" i="19"/>
  <c r="G103" i="19"/>
  <c r="R108" i="19"/>
  <c r="N111" i="19"/>
  <c r="E84" i="19"/>
  <c r="F85" i="19"/>
  <c r="Q84" i="19"/>
  <c r="R111" i="19" s="1"/>
  <c r="F39" i="19"/>
  <c r="F37" i="19" s="1"/>
  <c r="Q37" i="19"/>
  <c r="T37" i="19"/>
  <c r="E98" i="19"/>
  <c r="E109" i="19" s="1"/>
  <c r="J109" i="19"/>
  <c r="J15" i="19"/>
  <c r="J17" i="19" s="1"/>
  <c r="J12" i="19"/>
  <c r="O80" i="19"/>
  <c r="P108" i="19"/>
  <c r="F96" i="19"/>
  <c r="O95" i="19"/>
  <c r="E102" i="19"/>
  <c r="K111" i="19"/>
  <c r="J80" i="19"/>
  <c r="J111" i="19"/>
  <c r="L95" i="19"/>
  <c r="N15" i="19"/>
  <c r="N17" i="19" s="1"/>
  <c r="N12" i="19"/>
  <c r="N117" i="19" s="1"/>
  <c r="L15" i="19"/>
  <c r="L17" i="19" s="1"/>
  <c r="L12" i="19"/>
  <c r="M80" i="19"/>
  <c r="E80" i="19" s="1"/>
  <c r="L80" i="19"/>
  <c r="M108" i="19"/>
  <c r="F103" i="19"/>
  <c r="O112" i="19"/>
  <c r="E88" i="19"/>
  <c r="N112" i="19"/>
  <c r="R17" i="52"/>
  <c r="E13" i="52"/>
  <c r="D13" i="52" s="1"/>
  <c r="O14" i="52" s="1"/>
  <c r="S14" i="52" s="1"/>
  <c r="N15" i="52"/>
  <c r="R12" i="52"/>
  <c r="R42" i="52"/>
  <c r="R43" i="52"/>
  <c r="S37" i="35"/>
  <c r="S30" i="35"/>
  <c r="N94" i="19"/>
  <c r="N108" i="19"/>
  <c r="P31" i="35" l="1"/>
  <c r="L31" i="35"/>
  <c r="G34" i="37"/>
  <c r="S34" i="37"/>
  <c r="K34" i="37"/>
  <c r="T15" i="52"/>
  <c r="S31" i="35"/>
  <c r="S38" i="35" s="1"/>
  <c r="W31" i="35"/>
  <c r="W38" i="35" s="1"/>
  <c r="K31" i="48"/>
  <c r="M31" i="48" s="1"/>
  <c r="H29" i="19"/>
  <c r="AA29" i="19"/>
  <c r="AB29" i="19"/>
  <c r="Q29" i="19"/>
  <c r="F25" i="19"/>
  <c r="H25" i="19"/>
  <c r="AA25" i="19"/>
  <c r="AB25" i="19"/>
  <c r="M29" i="19"/>
  <c r="E29" i="19" s="1"/>
  <c r="G31" i="48"/>
  <c r="G29" i="19"/>
  <c r="D31" i="35"/>
  <c r="D38" i="35" s="1"/>
  <c r="P17" i="36"/>
  <c r="N22" i="41"/>
  <c r="N20" i="41" s="1"/>
  <c r="N23" i="41" s="1"/>
  <c r="N25" i="41" s="1"/>
  <c r="P5" i="36"/>
  <c r="P16" i="36" s="1"/>
  <c r="J17" i="36"/>
  <c r="W17" i="36"/>
  <c r="M31" i="35"/>
  <c r="M38" i="35" s="1"/>
  <c r="T34" i="52"/>
  <c r="H15" i="41"/>
  <c r="H21" i="41" s="1"/>
  <c r="N40" i="52"/>
  <c r="R40" i="52" s="1"/>
  <c r="P31" i="36"/>
  <c r="P44" i="36" s="1"/>
  <c r="P43" i="36" s="1"/>
  <c r="P42" i="36" s="1"/>
  <c r="K37" i="48"/>
  <c r="E15" i="52"/>
  <c r="D15" i="52" s="1"/>
  <c r="O34" i="37"/>
  <c r="J41" i="52"/>
  <c r="C31" i="35"/>
  <c r="C38" i="35" s="1"/>
  <c r="H34" i="37"/>
  <c r="M5" i="36"/>
  <c r="M16" i="36" s="1"/>
  <c r="M26" i="36" s="1"/>
  <c r="O5" i="36"/>
  <c r="O16" i="36" s="1"/>
  <c r="O26" i="36" s="1"/>
  <c r="O31" i="36"/>
  <c r="O30" i="36" s="1"/>
  <c r="O29" i="36" s="1"/>
  <c r="O39" i="36" s="1"/>
  <c r="M17" i="36"/>
  <c r="K31" i="35"/>
  <c r="K38" i="35" s="1"/>
  <c r="AB23" i="37"/>
  <c r="H77" i="19"/>
  <c r="H6" i="36" s="1"/>
  <c r="Q37" i="35"/>
  <c r="Q31" i="35" s="1"/>
  <c r="Q38" i="35" s="1"/>
  <c r="F32" i="35"/>
  <c r="L46" i="36"/>
  <c r="Q18" i="36"/>
  <c r="D18" i="36"/>
  <c r="S18" i="36"/>
  <c r="T18" i="36"/>
  <c r="M21" i="41"/>
  <c r="M20" i="41" s="1"/>
  <c r="M23" i="41" s="1"/>
  <c r="M25" i="41" s="1"/>
  <c r="E77" i="19"/>
  <c r="E6" i="36" s="1"/>
  <c r="E5" i="36" s="1"/>
  <c r="E34" i="37"/>
  <c r="H32" i="35"/>
  <c r="J34" i="37"/>
  <c r="C5" i="36"/>
  <c r="C17" i="36"/>
  <c r="V117" i="19"/>
  <c r="AA22" i="41"/>
  <c r="E32" i="35"/>
  <c r="AA32" i="35"/>
  <c r="Q34" i="37"/>
  <c r="P34" i="37"/>
  <c r="R34" i="37"/>
  <c r="AB15" i="41"/>
  <c r="P18" i="36"/>
  <c r="V34" i="37"/>
  <c r="D34" i="37"/>
  <c r="C31" i="36"/>
  <c r="C44" i="36" s="1"/>
  <c r="C43" i="36" s="1"/>
  <c r="C42" i="36" s="1"/>
  <c r="C54" i="36" s="1"/>
  <c r="L34" i="37"/>
  <c r="AB26" i="37"/>
  <c r="Y34" i="37"/>
  <c r="C34" i="37"/>
  <c r="M34" i="37"/>
  <c r="AA26" i="37"/>
  <c r="AA18" i="37"/>
  <c r="E18" i="36"/>
  <c r="J18" i="36"/>
  <c r="D31" i="36"/>
  <c r="D17" i="36"/>
  <c r="D5" i="36"/>
  <c r="D16" i="36" s="1"/>
  <c r="N31" i="36"/>
  <c r="N17" i="36"/>
  <c r="N5" i="36"/>
  <c r="N16" i="36" s="1"/>
  <c r="M44" i="36"/>
  <c r="M43" i="36" s="1"/>
  <c r="M42" i="36" s="1"/>
  <c r="M30" i="36"/>
  <c r="M29" i="36" s="1"/>
  <c r="M39" i="36" s="1"/>
  <c r="V31" i="36"/>
  <c r="V5" i="36"/>
  <c r="V16" i="36" s="1"/>
  <c r="V17" i="36"/>
  <c r="T31" i="36"/>
  <c r="T5" i="36"/>
  <c r="T16" i="36" s="1"/>
  <c r="T17" i="36"/>
  <c r="G77" i="19"/>
  <c r="G6" i="36" s="1"/>
  <c r="U31" i="36"/>
  <c r="U17" i="36"/>
  <c r="U5" i="36"/>
  <c r="U16" i="36" s="1"/>
  <c r="F77" i="19"/>
  <c r="F6" i="36" s="1"/>
  <c r="AA77" i="19"/>
  <c r="X6" i="36"/>
  <c r="AA6" i="36" s="1"/>
  <c r="S31" i="36"/>
  <c r="S5" i="36"/>
  <c r="S16" i="36" s="1"/>
  <c r="J31" i="36"/>
  <c r="AB77" i="19"/>
  <c r="R31" i="36"/>
  <c r="R5" i="36"/>
  <c r="R16" i="36" s="1"/>
  <c r="R26" i="36" s="1"/>
  <c r="D34" i="48" s="1"/>
  <c r="P46" i="36"/>
  <c r="G32" i="35"/>
  <c r="W31" i="36"/>
  <c r="Q31" i="36"/>
  <c r="Q17" i="36"/>
  <c r="Q5" i="36"/>
  <c r="Q16" i="36" s="1"/>
  <c r="Y5" i="36"/>
  <c r="Y13" i="36" s="1"/>
  <c r="Y6" i="28" s="1"/>
  <c r="Y31" i="36"/>
  <c r="Y17" i="36"/>
  <c r="AB6" i="36"/>
  <c r="K31" i="36"/>
  <c r="K5" i="36"/>
  <c r="K16" i="36" s="1"/>
  <c r="K26" i="36" s="1"/>
  <c r="K17" i="36"/>
  <c r="L31" i="36"/>
  <c r="L17" i="36"/>
  <c r="L5" i="36"/>
  <c r="L16" i="36" s="1"/>
  <c r="L26" i="36" s="1"/>
  <c r="AA14" i="37"/>
  <c r="AB29" i="37"/>
  <c r="M46" i="36"/>
  <c r="N18" i="36"/>
  <c r="D46" i="36"/>
  <c r="AB47" i="36"/>
  <c r="G18" i="36"/>
  <c r="AA33" i="36"/>
  <c r="AA7" i="36"/>
  <c r="Q46" i="36"/>
  <c r="K46" i="36"/>
  <c r="X94" i="19"/>
  <c r="AA94" i="19" s="1"/>
  <c r="H95" i="19"/>
  <c r="H108" i="19" s="1"/>
  <c r="O38" i="35"/>
  <c r="AA37" i="19"/>
  <c r="AB37" i="19"/>
  <c r="M17" i="19"/>
  <c r="E17" i="19" s="1"/>
  <c r="X108" i="19"/>
  <c r="AA108" i="19" s="1"/>
  <c r="Y31" i="35"/>
  <c r="Y38" i="35" s="1"/>
  <c r="AB32" i="35"/>
  <c r="AA41" i="41"/>
  <c r="U18" i="36"/>
  <c r="T38" i="35"/>
  <c r="U94" i="19"/>
  <c r="AB94" i="19" s="1"/>
  <c r="U109" i="19"/>
  <c r="AB109" i="19" s="1"/>
  <c r="Y39" i="41"/>
  <c r="Y42" i="41" s="1"/>
  <c r="Y44" i="41" s="1"/>
  <c r="U46" i="36"/>
  <c r="K19" i="48"/>
  <c r="M19" i="48" s="1"/>
  <c r="AA15" i="41"/>
  <c r="Y21" i="41"/>
  <c r="AA21" i="41" s="1"/>
  <c r="V27" i="35"/>
  <c r="H26" i="35"/>
  <c r="AA40" i="41"/>
  <c r="AA110" i="19"/>
  <c r="H110" i="19"/>
  <c r="H112" i="19"/>
  <c r="AA112" i="19"/>
  <c r="AB112" i="19"/>
  <c r="V108" i="19"/>
  <c r="V94" i="19"/>
  <c r="W117" i="19"/>
  <c r="Y80" i="19"/>
  <c r="H80" i="19" s="1"/>
  <c r="H84" i="19"/>
  <c r="H111" i="19" s="1"/>
  <c r="AB18" i="37"/>
  <c r="V46" i="36"/>
  <c r="H98" i="19"/>
  <c r="H109" i="19" s="1"/>
  <c r="V109" i="19"/>
  <c r="X14" i="38"/>
  <c r="AA14" i="38" s="1"/>
  <c r="Y117" i="19"/>
  <c r="H117" i="19" s="1"/>
  <c r="H12" i="19"/>
  <c r="K18" i="48"/>
  <c r="Y17" i="19"/>
  <c r="H17" i="19" s="1"/>
  <c r="H15" i="19"/>
  <c r="AA113" i="19"/>
  <c r="AB113" i="19"/>
  <c r="J18" i="48"/>
  <c r="W107" i="19"/>
  <c r="AA109" i="19"/>
  <c r="AB108" i="19"/>
  <c r="AB12" i="19"/>
  <c r="P107" i="19"/>
  <c r="AA15" i="19"/>
  <c r="G18" i="48"/>
  <c r="U117" i="19"/>
  <c r="G12" i="19"/>
  <c r="AB110" i="19"/>
  <c r="AA12" i="19"/>
  <c r="U80" i="19"/>
  <c r="G80" i="19" s="1"/>
  <c r="V111" i="19"/>
  <c r="AB84" i="19"/>
  <c r="R117" i="19"/>
  <c r="AA84" i="19"/>
  <c r="Y111" i="19"/>
  <c r="AA111" i="19" s="1"/>
  <c r="U16" i="39"/>
  <c r="AB16" i="39" s="1"/>
  <c r="V18" i="36"/>
  <c r="S117" i="19"/>
  <c r="M107" i="19"/>
  <c r="E112" i="19"/>
  <c r="L38" i="35"/>
  <c r="X19" i="39"/>
  <c r="AA19" i="39" s="1"/>
  <c r="X16" i="28"/>
  <c r="AA16" i="28" s="1"/>
  <c r="E111" i="19"/>
  <c r="G17" i="19"/>
  <c r="AB7" i="36"/>
  <c r="U27" i="35"/>
  <c r="AB26" i="35"/>
  <c r="G108" i="19"/>
  <c r="U14" i="38"/>
  <c r="AB5" i="38"/>
  <c r="D14" i="52"/>
  <c r="U19" i="39"/>
  <c r="AB20" i="39"/>
  <c r="U16" i="28"/>
  <c r="AB16" i="28" s="1"/>
  <c r="AB10" i="51"/>
  <c r="X34" i="37"/>
  <c r="AA29" i="37"/>
  <c r="U34" i="37"/>
  <c r="G37" i="48"/>
  <c r="AB14" i="37"/>
  <c r="AB19" i="36"/>
  <c r="AB33" i="36"/>
  <c r="X27" i="35"/>
  <c r="AA26" i="35"/>
  <c r="X19" i="36"/>
  <c r="AA22" i="36"/>
  <c r="X47" i="36"/>
  <c r="X16" i="39"/>
  <c r="AA16" i="39" s="1"/>
  <c r="J37" i="48"/>
  <c r="W34" i="37"/>
  <c r="X23" i="37"/>
  <c r="AA23" i="37" s="1"/>
  <c r="T34" i="37"/>
  <c r="W16" i="36"/>
  <c r="W13" i="36"/>
  <c r="W6" i="28" s="1"/>
  <c r="W18" i="36"/>
  <c r="J16" i="36"/>
  <c r="J13" i="36"/>
  <c r="J6" i="28" s="1"/>
  <c r="R27" i="35"/>
  <c r="G26" i="35"/>
  <c r="J37" i="35"/>
  <c r="J31" i="35" s="1"/>
  <c r="J30" i="35"/>
  <c r="E37" i="35"/>
  <c r="E30" i="35"/>
  <c r="P38" i="35"/>
  <c r="F15" i="41"/>
  <c r="C19" i="48"/>
  <c r="Q21" i="41"/>
  <c r="Q20" i="41" s="1"/>
  <c r="Q23" i="41" s="1"/>
  <c r="Q25" i="41" s="1"/>
  <c r="C36" i="48" s="1"/>
  <c r="R22" i="41"/>
  <c r="R20" i="41" s="1"/>
  <c r="R23" i="41" s="1"/>
  <c r="R25" i="41" s="1"/>
  <c r="D36" i="48" s="1"/>
  <c r="W20" i="41"/>
  <c r="W23" i="41" s="1"/>
  <c r="W25" i="41" s="1"/>
  <c r="I36" i="48" s="1"/>
  <c r="X20" i="41"/>
  <c r="U21" i="41"/>
  <c r="V22" i="41"/>
  <c r="V20" i="41" s="1"/>
  <c r="V23" i="41" s="1"/>
  <c r="V25" i="41" s="1"/>
  <c r="H36" i="48" s="1"/>
  <c r="G19" i="48"/>
  <c r="G15" i="41"/>
  <c r="X39" i="41"/>
  <c r="E19" i="52"/>
  <c r="D19" i="52" s="1"/>
  <c r="F22" i="41"/>
  <c r="E21" i="41"/>
  <c r="E20" i="41" s="1"/>
  <c r="E23" i="41" s="1"/>
  <c r="E25" i="41" s="1"/>
  <c r="W44" i="41"/>
  <c r="U41" i="41"/>
  <c r="T39" i="41"/>
  <c r="T42" i="41" s="1"/>
  <c r="T44" i="41" s="1"/>
  <c r="T21" i="41"/>
  <c r="T20" i="41" s="1"/>
  <c r="T23" i="41" s="1"/>
  <c r="U22" i="41"/>
  <c r="AB22" i="41" s="1"/>
  <c r="F19" i="48"/>
  <c r="F112" i="19"/>
  <c r="K107" i="19"/>
  <c r="L94" i="19"/>
  <c r="L107" i="19" s="1"/>
  <c r="L108" i="19"/>
  <c r="E95" i="19"/>
  <c r="E108" i="19" s="1"/>
  <c r="O108" i="19"/>
  <c r="O94" i="19"/>
  <c r="O107" i="19" s="1"/>
  <c r="J107" i="19"/>
  <c r="T111" i="19"/>
  <c r="U111" i="19"/>
  <c r="C18" i="48"/>
  <c r="Q117" i="19"/>
  <c r="F117" i="19" s="1"/>
  <c r="F12" i="19"/>
  <c r="G98" i="19"/>
  <c r="G109" i="19" s="1"/>
  <c r="R109" i="19"/>
  <c r="Q17" i="19"/>
  <c r="F17" i="19" s="1"/>
  <c r="F15" i="19"/>
  <c r="T94" i="19"/>
  <c r="T108" i="19"/>
  <c r="T117" i="19"/>
  <c r="F18" i="48"/>
  <c r="T80" i="19"/>
  <c r="Q80" i="19"/>
  <c r="R107" i="19" s="1"/>
  <c r="F84" i="19"/>
  <c r="F111" i="19" s="1"/>
  <c r="Q111" i="19"/>
  <c r="S107" i="19"/>
  <c r="O109" i="19"/>
  <c r="F98" i="19"/>
  <c r="F109" i="19" s="1"/>
  <c r="F95" i="19"/>
  <c r="F108" i="19" s="1"/>
  <c r="G112" i="19"/>
  <c r="R15" i="52"/>
  <c r="N18" i="52"/>
  <c r="T18" i="52" s="1"/>
  <c r="E27" i="52"/>
  <c r="Q14" i="52"/>
  <c r="N107" i="19"/>
  <c r="N31" i="48" l="1"/>
  <c r="P13" i="36"/>
  <c r="P6" i="28" s="1"/>
  <c r="C31" i="48"/>
  <c r="F29" i="19"/>
  <c r="Q26" i="36"/>
  <c r="C34" i="48" s="1"/>
  <c r="N19" i="48"/>
  <c r="AA34" i="37"/>
  <c r="E31" i="36"/>
  <c r="E44" i="36" s="1"/>
  <c r="E43" i="36" s="1"/>
  <c r="E42" i="36" s="1"/>
  <c r="E54" i="36" s="1"/>
  <c r="O44" i="36"/>
  <c r="O43" i="36" s="1"/>
  <c r="O42" i="36" s="1"/>
  <c r="O54" i="36" s="1"/>
  <c r="H17" i="36"/>
  <c r="M37" i="48"/>
  <c r="N37" i="48"/>
  <c r="U13" i="36"/>
  <c r="H31" i="36"/>
  <c r="H30" i="36" s="1"/>
  <c r="H29" i="36" s="1"/>
  <c r="H39" i="36" s="1"/>
  <c r="E31" i="35"/>
  <c r="E38" i="35" s="1"/>
  <c r="R13" i="36"/>
  <c r="R6" i="28" s="1"/>
  <c r="P30" i="36"/>
  <c r="P29" i="36" s="1"/>
  <c r="P39" i="36" s="1"/>
  <c r="V26" i="36"/>
  <c r="H34" i="48" s="1"/>
  <c r="M13" i="36"/>
  <c r="M6" i="28" s="1"/>
  <c r="AA19" i="36"/>
  <c r="M34" i="52"/>
  <c r="M36" i="52" s="1"/>
  <c r="T40" i="52"/>
  <c r="N41" i="52"/>
  <c r="O13" i="36"/>
  <c r="O6" i="28" s="1"/>
  <c r="P54" i="36"/>
  <c r="H5" i="36"/>
  <c r="H16" i="36" s="1"/>
  <c r="H26" i="36" s="1"/>
  <c r="E17" i="36"/>
  <c r="D26" i="36"/>
  <c r="S26" i="36"/>
  <c r="E34" i="48" s="1"/>
  <c r="T26" i="36"/>
  <c r="F34" i="48" s="1"/>
  <c r="E16" i="36"/>
  <c r="E26" i="36" s="1"/>
  <c r="E13" i="36"/>
  <c r="E6" i="28" s="1"/>
  <c r="AA39" i="41"/>
  <c r="N26" i="36"/>
  <c r="P26" i="36"/>
  <c r="M54" i="36"/>
  <c r="N13" i="36"/>
  <c r="N6" i="28" s="1"/>
  <c r="AB34" i="37"/>
  <c r="T13" i="36"/>
  <c r="T6" i="28" s="1"/>
  <c r="K13" i="36"/>
  <c r="K6" i="28" s="1"/>
  <c r="H94" i="19"/>
  <c r="H107" i="19" s="1"/>
  <c r="C16" i="36"/>
  <c r="C26" i="36" s="1"/>
  <c r="C13" i="36"/>
  <c r="C6" i="28" s="1"/>
  <c r="C30" i="36"/>
  <c r="C29" i="36" s="1"/>
  <c r="C39" i="36" s="1"/>
  <c r="X107" i="19"/>
  <c r="J26" i="36"/>
  <c r="L13" i="36"/>
  <c r="L6" i="28" s="1"/>
  <c r="R44" i="36"/>
  <c r="R43" i="36" s="1"/>
  <c r="R42" i="36" s="1"/>
  <c r="R54" i="36" s="1"/>
  <c r="D35" i="48" s="1"/>
  <c r="R30" i="36"/>
  <c r="R29" i="36" s="1"/>
  <c r="R39" i="36" s="1"/>
  <c r="T44" i="36"/>
  <c r="T43" i="36" s="1"/>
  <c r="T42" i="36" s="1"/>
  <c r="T54" i="36" s="1"/>
  <c r="F35" i="48" s="1"/>
  <c r="T30" i="36"/>
  <c r="T29" i="36" s="1"/>
  <c r="T39" i="36" s="1"/>
  <c r="Q44" i="36"/>
  <c r="Q43" i="36" s="1"/>
  <c r="Q42" i="36" s="1"/>
  <c r="Q54" i="36" s="1"/>
  <c r="C35" i="48" s="1"/>
  <c r="Q30" i="36"/>
  <c r="Q29" i="36" s="1"/>
  <c r="Q39" i="36" s="1"/>
  <c r="S13" i="36"/>
  <c r="S6" i="28" s="1"/>
  <c r="V13" i="36"/>
  <c r="V6" i="28" s="1"/>
  <c r="AB17" i="36"/>
  <c r="J44" i="36"/>
  <c r="J43" i="36" s="1"/>
  <c r="J42" i="36" s="1"/>
  <c r="J54" i="36" s="1"/>
  <c r="J30" i="36"/>
  <c r="J29" i="36" s="1"/>
  <c r="J39" i="36" s="1"/>
  <c r="L44" i="36"/>
  <c r="L43" i="36" s="1"/>
  <c r="L42" i="36" s="1"/>
  <c r="L54" i="36" s="1"/>
  <c r="L30" i="36"/>
  <c r="L29" i="36" s="1"/>
  <c r="L39" i="36" s="1"/>
  <c r="U44" i="36"/>
  <c r="U43" i="36" s="1"/>
  <c r="U42" i="36" s="1"/>
  <c r="U30" i="36"/>
  <c r="U29" i="36" s="1"/>
  <c r="N44" i="36"/>
  <c r="N43" i="36" s="1"/>
  <c r="N42" i="36" s="1"/>
  <c r="N54" i="36" s="1"/>
  <c r="N30" i="36"/>
  <c r="N29" i="36" s="1"/>
  <c r="N39" i="36" s="1"/>
  <c r="Y44" i="36"/>
  <c r="Y30" i="36"/>
  <c r="AB31" i="36"/>
  <c r="W44" i="36"/>
  <c r="W43" i="36" s="1"/>
  <c r="W42" i="36" s="1"/>
  <c r="W54" i="36" s="1"/>
  <c r="I35" i="48" s="1"/>
  <c r="W30" i="36"/>
  <c r="W29" i="36" s="1"/>
  <c r="W39" i="36" s="1"/>
  <c r="G31" i="36"/>
  <c r="G17" i="36"/>
  <c r="G5" i="36"/>
  <c r="V44" i="36"/>
  <c r="V43" i="36" s="1"/>
  <c r="V42" i="36" s="1"/>
  <c r="V54" i="36" s="1"/>
  <c r="H35" i="48" s="1"/>
  <c r="V30" i="36"/>
  <c r="V29" i="36" s="1"/>
  <c r="V39" i="36" s="1"/>
  <c r="Y16" i="36"/>
  <c r="AB16" i="36" s="1"/>
  <c r="AB5" i="36"/>
  <c r="S44" i="36"/>
  <c r="S43" i="36" s="1"/>
  <c r="S42" i="36" s="1"/>
  <c r="S54" i="36" s="1"/>
  <c r="E35" i="48" s="1"/>
  <c r="S30" i="36"/>
  <c r="S29" i="36" s="1"/>
  <c r="S39" i="36" s="1"/>
  <c r="D13" i="36"/>
  <c r="D6" i="28" s="1"/>
  <c r="X31" i="36"/>
  <c r="X5" i="36"/>
  <c r="X17" i="36"/>
  <c r="AA17" i="36" s="1"/>
  <c r="K44" i="36"/>
  <c r="K43" i="36" s="1"/>
  <c r="K42" i="36" s="1"/>
  <c r="K54" i="36" s="1"/>
  <c r="K30" i="36"/>
  <c r="K29" i="36" s="1"/>
  <c r="K39" i="36" s="1"/>
  <c r="F31" i="36"/>
  <c r="F5" i="36"/>
  <c r="F17" i="36"/>
  <c r="D44" i="36"/>
  <c r="D43" i="36" s="1"/>
  <c r="D42" i="36" s="1"/>
  <c r="D54" i="36" s="1"/>
  <c r="D30" i="36"/>
  <c r="D29" i="36" s="1"/>
  <c r="D39" i="36" s="1"/>
  <c r="Q13" i="36"/>
  <c r="Q6" i="28" s="1"/>
  <c r="AA47" i="36"/>
  <c r="Y46" i="36"/>
  <c r="U26" i="36"/>
  <c r="G34" i="48" s="1"/>
  <c r="Y18" i="36"/>
  <c r="G94" i="19"/>
  <c r="AB21" i="41"/>
  <c r="Y20" i="41"/>
  <c r="Y23" i="41" s="1"/>
  <c r="V30" i="35"/>
  <c r="H27" i="35"/>
  <c r="V37" i="35"/>
  <c r="V31" i="35" s="1"/>
  <c r="J8" i="48"/>
  <c r="M8" i="48" s="1"/>
  <c r="G21" i="41"/>
  <c r="H22" i="41"/>
  <c r="H20" i="41" s="1"/>
  <c r="H23" i="41" s="1"/>
  <c r="H25" i="41" s="1"/>
  <c r="Y107" i="19"/>
  <c r="AA80" i="19"/>
  <c r="AA117" i="19"/>
  <c r="AB117" i="19"/>
  <c r="G7" i="48"/>
  <c r="N7" i="48" s="1"/>
  <c r="M18" i="48"/>
  <c r="N18" i="48"/>
  <c r="AB17" i="19"/>
  <c r="AA17" i="19"/>
  <c r="G117" i="19"/>
  <c r="AB111" i="19"/>
  <c r="AB80" i="19"/>
  <c r="V107" i="19"/>
  <c r="X31" i="39"/>
  <c r="AA31" i="39" s="1"/>
  <c r="G111" i="19"/>
  <c r="X18" i="36"/>
  <c r="F94" i="19"/>
  <c r="U39" i="41"/>
  <c r="AB41" i="41"/>
  <c r="X46" i="36"/>
  <c r="J38" i="35"/>
  <c r="G8" i="48"/>
  <c r="N8" i="48" s="1"/>
  <c r="AB14" i="38"/>
  <c r="AB19" i="39"/>
  <c r="U31" i="39"/>
  <c r="AB31" i="39" s="1"/>
  <c r="AA27" i="35"/>
  <c r="X30" i="35"/>
  <c r="X37" i="35"/>
  <c r="W26" i="36"/>
  <c r="I34" i="48" s="1"/>
  <c r="AB27" i="35"/>
  <c r="U30" i="35"/>
  <c r="AB30" i="35" s="1"/>
  <c r="U37" i="35"/>
  <c r="J7" i="48"/>
  <c r="M7" i="48" s="1"/>
  <c r="R30" i="35"/>
  <c r="R37" i="35"/>
  <c r="R31" i="35" s="1"/>
  <c r="G27" i="35"/>
  <c r="G22" i="41"/>
  <c r="J22" i="41"/>
  <c r="J20" i="41" s="1"/>
  <c r="J23" i="41" s="1"/>
  <c r="J25" i="41" s="1"/>
  <c r="F21" i="41"/>
  <c r="F20" i="41" s="1"/>
  <c r="F23" i="41" s="1"/>
  <c r="F25" i="41" s="1"/>
  <c r="U20" i="41"/>
  <c r="X42" i="41"/>
  <c r="AA42" i="41" s="1"/>
  <c r="X23" i="41"/>
  <c r="T107" i="19"/>
  <c r="U107" i="19"/>
  <c r="E94" i="19"/>
  <c r="E107" i="19" s="1"/>
  <c r="F80" i="19"/>
  <c r="Q107" i="19"/>
  <c r="N23" i="52"/>
  <c r="T23" i="52" s="1"/>
  <c r="R18" i="52"/>
  <c r="T25" i="41"/>
  <c r="E18" i="52" l="1"/>
  <c r="D18" i="52" s="1"/>
  <c r="O34" i="52" s="1"/>
  <c r="S34" i="52" s="1"/>
  <c r="AB13" i="36"/>
  <c r="U6" i="28"/>
  <c r="E30" i="36"/>
  <c r="E29" i="36" s="1"/>
  <c r="E39" i="36" s="1"/>
  <c r="H44" i="36"/>
  <c r="H43" i="36" s="1"/>
  <c r="H42" i="36" s="1"/>
  <c r="H54" i="36" s="1"/>
  <c r="H13" i="36"/>
  <c r="H6" i="28" s="1"/>
  <c r="T41" i="52"/>
  <c r="R41" i="52"/>
  <c r="Y25" i="41"/>
  <c r="K36" i="48" s="1"/>
  <c r="E11" i="52"/>
  <c r="D11" i="52" s="1"/>
  <c r="AA107" i="19"/>
  <c r="V38" i="35"/>
  <c r="AA23" i="41"/>
  <c r="Y26" i="36"/>
  <c r="G107" i="19"/>
  <c r="F16" i="36"/>
  <c r="F26" i="36" s="1"/>
  <c r="F13" i="36"/>
  <c r="F6" i="28" s="1"/>
  <c r="U39" i="36"/>
  <c r="X44" i="36"/>
  <c r="X43" i="36" s="1"/>
  <c r="X30" i="36"/>
  <c r="X29" i="36" s="1"/>
  <c r="X39" i="36" s="1"/>
  <c r="G44" i="36"/>
  <c r="G43" i="36" s="1"/>
  <c r="G42" i="36" s="1"/>
  <c r="G54" i="36" s="1"/>
  <c r="G30" i="36"/>
  <c r="G29" i="36" s="1"/>
  <c r="G39" i="36" s="1"/>
  <c r="F44" i="36"/>
  <c r="F43" i="36" s="1"/>
  <c r="F42" i="36" s="1"/>
  <c r="F54" i="36" s="1"/>
  <c r="F30" i="36"/>
  <c r="F29" i="36" s="1"/>
  <c r="F39" i="36" s="1"/>
  <c r="Y29" i="36"/>
  <c r="AB29" i="36" s="1"/>
  <c r="AB30" i="36"/>
  <c r="G20" i="41"/>
  <c r="G23" i="41" s="1"/>
  <c r="G25" i="41" s="1"/>
  <c r="G16" i="36"/>
  <c r="G26" i="36" s="1"/>
  <c r="G13" i="36"/>
  <c r="G6" i="28" s="1"/>
  <c r="AA31" i="36"/>
  <c r="AA5" i="36"/>
  <c r="X16" i="36"/>
  <c r="AA16" i="36" s="1"/>
  <c r="X13" i="36"/>
  <c r="X6" i="28" s="1"/>
  <c r="Y43" i="36"/>
  <c r="AB44" i="36"/>
  <c r="U54" i="36"/>
  <c r="G35" i="48" s="1"/>
  <c r="AB46" i="36"/>
  <c r="AA46" i="36"/>
  <c r="AA18" i="36"/>
  <c r="AB18" i="36"/>
  <c r="AA20" i="41"/>
  <c r="H30" i="35"/>
  <c r="H37" i="35"/>
  <c r="H31" i="35" s="1"/>
  <c r="AB107" i="19"/>
  <c r="R34" i="52"/>
  <c r="N36" i="52"/>
  <c r="T36" i="52" s="1"/>
  <c r="X31" i="35"/>
  <c r="AA31" i="35" s="1"/>
  <c r="AA37" i="35"/>
  <c r="U23" i="41"/>
  <c r="AB20" i="41"/>
  <c r="AA30" i="35"/>
  <c r="U31" i="35"/>
  <c r="AB37" i="35"/>
  <c r="U42" i="41"/>
  <c r="AB39" i="41"/>
  <c r="Q34" i="52"/>
  <c r="O35" i="52"/>
  <c r="S35" i="52" s="1"/>
  <c r="O40" i="52"/>
  <c r="S40" i="52" s="1"/>
  <c r="G37" i="35"/>
  <c r="G31" i="35" s="1"/>
  <c r="G30" i="35"/>
  <c r="R38" i="35"/>
  <c r="X25" i="41"/>
  <c r="X44" i="41"/>
  <c r="AA44" i="41" s="1"/>
  <c r="F107" i="19"/>
  <c r="N26" i="52"/>
  <c r="T26" i="52" s="1"/>
  <c r="R23" i="52"/>
  <c r="F36" i="48"/>
  <c r="AA25" i="41" l="1"/>
  <c r="K34" i="48"/>
  <c r="N34" i="48" s="1"/>
  <c r="E12" i="52"/>
  <c r="AA44" i="36"/>
  <c r="AA30" i="36"/>
  <c r="AB26" i="36"/>
  <c r="X26" i="36"/>
  <c r="AA26" i="36" s="1"/>
  <c r="AA13" i="36"/>
  <c r="Y42" i="36"/>
  <c r="AB43" i="36"/>
  <c r="AA39" i="36"/>
  <c r="AA29" i="36"/>
  <c r="Y39" i="36"/>
  <c r="AA43" i="36"/>
  <c r="X42" i="36"/>
  <c r="H38" i="35"/>
  <c r="O36" i="52"/>
  <c r="S36" i="52" s="1"/>
  <c r="R36" i="52"/>
  <c r="O11" i="52"/>
  <c r="S11" i="52" s="1"/>
  <c r="G38" i="35"/>
  <c r="U44" i="41"/>
  <c r="AB44" i="41" s="1"/>
  <c r="AB42" i="41"/>
  <c r="U25" i="41"/>
  <c r="AB23" i="41"/>
  <c r="U38" i="35"/>
  <c r="AB38" i="35" s="1"/>
  <c r="AB31" i="35"/>
  <c r="X38" i="35"/>
  <c r="AA38" i="35" s="1"/>
  <c r="Q40" i="52"/>
  <c r="O17" i="52"/>
  <c r="S17" i="52" s="1"/>
  <c r="Q35" i="52"/>
  <c r="J36" i="48"/>
  <c r="M36" i="48" s="1"/>
  <c r="R26" i="52"/>
  <c r="E26" i="52"/>
  <c r="E25" i="52"/>
  <c r="J34" i="48" l="1"/>
  <c r="M34" i="48" s="1"/>
  <c r="D12" i="52"/>
  <c r="Y54" i="36"/>
  <c r="AB42" i="36"/>
  <c r="AA42" i="36"/>
  <c r="X54" i="36"/>
  <c r="AB39" i="36"/>
  <c r="O37" i="52"/>
  <c r="Q36" i="52"/>
  <c r="Q11" i="52"/>
  <c r="G36" i="48"/>
  <c r="N36" i="48" s="1"/>
  <c r="AB25" i="41"/>
  <c r="Q17" i="52"/>
  <c r="O12" i="52" l="1"/>
  <c r="S12" i="52" s="1"/>
  <c r="O43" i="52"/>
  <c r="S43" i="52" s="1"/>
  <c r="S37" i="52"/>
  <c r="O22" i="52"/>
  <c r="AA54" i="36"/>
  <c r="J35" i="48"/>
  <c r="K35" i="48"/>
  <c r="AB54" i="36"/>
  <c r="Q37" i="52"/>
  <c r="O15" i="52" l="1"/>
  <c r="S15" i="52" s="1"/>
  <c r="Q43" i="52"/>
  <c r="AB6" i="28"/>
  <c r="AA6" i="28"/>
  <c r="O10" i="52"/>
  <c r="Q12" i="52"/>
  <c r="Q22" i="52"/>
  <c r="S22" i="52"/>
  <c r="N35" i="48"/>
  <c r="M35" i="48"/>
  <c r="O18" i="52" l="1"/>
  <c r="Q18" i="52" s="1"/>
  <c r="O21" i="52"/>
  <c r="S21" i="52" s="1"/>
  <c r="Q15" i="52"/>
  <c r="D27" i="52"/>
  <c r="Q10" i="52"/>
  <c r="S10" i="52"/>
  <c r="Q21" i="52" l="1"/>
  <c r="O20" i="52"/>
  <c r="O23" i="52" s="1"/>
  <c r="Q23" i="52" s="1"/>
  <c r="S18" i="52"/>
  <c r="Q20" i="52"/>
  <c r="S20" i="52" l="1"/>
  <c r="O25" i="52"/>
  <c r="S23" i="52"/>
  <c r="N20" i="39"/>
  <c r="N19" i="39" s="1"/>
  <c r="N31" i="39" s="1"/>
  <c r="N6" i="39"/>
  <c r="N5" i="39" s="1"/>
  <c r="N16" i="39" s="1"/>
  <c r="N9" i="37"/>
  <c r="O26" i="52" l="1"/>
  <c r="S25" i="52"/>
  <c r="Q25" i="52"/>
  <c r="N21" i="37"/>
  <c r="N32" i="37"/>
  <c r="F16" i="35"/>
  <c r="N29" i="37"/>
  <c r="N34" i="37" s="1"/>
  <c r="N18" i="37"/>
  <c r="N23" i="37" s="1"/>
  <c r="N14" i="37"/>
  <c r="N16" i="35"/>
  <c r="O42" i="52" l="1"/>
  <c r="D25" i="52" s="1"/>
  <c r="S26" i="52"/>
  <c r="D26" i="52"/>
  <c r="Q26" i="52"/>
  <c r="F22" i="35"/>
  <c r="F26" i="35" s="1"/>
  <c r="F27" i="35" s="1"/>
  <c r="N22" i="35"/>
  <c r="N26" i="35" s="1"/>
  <c r="N27" i="35" s="1"/>
  <c r="F6" i="39"/>
  <c r="F5" i="39" s="1"/>
  <c r="F16" i="39" s="1"/>
  <c r="F20" i="39"/>
  <c r="F19" i="39" s="1"/>
  <c r="F31" i="39" s="1"/>
  <c r="S42" i="52" l="1"/>
  <c r="Q42" i="52"/>
  <c r="O41" i="52"/>
  <c r="N37" i="35"/>
  <c r="N31" i="35" s="1"/>
  <c r="N30" i="35"/>
  <c r="F21" i="37"/>
  <c r="F9" i="37"/>
  <c r="F32" i="37"/>
  <c r="F37" i="35"/>
  <c r="F31" i="35" s="1"/>
  <c r="F30" i="35"/>
  <c r="S41" i="52" l="1"/>
  <c r="Q41" i="52"/>
  <c r="F38" i="35"/>
  <c r="N38" i="35"/>
  <c r="F18" i="37"/>
  <c r="F23" i="37" s="1"/>
  <c r="F14" i="37"/>
  <c r="F29" i="37"/>
  <c r="F34" i="37" s="1"/>
  <c r="C15" i="48" l="1"/>
  <c r="C38" i="48" l="1"/>
</calcChain>
</file>

<file path=xl/sharedStrings.xml><?xml version="1.0" encoding="utf-8"?>
<sst xmlns="http://schemas.openxmlformats.org/spreadsheetml/2006/main" count="1458" uniqueCount="988">
  <si>
    <t>N#</t>
  </si>
  <si>
    <t>Language</t>
  </si>
  <si>
    <t>Quarters</t>
  </si>
  <si>
    <t>Trimestres</t>
  </si>
  <si>
    <t>Quarters 1</t>
  </si>
  <si>
    <t>Trimestres 1</t>
  </si>
  <si>
    <t>x</t>
  </si>
  <si>
    <t>y</t>
  </si>
  <si>
    <t>Menu - EN</t>
  </si>
  <si>
    <t>Menu - PT</t>
  </si>
  <si>
    <t>Balance Sheet (IFRS, R$ Thousands)</t>
  </si>
  <si>
    <t>Balanço Patrimonial (IFRS, R$ Mil)</t>
  </si>
  <si>
    <t>Income Statement (IFRS, R$ Thousands)</t>
  </si>
  <si>
    <t>Demonstração de Resultado (IFRS, R$ Mil)</t>
  </si>
  <si>
    <t>Credit (IFRS, R$ Thousands)</t>
  </si>
  <si>
    <t>Carteira de Crédito (IFRS, R$ Mil)</t>
  </si>
  <si>
    <t>Funding (IFRS, R$ Thousands)</t>
  </si>
  <si>
    <t>Funding (IFRS, R$ Mil)</t>
  </si>
  <si>
    <t>Fee Revenues (IFRS, R$ Thousands)</t>
  </si>
  <si>
    <t>Receitas de serviços e comissões (IFRS, R$ Mil)</t>
  </si>
  <si>
    <t>Financials KPIs</t>
  </si>
  <si>
    <t>KPIs Financeiros</t>
  </si>
  <si>
    <t>Tier I Ratio (Banco Inter S.A., R$ Thousands)</t>
  </si>
  <si>
    <t>Índice de Basiléia (Banco Inter S.A., R$ Mil)</t>
  </si>
  <si>
    <t>NIMs (R$ Thousands)</t>
  </si>
  <si>
    <t>NIMs (R$ Mil)</t>
  </si>
  <si>
    <t>Cost of Risk (R$ Thousands)</t>
  </si>
  <si>
    <t>Cost of Risk (R$ Mil)</t>
  </si>
  <si>
    <t>Asset Quality</t>
  </si>
  <si>
    <t>Monthly Cost-to-serve (R$ Thousands)</t>
  </si>
  <si>
    <t>Custo de Servir Mensal (R$ Mil)</t>
  </si>
  <si>
    <t>Monthly ARPAC (R$ Thousands)</t>
  </si>
  <si>
    <t>ARPAC Mensal (R$ Mil)</t>
  </si>
  <si>
    <t>Inter Seguros (Managerial, Million)</t>
  </si>
  <si>
    <t>Inter Seguros (Gerencial, Milhão)</t>
  </si>
  <si>
    <t>Inter Shop (Managerial, Million)</t>
  </si>
  <si>
    <t>Inter Shop (Gerencial, Milhões)</t>
  </si>
  <si>
    <t>Digital Account (Managerial, Million)</t>
  </si>
  <si>
    <t>Conta Digital (Gerencial, Milhões)</t>
  </si>
  <si>
    <t>Operational KPIs</t>
  </si>
  <si>
    <t>KPIs Operacionais</t>
  </si>
  <si>
    <t>Back to summary</t>
  </si>
  <si>
    <t>Voltar ao sumário</t>
  </si>
  <si>
    <t>Note 1: New methodology for NIMs since 1Q23. Considering derivatives.</t>
  </si>
  <si>
    <t>Nota 1: Nova metodologia para NIMs desde o 1T23. Considerando derivativos.</t>
  </si>
  <si>
    <t> Efficiency Ratio (R$ Thousands)</t>
  </si>
  <si>
    <t>Índice de Eficiência (R$ Mil)</t>
  </si>
  <si>
    <t>Inter Invest (Managerial, R$ Million)</t>
  </si>
  <si>
    <t>Inter Invest (Gerencial, R$ Milhão)</t>
  </si>
  <si>
    <t>Market Data - Brazil (Millions)</t>
  </si>
  <si>
    <t>Dados de Mercado - Brasil (Milhões)</t>
  </si>
  <si>
    <t>Inter Pag (Managerial, R$ Million)</t>
  </si>
  <si>
    <t>Inter Pag (Gerencial, R$ Milhão)</t>
  </si>
  <si>
    <t>Português</t>
  </si>
  <si>
    <t>4Q19</t>
  </si>
  <si>
    <t>4T19</t>
  </si>
  <si>
    <t>Operational Data</t>
  </si>
  <si>
    <t>Dados Operacionais</t>
  </si>
  <si>
    <t>Balance Sheet</t>
  </si>
  <si>
    <t>Balanço Patrimonial</t>
  </si>
  <si>
    <t>Assets</t>
  </si>
  <si>
    <t>Ativos</t>
  </si>
  <si>
    <t>Interest income</t>
  </si>
  <si>
    <t>Receita de juros</t>
  </si>
  <si>
    <t>Loan portfolio</t>
  </si>
  <si>
    <t>Carteira de crédito</t>
  </si>
  <si>
    <t>Funding - including other interest bearing liabilities</t>
  </si>
  <si>
    <t>Funding - incluindo outros passivos que geram despesas de juros</t>
  </si>
  <si>
    <t>KPIs financeiros</t>
  </si>
  <si>
    <t>Cost of risk  (Excl. Antic. of CC Receivables)</t>
  </si>
  <si>
    <t>Cost of risk  (Excl. Antec. de Recebíveis CC)</t>
  </si>
  <si>
    <t>Cost of risk (%)</t>
  </si>
  <si>
    <t>Inter seguros</t>
  </si>
  <si>
    <t>Inter shop</t>
  </si>
  <si>
    <t>Digital account</t>
  </si>
  <si>
    <t>Conta digital</t>
  </si>
  <si>
    <t>KPIs operacionais</t>
  </si>
  <si>
    <t>Note 1: New methodology for Efficiency Ratio since 1Q23. Considering D&amp;A as expanses and excluding tax expenses from revenues.</t>
  </si>
  <si>
    <t>Note 1: Nova metodologia para Índice de Eficiência desde o 1T23. Considerando D&amp;A em despesas e excluindo despesas tributárias na receita.</t>
  </si>
  <si>
    <t>Variation %</t>
  </si>
  <si>
    <t>Variação %</t>
  </si>
  <si>
    <t>Source</t>
  </si>
  <si>
    <t>Fonte</t>
  </si>
  <si>
    <t>English</t>
  </si>
  <si>
    <t>4Q20</t>
  </si>
  <si>
    <t>4T20</t>
  </si>
  <si>
    <t>Others</t>
  </si>
  <si>
    <t>Outros</t>
  </si>
  <si>
    <t>Income Statement</t>
  </si>
  <si>
    <t>DRE</t>
  </si>
  <si>
    <t>Cash and cash equivalents</t>
  </si>
  <si>
    <t>Caixa e equivalentes de caixa</t>
  </si>
  <si>
    <t>Interest expenses</t>
  </si>
  <si>
    <t>Despesas de juros</t>
  </si>
  <si>
    <t>Gross loans and advances to customers</t>
  </si>
  <si>
    <t>Empréstimos e adiantamentos a clientes</t>
  </si>
  <si>
    <t>Liabilities with customers</t>
  </si>
  <si>
    <t>Passivos com clientes</t>
  </si>
  <si>
    <t xml:space="preserve">Revenues from services and commissions </t>
  </si>
  <si>
    <t>Receitas de serviços e comissões</t>
  </si>
  <si>
    <t>Tier I Ratio</t>
  </si>
  <si>
    <t>Tier I ratio (%)</t>
  </si>
  <si>
    <t>Índice de basileia (%)</t>
  </si>
  <si>
    <t>Tier 1 ratio</t>
  </si>
  <si>
    <t>Índice de basiléia</t>
  </si>
  <si>
    <t>NIM 1.0 - IEP + non-interest credit card receivables</t>
  </si>
  <si>
    <t>NIM 1.0 - carteira remunerada + recebíveis CC que não geram juros</t>
  </si>
  <si>
    <t>Anuallized impairment losses on financial assets</t>
  </si>
  <si>
    <t>Resultado de perdas esperadas anualizado</t>
  </si>
  <si>
    <t>NPL &gt; 90 days (including anticipation of credit card receivables, %)</t>
  </si>
  <si>
    <t>NPL &gt; 90 dias (incluindo antecipação de recebíveis de cartão de crédito, %)</t>
  </si>
  <si>
    <t>Cost-to-serve</t>
  </si>
  <si>
    <t>Custo de servir</t>
  </si>
  <si>
    <t>ARPAC (gross of cost of funding)</t>
  </si>
  <si>
    <t>ARPAC (bruto de custo de funding)</t>
  </si>
  <si>
    <t>Active contracts</t>
  </si>
  <si>
    <t>Contratos ativos</t>
  </si>
  <si>
    <t>Gross merchandise volume</t>
  </si>
  <si>
    <t>Volume transacionado</t>
  </si>
  <si>
    <t>Number of cards used (in thousands)</t>
  </si>
  <si>
    <t>Número de cartões utilizados (em mil)</t>
  </si>
  <si>
    <t>CAC</t>
  </si>
  <si>
    <t>Note 1: New methodology for Total cost-to-serve since 1Q23 Considering D&amp;A as expanses.</t>
  </si>
  <si>
    <t>Note 1: Nova metodologia para Custo de servir desde o 1T23. Considerando D&amp;A nas depesas e excluindo despesas tributárias.</t>
  </si>
  <si>
    <t>Efficiency ratio </t>
  </si>
  <si>
    <t>Índice de eficiência</t>
  </si>
  <si>
    <t>Inter invest</t>
  </si>
  <si>
    <t>KPIs</t>
  </si>
  <si>
    <t>KPI Inputs</t>
  </si>
  <si>
    <t>Input KPI</t>
  </si>
  <si>
    <t>Inter Pag</t>
  </si>
  <si>
    <t>1Q21</t>
  </si>
  <si>
    <t>1T21</t>
  </si>
  <si>
    <t xml:space="preserve">Credit </t>
  </si>
  <si>
    <t>Crédito</t>
  </si>
  <si>
    <t>Amounts due from financial institutions</t>
  </si>
  <si>
    <t>Empréstimos e adiantamento a instituições financeiras</t>
  </si>
  <si>
    <t>Income from securities and derivatives</t>
  </si>
  <si>
    <t>Resultado de títulos e valores mobiliários e derivativos</t>
  </si>
  <si>
    <t>Real estate</t>
  </si>
  <si>
    <t>Imobiliário</t>
  </si>
  <si>
    <t>Demand deposits</t>
  </si>
  <si>
    <t>Depósitos à vista</t>
  </si>
  <si>
    <t>Interchange</t>
  </si>
  <si>
    <t xml:space="preserve">Receitas de intercâmbio </t>
  </si>
  <si>
    <t>NIM 1.0 - IEP + Non-interest credit card receivables</t>
  </si>
  <si>
    <t>NIM 1.0 - IEP + non-interest credit card receivables (%)</t>
  </si>
  <si>
    <t>NIM 1.0 - Carteira remunerada + recebíveis CC que não geram juros (%)</t>
  </si>
  <si>
    <t>Referential equity (RE)</t>
  </si>
  <si>
    <t xml:space="preserve">Patrimônio de referência (PR) </t>
  </si>
  <si>
    <t>Annualized NII</t>
  </si>
  <si>
    <t>NII anualizado</t>
  </si>
  <si>
    <t>Impairment losses on financial assets</t>
  </si>
  <si>
    <t>Resultado de perdas esperadas</t>
  </si>
  <si>
    <t>NPL 15-90 days (including anticipation of credit card receivables, %)</t>
  </si>
  <si>
    <t>NPL 15-90 dias (incluindo antecipação de recebíveis de cartão de crédito, %)</t>
  </si>
  <si>
    <t>Monthly average of cost-to-serve</t>
  </si>
  <si>
    <t>Custo de servir médio mensal</t>
  </si>
  <si>
    <t>Monthly average of total gross revenues</t>
  </si>
  <si>
    <t>Receita bruta total mensal média</t>
  </si>
  <si>
    <t>Inter Seguros net revenues</t>
  </si>
  <si>
    <t>Receita líquida Inter Seguros</t>
  </si>
  <si>
    <t>Inter Shop net revenues</t>
  </si>
  <si>
    <t>Receita líquida Inter Shop</t>
  </si>
  <si>
    <t>Debit cards used</t>
  </si>
  <si>
    <t>Débito</t>
  </si>
  <si>
    <t>NPS</t>
  </si>
  <si>
    <t>Source: CDI Rate according to CETIP</t>
  </si>
  <si>
    <t>Fonte: Taxa do CDI de acordo com a CETIP</t>
  </si>
  <si>
    <t>Total operational expenses</t>
  </si>
  <si>
    <t>Despesas operacionais totais</t>
  </si>
  <si>
    <t>Total AUC</t>
  </si>
  <si>
    <t>AuC/AuM Total</t>
  </si>
  <si>
    <t>Unit Economics</t>
  </si>
  <si>
    <t>Active Clients</t>
  </si>
  <si>
    <t>Clientes Ativos</t>
  </si>
  <si>
    <t>2Q21</t>
  </si>
  <si>
    <t>2T21</t>
  </si>
  <si>
    <t>Funding</t>
  </si>
  <si>
    <t>Compulsory deposits at Central Bank of Brazil</t>
  </si>
  <si>
    <t>Depósitos compulsórios Banco Central do Brasil</t>
  </si>
  <si>
    <t>Net interest income</t>
  </si>
  <si>
    <t>Resultado líquido de juros</t>
  </si>
  <si>
    <t>Personal</t>
  </si>
  <si>
    <t>Pessoal</t>
  </si>
  <si>
    <t>Time deposits</t>
  </si>
  <si>
    <t>Depósitos a prazo</t>
  </si>
  <si>
    <t>Comissions</t>
  </si>
  <si>
    <t xml:space="preserve">Receitas de comissões </t>
  </si>
  <si>
    <t>NIM 2.0 - IEP only</t>
  </si>
  <si>
    <t>NIM 2.0 - IEP only (%)</t>
  </si>
  <si>
    <t>NIM 2.0 - Apenas carteira remunerada (%)</t>
  </si>
  <si>
    <t>Tier I referential equity</t>
  </si>
  <si>
    <t xml:space="preserve">Patrimônio de referência nível I </t>
  </si>
  <si>
    <t>NII</t>
  </si>
  <si>
    <t>(÷) Avg of the last two periods of gross loans and advances to customers</t>
  </si>
  <si>
    <t>(÷) Média dos últimos dois períodos de empréstimos e adiantamentos a clientes</t>
  </si>
  <si>
    <t>Efficiency</t>
  </si>
  <si>
    <t>Eficiência</t>
  </si>
  <si>
    <t>Total cost-to-serve</t>
  </si>
  <si>
    <t>Custo de servir total</t>
  </si>
  <si>
    <t>Total gross revenues</t>
  </si>
  <si>
    <t>Receita bruta total</t>
  </si>
  <si>
    <t>Inter Seguros net fee revenues</t>
  </si>
  <si>
    <t>Receita líquida de serviços e comissões Inter Seguros</t>
  </si>
  <si>
    <t>Inter Shop net fee revenues</t>
  </si>
  <si>
    <t>Receita líquida de serviços e comissões Inter Shop</t>
  </si>
  <si>
    <t>Credit cards used</t>
  </si>
  <si>
    <t>Total clients (million)</t>
  </si>
  <si>
    <t>Clientes totais (milhões)</t>
  </si>
  <si>
    <t>Personnel expenses</t>
  </si>
  <si>
    <t>Despesa de pessoal</t>
  </si>
  <si>
    <t>Funding (includes deposits and other on-balance funding)</t>
  </si>
  <si>
    <t>Funding (incluindo outras operações)</t>
  </si>
  <si>
    <t>Total Clients (mm)</t>
  </si>
  <si>
    <t>Total de Clientes (mm)</t>
  </si>
  <si>
    <t>Cost of funding (%)</t>
  </si>
  <si>
    <t>Custo de funding (%)</t>
  </si>
  <si>
    <t>CPFs com Contas Bancárias</t>
  </si>
  <si>
    <t>Estatísticas do CCS - Banco Central do Brasil</t>
  </si>
  <si>
    <t>Total TPV</t>
  </si>
  <si>
    <t>TPV Total</t>
  </si>
  <si>
    <t>3Q21</t>
  </si>
  <si>
    <t>3T21</t>
  </si>
  <si>
    <t>Fee Revenue</t>
  </si>
  <si>
    <t>Receita Líquida</t>
  </si>
  <si>
    <t>Securities</t>
  </si>
  <si>
    <t>Títulos e valores mobiliários</t>
  </si>
  <si>
    <t>SME</t>
  </si>
  <si>
    <t>Empresas</t>
  </si>
  <si>
    <t>Savings deposits</t>
  </si>
  <si>
    <t>Depósitos de poupança</t>
  </si>
  <si>
    <t>Banking</t>
  </si>
  <si>
    <t xml:space="preserve">Receitas de tarifas bancárias </t>
  </si>
  <si>
    <t>Efficiency Ratio</t>
  </si>
  <si>
    <t>Efficiency ratio (%)</t>
  </si>
  <si>
    <t>Índice de eficiência (%)</t>
  </si>
  <si>
    <t>Core capital (CC)</t>
  </si>
  <si>
    <t xml:space="preserve">Capital principal (CP) </t>
  </si>
  <si>
    <t>CAC (R$)</t>
  </si>
  <si>
    <t>Inter Seguros net interest revenues</t>
  </si>
  <si>
    <t>Receita líquida de juros Inter Seguros</t>
  </si>
  <si>
    <t>Inter Shop net interest revenues</t>
  </si>
  <si>
    <t>Receita líquida de juros Inter Shop</t>
  </si>
  <si>
    <t>Total cards used</t>
  </si>
  <si>
    <t>Número total de cartões utilizados</t>
  </si>
  <si>
    <t>Active clients (million)</t>
  </si>
  <si>
    <t>Clientes ativos (milhões)</t>
  </si>
  <si>
    <t>Administrative expenses</t>
  </si>
  <si>
    <t>Despesas administrativas</t>
  </si>
  <si>
    <t>Inter Asset AuM + Inter Securities AuM</t>
  </si>
  <si>
    <t>Active Clients (mm)</t>
  </si>
  <si>
    <t>Clientes Ativos (mm)</t>
  </si>
  <si>
    <t>NIM (%) 2.0 - IEP only</t>
  </si>
  <si>
    <t>NIM 2.0 - carteira remunerada</t>
  </si>
  <si>
    <t>Business with Banking Accounts</t>
  </si>
  <si>
    <t>CNPJs com Contas Bancárias</t>
  </si>
  <si>
    <t>Credit TPV</t>
  </si>
  <si>
    <t>TPV Crédito</t>
  </si>
  <si>
    <t>4Q21</t>
  </si>
  <si>
    <t>4T21</t>
  </si>
  <si>
    <t>Financial KPIs</t>
  </si>
  <si>
    <t>Derivative financial assets</t>
  </si>
  <si>
    <t>Instrumentos financeiros derivativos</t>
  </si>
  <si>
    <t>Expenses from services and commissions</t>
  </si>
  <si>
    <t>Despesas de serviços e comissões</t>
  </si>
  <si>
    <t>Credit cards</t>
  </si>
  <si>
    <t>Cartão de crédito</t>
  </si>
  <si>
    <t>Creditors by resources to release</t>
  </si>
  <si>
    <t>Credores por recursos a liberar</t>
  </si>
  <si>
    <t>Management (Inter DTVM &amp; Asset)</t>
  </si>
  <si>
    <t>Receita de gestão (Inter DTVM &amp; Asset)</t>
  </si>
  <si>
    <t>Cost-to-serve (R$)</t>
  </si>
  <si>
    <t>Custo de servir (R$)</t>
  </si>
  <si>
    <t>Risk weighted assets - RWA</t>
  </si>
  <si>
    <t>Ativos ponderados por risco - RWA</t>
  </si>
  <si>
    <t>Net gains / (losses) from derivatives</t>
  </si>
  <si>
    <t>Resultado de instrumentos financeiros derivativos</t>
  </si>
  <si>
    <t>Gross loans and advances to customers in the previous period</t>
  </si>
  <si>
    <t>Empréstimos e adiantamentos a clientes no período anterior</t>
  </si>
  <si>
    <t>EBITDA</t>
  </si>
  <si>
    <t>Cashback expenses</t>
  </si>
  <si>
    <t>Despesas de Cashback</t>
  </si>
  <si>
    <t>Longevity ratio (clients more than 1 year old at Inter) (%)</t>
  </si>
  <si>
    <t>Índice de longevidade (clientes com mais de um ano no inter) %</t>
  </si>
  <si>
    <t>Depreciation and amortization</t>
  </si>
  <si>
    <t>Depreciação e amortização</t>
  </si>
  <si>
    <t>Inter DTVM - management, distribution and custody</t>
  </si>
  <si>
    <t>Inter DTVM - gestão, distribuição e custódia</t>
  </si>
  <si>
    <t>Gross ARPAC (R$)</t>
  </si>
  <si>
    <t>ARPAC Bruto (R$)</t>
  </si>
  <si>
    <t>Net fee income growth (%, QoQ)</t>
  </si>
  <si>
    <t>Crescimento das receitas líquidas de serviços (%, QoQ)</t>
  </si>
  <si>
    <t>Debt TPV</t>
  </si>
  <si>
    <t>TPV Débito</t>
  </si>
  <si>
    <t>1Q22</t>
  </si>
  <si>
    <t>1T22</t>
  </si>
  <si>
    <t>Índice de Basileia</t>
  </si>
  <si>
    <t>Net loans and advances to customers</t>
  </si>
  <si>
    <t>Empréstimos e adiantamentos a clientes, líquidos de provisão</t>
  </si>
  <si>
    <t>Net result from services and commissions</t>
  </si>
  <si>
    <t>Resultado líquido de serviços e comissões</t>
  </si>
  <si>
    <t>Agribusiness</t>
  </si>
  <si>
    <t>Rural</t>
  </si>
  <si>
    <t>Securities issued</t>
  </si>
  <si>
    <t>Títulos emitidos</t>
  </si>
  <si>
    <t>Other</t>
  </si>
  <si>
    <t>ARPAC Gross of Cost of Funding</t>
  </si>
  <si>
    <t>ARPAC gross of cost of funding (R$)</t>
  </si>
  <si>
    <t>ARPAC bruto de custo de funding (R$)</t>
  </si>
  <si>
    <t>RWA for credit risk by standardized approach - RWACPAD</t>
  </si>
  <si>
    <t>RWA para risco de crédito por abordagem padronizada - RWACPAD</t>
  </si>
  <si>
    <t>(÷) Avg of the last two periods of IEP + non-interest credit card receivables</t>
  </si>
  <si>
    <t>(÷) Média dos últimos dois períodos de Carteira remunerada + recebíveis CC que não geram juros</t>
  </si>
  <si>
    <t>Cost of risk (%) (Excl. Antic. of CC Receivables)</t>
  </si>
  <si>
    <t>Cost of risk (%) (Excl. Antec. de Recebíveis CC)</t>
  </si>
  <si>
    <t>Managerial EBITDA Margin</t>
  </si>
  <si>
    <t>Margem EBITDA Gerencial</t>
  </si>
  <si>
    <t>Take rate</t>
  </si>
  <si>
    <t>Cards + PIX TPV (in million)</t>
  </si>
  <si>
    <t>Cartões + PIX TPV (em milhões)</t>
  </si>
  <si>
    <t>Activity rate (%)</t>
  </si>
  <si>
    <t>Índice de ativação (%)</t>
  </si>
  <si>
    <t>(÷) Total net revenues excluding tax expenses</t>
  </si>
  <si>
    <t>(÷) Receitais totais excluindo despesas tributárias</t>
  </si>
  <si>
    <t>Inter Invest net revenues</t>
  </si>
  <si>
    <t xml:space="preserve">Receita líquida Inter Invest </t>
  </si>
  <si>
    <t>CTS (R$)</t>
  </si>
  <si>
    <t>PIX TPV</t>
  </si>
  <si>
    <t>TPV PIX</t>
  </si>
  <si>
    <t>2Q22</t>
  </si>
  <si>
    <t>2T22</t>
  </si>
  <si>
    <t>NIMs</t>
  </si>
  <si>
    <t>Non-current assets held for sale</t>
  </si>
  <si>
    <t>Ativos não circulantes mantidos para venda</t>
  </si>
  <si>
    <t>Prepayment of receivables</t>
  </si>
  <si>
    <t>Antecipação de recebíveis de cartão de crédito</t>
  </si>
  <si>
    <t>Total funding</t>
  </si>
  <si>
    <t>Funding total</t>
  </si>
  <si>
    <t>Securities placement</t>
  </si>
  <si>
    <t xml:space="preserve">Colocação de valores mobiliários </t>
  </si>
  <si>
    <t>ARPAC Net of Cost of of Funding</t>
  </si>
  <si>
    <t>ARPAC net of cost of of funding (R$)</t>
  </si>
  <si>
    <t>ARPAC líquido de custo de funding (R$)</t>
  </si>
  <si>
    <t>RWA for market risk - RWAMPAD</t>
  </si>
  <si>
    <t>RWA para risco de mercado - RWAMPAD</t>
  </si>
  <si>
    <t>IEP + non-interest credit card receivables</t>
  </si>
  <si>
    <t>Carteira remunerada + recebíveis CC que não geram juros</t>
  </si>
  <si>
    <t>Note 1: 1Q22 managerial figure, excluding non-recurrent provision.</t>
  </si>
  <si>
    <t>Nota 2: Despesa gerencial em 1T22 excluindo provisão não recorrente.</t>
  </si>
  <si>
    <t>CAC expenses</t>
  </si>
  <si>
    <t>Despesas de CAC</t>
  </si>
  <si>
    <t>Inter Seguros net income</t>
  </si>
  <si>
    <t>Lucro líquido Inter Seguros</t>
  </si>
  <si>
    <t>Net take rate</t>
  </si>
  <si>
    <t>Debit TPV</t>
  </si>
  <si>
    <t>Headcount</t>
  </si>
  <si>
    <t>Número de funcionários</t>
  </si>
  <si>
    <t>Inter Invest net fee revenues</t>
  </si>
  <si>
    <t xml:space="preserve">Receita líquida de serviços e comissões Inter Invest </t>
  </si>
  <si>
    <t>TPV</t>
  </si>
  <si>
    <t>Anticipated TPV</t>
  </si>
  <si>
    <t>TPV Antecipado</t>
  </si>
  <si>
    <t>3Q22</t>
  </si>
  <si>
    <t>3T22</t>
  </si>
  <si>
    <t>Índice de Eficiência</t>
  </si>
  <si>
    <t>Equity accounted investees</t>
  </si>
  <si>
    <t>Investimentos</t>
  </si>
  <si>
    <t>Other revenues</t>
  </si>
  <si>
    <t>Outras receitas</t>
  </si>
  <si>
    <t>Gross loan portfolio</t>
  </si>
  <si>
    <t>Carteira de crédito bruta</t>
  </si>
  <si>
    <t>Cost of funding</t>
  </si>
  <si>
    <t>Custo de funding</t>
  </si>
  <si>
    <t>Despesas de cashback</t>
  </si>
  <si>
    <t>ROAA</t>
  </si>
  <si>
    <t>ROAA (%)</t>
  </si>
  <si>
    <t>RWA for operating risk by standard approach - RWAOPAD</t>
  </si>
  <si>
    <t>RWA para risco operacional por abordagem padronizada - RWAOPAD</t>
  </si>
  <si>
    <t>(÷) Average active clients</t>
  </si>
  <si>
    <t>(÷) Média de clientes ativos</t>
  </si>
  <si>
    <t>Active clients per employee (thousands)</t>
  </si>
  <si>
    <t>Clientes ativos por funcionário (mil)</t>
  </si>
  <si>
    <t>Inter Invest net interest revenues</t>
  </si>
  <si>
    <t xml:space="preserve">Receita líquida de juros Inter Invest </t>
  </si>
  <si>
    <t>Tax expenses as % of total revenues</t>
  </si>
  <si>
    <t>Tributos como % de receitas totais</t>
  </si>
  <si>
    <t>PIX</t>
  </si>
  <si>
    <t>Anticipated TPV (%)</t>
  </si>
  <si>
    <t>TPV Antecipado (%)</t>
  </si>
  <si>
    <t>4Q22</t>
  </si>
  <si>
    <t>4T22</t>
  </si>
  <si>
    <t>Cost-to-Serve</t>
  </si>
  <si>
    <t>Custo de Servir</t>
  </si>
  <si>
    <t>Property and equipment</t>
  </si>
  <si>
    <t>Imobilizado</t>
  </si>
  <si>
    <t>Total net revenues</t>
  </si>
  <si>
    <t>Receitas líquidas</t>
  </si>
  <si>
    <t>Empréstimos e adiantamentos a clientes, líquido de provisão</t>
  </si>
  <si>
    <t>Annualized interest expenses</t>
  </si>
  <si>
    <t>Despesa de juros anualizadas</t>
  </si>
  <si>
    <t>Inter rewards</t>
  </si>
  <si>
    <t>ROAE</t>
  </si>
  <si>
    <t>ROAE (%)</t>
  </si>
  <si>
    <t>Capital requirement</t>
  </si>
  <si>
    <t>Requerimento de capital</t>
  </si>
  <si>
    <t>Cost of risk</t>
  </si>
  <si>
    <t>Cost of funding % of CDI</t>
  </si>
  <si>
    <t>Custo de funding % do CDI</t>
  </si>
  <si>
    <t>Active clients</t>
  </si>
  <si>
    <t>Clientes ativos</t>
  </si>
  <si>
    <t>(+) Cashback expenses</t>
  </si>
  <si>
    <t>(+) Despesas de cashback</t>
  </si>
  <si>
    <t>PIX Transactions</t>
  </si>
  <si>
    <t>Transações PIX</t>
  </si>
  <si>
    <t>Sistema de Pagamentos Brasileiro (SPB) - Estatísticas do Pix - Banco Central do Brasil</t>
  </si>
  <si>
    <t>Take Rate (%)</t>
  </si>
  <si>
    <t>1Q23</t>
  </si>
  <si>
    <t>1T23</t>
  </si>
  <si>
    <t>ARPAC</t>
  </si>
  <si>
    <t>Intangible assets</t>
  </si>
  <si>
    <t>Intangível</t>
  </si>
  <si>
    <t>Other income</t>
  </si>
  <si>
    <t>Outros rendimentos</t>
  </si>
  <si>
    <t>Despesa de juros</t>
  </si>
  <si>
    <t>Minimum principal capital required for RWA</t>
  </si>
  <si>
    <t>Capital principal mínimo requerido para o RWA</t>
  </si>
  <si>
    <t>Revenues</t>
  </si>
  <si>
    <t>Receitas</t>
  </si>
  <si>
    <t>Active clients in the previous period</t>
  </si>
  <si>
    <t>Clientes ativos no período anterior</t>
  </si>
  <si>
    <t>(÷) Average of active clients</t>
  </si>
  <si>
    <t>Cards + PIX TPV</t>
  </si>
  <si>
    <t>Cartões + PIX TPV</t>
  </si>
  <si>
    <t>Gross Revenue (R$ mm)</t>
  </si>
  <si>
    <t>Receita Bruta (R$ mm)</t>
  </si>
  <si>
    <t>IEP growth (%, QoQ)</t>
  </si>
  <si>
    <t>Crescimento dos ativos rentáveis (QoQ, %)</t>
  </si>
  <si>
    <t>PIX TPV (R$)</t>
  </si>
  <si>
    <t>TPV PIX (R$)</t>
  </si>
  <si>
    <t>2Q23</t>
  </si>
  <si>
    <t>2T23</t>
  </si>
  <si>
    <t>Inter Invest</t>
  </si>
  <si>
    <t>Deferred tax assets</t>
  </si>
  <si>
    <t>Ativos fiscal diferido</t>
  </si>
  <si>
    <t>(-) Provision for expected loss</t>
  </si>
  <si>
    <t>(-) Perda esperada por redução ao valor recuperável</t>
  </si>
  <si>
    <t>(÷) Average funding</t>
  </si>
  <si>
    <t>(÷) Funding médio</t>
  </si>
  <si>
    <t>Tier I minimum reference equity required to RWA</t>
  </si>
  <si>
    <t>Patrimônio de referência nível I mínimo requerido para o RWA</t>
  </si>
  <si>
    <t>Total gross revenues (R$ million)</t>
  </si>
  <si>
    <t>Receita bruta total (R$ milhões)</t>
  </si>
  <si>
    <t>(=) Cost-to-serve (R$)</t>
  </si>
  <si>
    <t>(=) Custo de servir (R$)</t>
  </si>
  <si>
    <t>Tax expenses</t>
  </si>
  <si>
    <t>Despesas tributárias</t>
  </si>
  <si>
    <t>Net Revenues (R$ mm)</t>
  </si>
  <si>
    <t>Receita Líquida (R$ mm)</t>
  </si>
  <si>
    <t>Funding growth (%, QoQ)</t>
  </si>
  <si>
    <t>Crescimento do funding (QoQ, %)</t>
  </si>
  <si>
    <t>3Q23</t>
  </si>
  <si>
    <t>3T23</t>
  </si>
  <si>
    <t>Inter Seguros</t>
  </si>
  <si>
    <t>Other assets</t>
  </si>
  <si>
    <t>Outros ativos</t>
  </si>
  <si>
    <t>Minimum Reference Equity required to RWA</t>
  </si>
  <si>
    <t>Patrimônio de referência mínimo requerido para o RWA</t>
  </si>
  <si>
    <t>(=) NIM 1.0 - IEP + non-interest credit card receivables (%)</t>
  </si>
  <si>
    <t>(=) NIM 1.0 - carteira remunerada + recebíveis CC que não geram juros (%)</t>
  </si>
  <si>
    <t>Net fee revenues (R$ million)</t>
  </si>
  <si>
    <t>Receitas líquida de serviços (R$ millhões)</t>
  </si>
  <si>
    <t>Active clients in the previus period</t>
  </si>
  <si>
    <t> (=) Efficiency ratio (%)</t>
  </si>
  <si>
    <t>(=) Índice de eficiência (%)</t>
  </si>
  <si>
    <t>Pre Tax Net Income (R$ mm)</t>
  </si>
  <si>
    <t>Lucro Líquido antes de Impostos (R$ mm)</t>
  </si>
  <si>
    <t>KPI Outputs</t>
  </si>
  <si>
    <t>KPIs Output</t>
  </si>
  <si>
    <t>Cards</t>
  </si>
  <si>
    <t>4Q23</t>
  </si>
  <si>
    <t>4T23</t>
  </si>
  <si>
    <t>Inter Shop</t>
  </si>
  <si>
    <t>Total assets</t>
  </si>
  <si>
    <t>Total de ativos</t>
  </si>
  <si>
    <t>NPL &gt; 90 days</t>
  </si>
  <si>
    <t>NPL &gt; 90 dias</t>
  </si>
  <si>
    <t>Total funding in the previous period</t>
  </si>
  <si>
    <t>Funding total no período anterior</t>
  </si>
  <si>
    <t>Margin on capital requirements</t>
  </si>
  <si>
    <t>Margem sobre os requerimentos de capital</t>
  </si>
  <si>
    <t>Fee income ratio (%)</t>
  </si>
  <si>
    <t>Percentual de receitas líquida de serviços (%)</t>
  </si>
  <si>
    <t>(=) Gross ARPAC (R$)</t>
  </si>
  <si>
    <t>(=) ARPAC bruto (R$)</t>
  </si>
  <si>
    <t>Net Income (R$ mm)</t>
  </si>
  <si>
    <t>Lucro Líquido (R$ mm)</t>
  </si>
  <si>
    <t>ROEA (%)</t>
  </si>
  <si>
    <t>Credit Cards TPV (R$)</t>
  </si>
  <si>
    <t>TPV Cartão de Crédito (R$)</t>
  </si>
  <si>
    <t>Associação Brasileira das Empresas de Cartões de Crédito e Serviços - Sistema de Informações – Monitor Abecs</t>
  </si>
  <si>
    <t>1Q24</t>
  </si>
  <si>
    <t>1T24</t>
  </si>
  <si>
    <t>Digital Account</t>
  </si>
  <si>
    <t>Conta Digital</t>
  </si>
  <si>
    <t>Liabilities</t>
  </si>
  <si>
    <t>Passivo</t>
  </si>
  <si>
    <t xml:space="preserve">Despesas tributárias </t>
  </si>
  <si>
    <t>(=) Custo de funding (%)</t>
  </si>
  <si>
    <t>Performance fees</t>
  </si>
  <si>
    <t>Receitas de performance</t>
  </si>
  <si>
    <t>Margin on required principal capital</t>
  </si>
  <si>
    <t>Margem sobre o capital principal requerido</t>
  </si>
  <si>
    <t>NIM 2.0 - IEP</t>
  </si>
  <si>
    <t>NIM 2.0 - apenas carteira remunerada</t>
  </si>
  <si>
    <t>Gross loan portfolio in the previous period</t>
  </si>
  <si>
    <t>NII (R$ million)</t>
  </si>
  <si>
    <t>NII (R$ millhões)</t>
  </si>
  <si>
    <t>Debt Card TPV (R$)</t>
  </si>
  <si>
    <t>TPV Cartão de Débito (R$)</t>
  </si>
  <si>
    <t>2Q24</t>
  </si>
  <si>
    <t>2T24</t>
  </si>
  <si>
    <t xml:space="preserve">Liabilities with financial and similar institutions </t>
  </si>
  <si>
    <t>Passivos com instituições financeiras</t>
  </si>
  <si>
    <t>NPL &gt; 90 days (%)</t>
  </si>
  <si>
    <t>NPL &gt; 90 dias (%)</t>
  </si>
  <si>
    <t>(÷) Average daily CDI rate in the period (%)</t>
  </si>
  <si>
    <t>(÷) CDI médio diário no período (%)</t>
  </si>
  <si>
    <t>Capital gains (losses)</t>
  </si>
  <si>
    <t>Ganhos de capital</t>
  </si>
  <si>
    <t>Margin on the tier I required reference equity</t>
  </si>
  <si>
    <t>Margem sobre o patrimônio de referência nível I requerido</t>
  </si>
  <si>
    <t>ARPAC (net of cost of funding)</t>
  </si>
  <si>
    <t>ARPAC (líquido de custo de funding)</t>
  </si>
  <si>
    <t>Personnel efficiency ratio </t>
  </si>
  <si>
    <t>Índice de eficiência de pessoal</t>
  </si>
  <si>
    <t>Balance Sheet &amp; Capital</t>
  </si>
  <si>
    <t>Balanço Patriomonial e Capital</t>
  </si>
  <si>
    <t>Crescimento das receitas líquidas de serviços (%)</t>
  </si>
  <si>
    <t>3Q24</t>
  </si>
  <si>
    <t>3T24</t>
  </si>
  <si>
    <t>Cost of Risk</t>
  </si>
  <si>
    <t>Income before taxes and interests in associates</t>
  </si>
  <si>
    <t>Resultados antes dos impostos e participações em coligadas</t>
  </si>
  <si>
    <t>(=) Custo de funding % do CDI</t>
  </si>
  <si>
    <t>Foreign exchange</t>
  </si>
  <si>
    <t>Core capital ratio (CC/RWA)</t>
  </si>
  <si>
    <t xml:space="preserve">Índice de capital principal (CP/RWA) </t>
  </si>
  <si>
    <t>Net ARPAC (R$)</t>
  </si>
  <si>
    <t>ARPAC Líquido (R$)</t>
  </si>
  <si>
    <t>Monthly average total revenues net of cost of funding</t>
  </si>
  <si>
    <t>Receita total mensal média líquida de custo de funding</t>
  </si>
  <si>
    <t>Gross Loan Portfolio (R$ bn)</t>
  </si>
  <si>
    <t>Carteira de Crédito Bruta (R$ bn)</t>
  </si>
  <si>
    <t>Input Values:</t>
  </si>
  <si>
    <t>Valores para input:</t>
  </si>
  <si>
    <t>Loan Portfolio (R$)</t>
  </si>
  <si>
    <t>Carteira de Crédito (R$)</t>
  </si>
  <si>
    <t>4Q24</t>
  </si>
  <si>
    <t>4T24</t>
  </si>
  <si>
    <t>Financial Statements Simulation</t>
  </si>
  <si>
    <t xml:space="preserve">Simulação de Demonstrações Financeiras </t>
  </si>
  <si>
    <t>Income from equity interests in affiliates</t>
  </si>
  <si>
    <t>Resultado de participação em coligadas</t>
  </si>
  <si>
    <t>Coverage ratio (%)</t>
  </si>
  <si>
    <t>Índice de cobertura (%)</t>
  </si>
  <si>
    <t>Other revenue</t>
  </si>
  <si>
    <t xml:space="preserve">Outras receitas </t>
  </si>
  <si>
    <t>Tier I capital ratio (tier I /RWA)</t>
  </si>
  <si>
    <t xml:space="preserve">Índice de capital nível I (nível I /RWA) </t>
  </si>
  <si>
    <t>Proftability</t>
  </si>
  <si>
    <t>Lucratividade</t>
  </si>
  <si>
    <t>Total revenues net of cost of funding</t>
  </si>
  <si>
    <t>Receita total líquida de custo de funding</t>
  </si>
  <si>
    <t>Funding (R$ bn)</t>
  </si>
  <si>
    <t>Funding (R$ bi)</t>
  </si>
  <si>
    <t>Disclaimer</t>
  </si>
  <si>
    <t>Derivative financial liabilities</t>
  </si>
  <si>
    <t>Instrumentos financeiros derivativos passivos</t>
  </si>
  <si>
    <t>Profit / (loss) before income tax</t>
  </si>
  <si>
    <t>Lucro / (prejuízo) antes da tributação sobre o lucro</t>
  </si>
  <si>
    <t>NPL  15-90 days</t>
  </si>
  <si>
    <t>NPL 15-90 dias</t>
  </si>
  <si>
    <t>Securities sold under agreements to reurchase</t>
  </si>
  <si>
    <t>Obrigações por operações compromissadas</t>
  </si>
  <si>
    <t>Revenue from goods</t>
  </si>
  <si>
    <t>Receita de mercadorias</t>
  </si>
  <si>
    <t>Basel ratio (RE/RWA)</t>
  </si>
  <si>
    <t xml:space="preserve">Índice de basiléia (PR/RWA) </t>
  </si>
  <si>
    <t>Shareholders` Equity (R$ bn)</t>
  </si>
  <si>
    <t>Patrimônio Líquido (R$ bi)</t>
  </si>
  <si>
    <t>Output</t>
  </si>
  <si>
    <t>Total Loan Portfolio</t>
  </si>
  <si>
    <t>Carteira de Crédito Total</t>
  </si>
  <si>
    <t>Glossary</t>
  </si>
  <si>
    <t>Glossário</t>
  </si>
  <si>
    <t>Borrowing and onlending</t>
  </si>
  <si>
    <t>Empréstimos e repasses</t>
  </si>
  <si>
    <t>Current income tax and social contribution</t>
  </si>
  <si>
    <t>Imposto de renda e contribuição social corrente</t>
  </si>
  <si>
    <t>NPL 15-90 days</t>
  </si>
  <si>
    <t>Interbank deposits</t>
  </si>
  <si>
    <t>Depósitos interfinanceiros</t>
  </si>
  <si>
    <t>RWA for payments services - RWASP</t>
  </si>
  <si>
    <t>RWA para serviços de pagamento - RWASP</t>
  </si>
  <si>
    <t>(÷) Avg of the last two periods of IEP</t>
  </si>
  <si>
    <t>(÷) Média dos últimos dois períodos de carteira remunerada</t>
  </si>
  <si>
    <t>Tier 1 Ratio (%)</t>
  </si>
  <si>
    <t>Índice de Basileia (%)</t>
  </si>
  <si>
    <t>Highlights</t>
  </si>
  <si>
    <t>Destaques</t>
  </si>
  <si>
    <t>Tax liabilities</t>
  </si>
  <si>
    <t>Impostos correntes</t>
  </si>
  <si>
    <t>Deferred income tax and social contribution</t>
  </si>
  <si>
    <t>Imposto de renda e contribuição social diferidos</t>
  </si>
  <si>
    <t>NPL 15-90 days (%)</t>
  </si>
  <si>
    <t>NPL 15-90 dias (%)</t>
  </si>
  <si>
    <t>IEP</t>
  </si>
  <si>
    <t>Carteira remunerada</t>
  </si>
  <si>
    <t>Managerial Income Statement (R$ Millions)</t>
  </si>
  <si>
    <t>DRE Gerencial (R$ milhões)</t>
  </si>
  <si>
    <t>Credit Cards</t>
  </si>
  <si>
    <t>Cartão de Crédito</t>
  </si>
  <si>
    <t>Income tax and social contribution</t>
  </si>
  <si>
    <t>Imposto de renda e contribuição social</t>
  </si>
  <si>
    <t>Income tax benefit</t>
  </si>
  <si>
    <t>Imposto de renda</t>
  </si>
  <si>
    <t>Fee revenues</t>
  </si>
  <si>
    <t>Receitas de serviços</t>
  </si>
  <si>
    <t>Profit / (loss) for the period</t>
  </si>
  <si>
    <t>Lucro/ (prejuízo) líquido</t>
  </si>
  <si>
    <t>Volume KPIs</t>
  </si>
  <si>
    <t>KPIs de Volume</t>
  </si>
  <si>
    <t>Interest income + income from securites and derivatives</t>
  </si>
  <si>
    <t>Receita de juros + receita de títulos e valores mobiliários e derivativos</t>
  </si>
  <si>
    <t>QoQ Variation</t>
  </si>
  <si>
    <t>Variação QoQ</t>
  </si>
  <si>
    <t>Other tax liabilities</t>
  </si>
  <si>
    <t>Outros passivos fiscais</t>
  </si>
  <si>
    <t>Credit card loan portfolio</t>
  </si>
  <si>
    <t>Carteira de cartão de crédito</t>
  </si>
  <si>
    <t>Interest bearing liabilities with financial institutions</t>
  </si>
  <si>
    <t>Passivos com instituições financeiras que geram despesas juros</t>
  </si>
  <si>
    <t>Cards + PIX TPV (R$ bn)</t>
  </si>
  <si>
    <t>TPV de Cartões + PIX (R$ bi)</t>
  </si>
  <si>
    <t>Real Estate</t>
  </si>
  <si>
    <t>YoY Variation</t>
  </si>
  <si>
    <t>Variação YoY</t>
  </si>
  <si>
    <t>Provisions</t>
  </si>
  <si>
    <t>Provisões</t>
  </si>
  <si>
    <t>Net result of losses</t>
  </si>
  <si>
    <t>Resultado líquido de perdas</t>
  </si>
  <si>
    <t>Revolving + overdue</t>
  </si>
  <si>
    <t>Rotativo + créditos Vencidos</t>
  </si>
  <si>
    <t>Net loans and advances to customers excluding non int. CC Receivables</t>
  </si>
  <si>
    <t>Empréstimos e adiantamentos a clientes, excl. recebiveis de CC que não geram juros</t>
  </si>
  <si>
    <t> (=) Personnel efficiency ratio (%)</t>
  </si>
  <si>
    <t>(=) Índice de eficiência de pessoal (%)</t>
  </si>
  <si>
    <t>GMV Inter Shop (R$ mm)</t>
  </si>
  <si>
    <t>Receita líquida de juros</t>
  </si>
  <si>
    <t>Business</t>
  </si>
  <si>
    <t>Deferred tax liabilities</t>
  </si>
  <si>
    <t>Passivos fiscais diferidos</t>
  </si>
  <si>
    <t>Total de receitas</t>
  </si>
  <si>
    <t>Revolving (1 to 30 days)</t>
  </si>
  <si>
    <t>Rotativo (1 a 30 dias)</t>
  </si>
  <si>
    <t>Net fee revenues</t>
  </si>
  <si>
    <t>Receitas líquida de serviços</t>
  </si>
  <si>
    <t>AUC  (R$ bn)</t>
  </si>
  <si>
    <t>AUC (R$ bi)</t>
  </si>
  <si>
    <t>Market Data</t>
  </si>
  <si>
    <t>Dados de Mercado</t>
  </si>
  <si>
    <t>Other liabilities</t>
  </si>
  <si>
    <t>Outros passivos</t>
  </si>
  <si>
    <t>Overdue &gt; 31 days</t>
  </si>
  <si>
    <t>Vencidos &gt; 31 dias</t>
  </si>
  <si>
    <t>Term deposits</t>
  </si>
  <si>
    <t>(-) Non int. CC receivables</t>
  </si>
  <si>
    <t>(-) Recebiveis de CC que não geram juros</t>
  </si>
  <si>
    <t>Administrative efficiency ratio </t>
  </si>
  <si>
    <t>Índice de eficiência administrativo</t>
  </si>
  <si>
    <t>Net fee revenue + other revenues</t>
  </si>
  <si>
    <t>Receita líquida de serviços + outras receitas</t>
  </si>
  <si>
    <t>Total liabilities</t>
  </si>
  <si>
    <t>Total do passivo</t>
  </si>
  <si>
    <t>Installments with interest</t>
  </si>
  <si>
    <t>Parcelado com juros</t>
  </si>
  <si>
    <t>Open market capture</t>
  </si>
  <si>
    <t>Captação de mercado aberto</t>
  </si>
  <si>
    <t>Fee income ratio</t>
  </si>
  <si>
    <t xml:space="preserve">Percentual de receitas líquida de serviços </t>
  </si>
  <si>
    <t>Equity</t>
  </si>
  <si>
    <t>Patrimônio líquido</t>
  </si>
  <si>
    <t>Profit attributable to:</t>
  </si>
  <si>
    <t>Lucro atribuível a:</t>
  </si>
  <si>
    <t>Transactor</t>
  </si>
  <si>
    <t>À vista</t>
  </si>
  <si>
    <t>Financial instituicions deposits</t>
  </si>
  <si>
    <t xml:space="preserve">Receitas líquida de serviços </t>
  </si>
  <si>
    <t>(=) NIM 2.0 - IEP (%)</t>
  </si>
  <si>
    <t>(=) NIM 2.0 - apenas carteira remunerada (%)</t>
  </si>
  <si>
    <t>Note 1: Excluding transactions made outside the SPI</t>
  </si>
  <si>
    <t>Nota 1: Excluindo transações feitas fora do SPI</t>
  </si>
  <si>
    <t>Equity attributable to owners of the Company</t>
  </si>
  <si>
    <t>Patrimônio líquido dos acionistas controladores</t>
  </si>
  <si>
    <t>Owners of the Company</t>
  </si>
  <si>
    <t>Acionistas controladores</t>
  </si>
  <si>
    <t>Total credit card loan portfolio</t>
  </si>
  <si>
    <t>Carteira de cartão de crédito total</t>
  </si>
  <si>
    <t>Saving</t>
  </si>
  <si>
    <t>(÷) Total net revenues</t>
  </si>
  <si>
    <t>(÷) Receira líquidas totais</t>
  </si>
  <si>
    <t>(=) Net ARPAC (R$)</t>
  </si>
  <si>
    <t>(=) ARPAC líquido (R$)</t>
  </si>
  <si>
    <t>NPL 15- 90 dias</t>
  </si>
  <si>
    <t>Note 2: Including both debit and prepaid cards</t>
  </si>
  <si>
    <t>Nota 2: Including cartão de débito e cartão pré-pago</t>
  </si>
  <si>
    <t>Share capital</t>
  </si>
  <si>
    <t>Capital social</t>
  </si>
  <si>
    <t>Non-controlling shareholders</t>
  </si>
  <si>
    <t>Acionistas não controladores</t>
  </si>
  <si>
    <t>Risk-Adjusted NIM 1.0 - IEP + non-interest credit card receivables</t>
  </si>
  <si>
    <t>NIM 1.0 Ajustado pela Provisão - carteira remunerada + recebíveis CC que não geram juros</t>
  </si>
  <si>
    <t>Coverage Ratio (%)</t>
  </si>
  <si>
    <t>Índice de Cobertura</t>
  </si>
  <si>
    <t>Reserves</t>
  </si>
  <si>
    <t>Reservas</t>
  </si>
  <si>
    <t>Annualized NII after impairment losses on financial assets</t>
  </si>
  <si>
    <t>NII anualizado excluindo o resultado de perdas esperadas</t>
  </si>
  <si>
    <t>(+) Inter rewards</t>
  </si>
  <si>
    <t>Other comprehensive income</t>
  </si>
  <si>
    <t>Outros resultados abrangentes</t>
  </si>
  <si>
    <t>Loans and advances to customers</t>
  </si>
  <si>
    <t>Funding - excluding other interest bearing liabilities</t>
  </si>
  <si>
    <t>Funding - excludindo outros passivos que geram despesas de juros</t>
  </si>
  <si>
    <t>NII after impairment losses on financial assets</t>
  </si>
  <si>
    <t>NII excluindo o resultado de perdas esperadas</t>
  </si>
  <si>
    <t>Performance KPIs</t>
  </si>
  <si>
    <t>KPIs de Performance</t>
  </si>
  <si>
    <t>Operational expenses</t>
  </si>
  <si>
    <t>Despesas operacionais</t>
  </si>
  <si>
    <t>Treasury shares</t>
  </si>
  <si>
    <t>Ações em tesouraria</t>
  </si>
  <si>
    <t>Cost of funding - excluding other interest bearing liabilities</t>
  </si>
  <si>
    <t>Custo de funding - excludindo outros passivos que geram despesas de juros</t>
  </si>
  <si>
    <t>NIM 1.0 (%)</t>
  </si>
  <si>
    <t>Non-controlling interest</t>
  </si>
  <si>
    <t>Participações de acionistas não controladores</t>
  </si>
  <si>
    <t>(=) All-in cost of funding % of CDI</t>
  </si>
  <si>
    <t>(=) Fee income ratio (%)</t>
  </si>
  <si>
    <t>(=) Receitas líquida de serviços (%)</t>
  </si>
  <si>
    <t>(=) Risk-Adjusted NIM 1.0 - IEP + non-interest credit card receivables (%)</t>
  </si>
  <si>
    <t>(=) Risk-Adjusted NIM 1.0 - carteira remunerada + recebíveis CC que não geram juros (%)</t>
  </si>
  <si>
    <t> (=) Administrative efficiency ratio (%)</t>
  </si>
  <si>
    <t>(=) Índice de eficiência administrativo (%)</t>
  </si>
  <si>
    <t>NIM 2.0 - IEP Only (%)</t>
  </si>
  <si>
    <t>NIM 2.0 - Carteira remunerada</t>
  </si>
  <si>
    <t>Other expenses</t>
  </si>
  <si>
    <t>Outras despesas</t>
  </si>
  <si>
    <t>Total equity</t>
  </si>
  <si>
    <t>Total do patrimônio líquido</t>
  </si>
  <si>
    <t>(=) All-in cost of funding (%)</t>
  </si>
  <si>
    <t>Risk Adjusted NIM 2.0 - IEP</t>
  </si>
  <si>
    <t>NIM 2.0 Ajustado pela Provisão - apenas carteira remunerada</t>
  </si>
  <si>
    <t>All-in Cost of Funding (% of CDI)</t>
  </si>
  <si>
    <t>Custo de Funding (% do CDI)</t>
  </si>
  <si>
    <t>Liabilities + equity</t>
  </si>
  <si>
    <t>Passivos + patrimônio líquido</t>
  </si>
  <si>
    <t>All-in cost of funding</t>
  </si>
  <si>
    <t>(=) Risk-adjusted NIM 2.0 - IEP (%)</t>
  </si>
  <si>
    <t>(=) NIM 2.0 ajustado pela provisão - apenas carteira remunerada (%)</t>
  </si>
  <si>
    <t>Administrative expenses + D&amp;A</t>
  </si>
  <si>
    <t>Despesas administrativas + D&amp;A</t>
  </si>
  <si>
    <t>Efficiency Ratio (%)</t>
  </si>
  <si>
    <t>Índice de Eficiência (%)</t>
  </si>
  <si>
    <t>Total liabilities and total equity</t>
  </si>
  <si>
    <t>Total do passivo e patrimônio líquido</t>
  </si>
  <si>
    <t>Investments</t>
  </si>
  <si>
    <t>ROE (%)</t>
  </si>
  <si>
    <t>Banking and credit operations</t>
  </si>
  <si>
    <t>Tarifas bancárias e operações de crédito</t>
  </si>
  <si>
    <t>Risk-Adjusted NIM 1.0 (%)</t>
  </si>
  <si>
    <t>NIM 1.0 (%) - Ajustada pela Provisão</t>
  </si>
  <si>
    <t>Lucro / (prejuízo) do período</t>
  </si>
  <si>
    <t>Income from cash and cash equivalents in foreign currency</t>
  </si>
  <si>
    <t>Rendas e disponibilidades em moeda estrangeira</t>
  </si>
  <si>
    <t>Commission and brokerage fees</t>
  </si>
  <si>
    <t>Tarifas de comissão e coretagem</t>
  </si>
  <si>
    <t>Risk-Adjusted NIM 2.0 (%)</t>
  </si>
  <si>
    <t>NIM 2.0 (%) - Ajustada pela Provisão</t>
  </si>
  <si>
    <t xml:space="preserve">Others </t>
  </si>
  <si>
    <t>Managerial Balance Sheet (R$ Billions)</t>
  </si>
  <si>
    <t>Balanço Patrimonial Gerencial (R$ bilhões)</t>
  </si>
  <si>
    <t>Interest earning portfolio (IEP)</t>
  </si>
  <si>
    <t>Ativos rentáveis</t>
  </si>
  <si>
    <t>Antecipação de recebíveis</t>
  </si>
  <si>
    <t>Non-transactor</t>
  </si>
  <si>
    <t>Não à vista</t>
  </si>
  <si>
    <t>Total de passivos</t>
  </si>
  <si>
    <t>Financial institutions deposits</t>
  </si>
  <si>
    <t>Variação</t>
  </si>
  <si>
    <t>Savings</t>
  </si>
  <si>
    <t>Δ QoQS</t>
  </si>
  <si>
    <t>Δ QoQ Actual</t>
  </si>
  <si>
    <t>Δ QoQ Realizado</t>
  </si>
  <si>
    <t>Income from securities</t>
  </si>
  <si>
    <t>Resultado de títulos e valores mobiliários</t>
  </si>
  <si>
    <t>ΔYoYS</t>
  </si>
  <si>
    <t>Fair value throught other comprehensive income</t>
  </si>
  <si>
    <t>Valor justo por meio de outros resultados abrangentes</t>
  </si>
  <si>
    <t>ΔYoY Actual</t>
  </si>
  <si>
    <t>ΔYoY Realizado</t>
  </si>
  <si>
    <t>Fair value through proft or loss</t>
  </si>
  <si>
    <t>Valor justo por meio do resultado</t>
  </si>
  <si>
    <t>Amortized cost</t>
  </si>
  <si>
    <t>Custo amortizado</t>
  </si>
  <si>
    <t>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t>
  </si>
  <si>
    <t>Esta simulação é apenas para fins ilustrativo, não representa dados financeiros reais e os resultados podem não refletir precisamente os resultados do mundo real. As informações fornecidas baseiam-se em cenários hipotéticos e suposições. A simulação destina-se como uma ferramenta didática e não oferece nenhum conselho de investimento, recomendações ou orientações.
Recomenda-se que os usuários tenham cuidado ao interpretar os resultados e que busquem aconselhamento de profissionais financeiros qualificados</t>
  </si>
  <si>
    <t>Income from derivatives</t>
  </si>
  <si>
    <t>Resultado de derivativos</t>
  </si>
  <si>
    <t>Future contracts dolar</t>
  </si>
  <si>
    <t>Futuro dólar</t>
  </si>
  <si>
    <t>Fixed-term contracts</t>
  </si>
  <si>
    <t>À termo</t>
  </si>
  <si>
    <t>Futures contrats and swaps</t>
  </si>
  <si>
    <t>Futuro e swap</t>
  </si>
  <si>
    <t>Gross loans and advances to customers growth (%)</t>
  </si>
  <si>
    <t>Crescimento de empréstimos e adiantamentos a clientes (%)</t>
  </si>
  <si>
    <t>Hedge accounting real estate loans</t>
  </si>
  <si>
    <t>Hedge accounting de crédito imobiliário</t>
  </si>
  <si>
    <t>Hedge accounting from personal loans</t>
  </si>
  <si>
    <t>Hedge accounting de crédito pessoal</t>
  </si>
  <si>
    <t>Other results</t>
  </si>
  <si>
    <t>Outros resultados</t>
  </si>
  <si>
    <t>Loan interest income including hedge accounting results</t>
  </si>
  <si>
    <t>Resultado da carteira de crédito incluindo resultados de hedge accounting</t>
  </si>
  <si>
    <t>Real estate net of hedge accounting</t>
  </si>
  <si>
    <t>Imobiliário líquido resultado de hedge accounting</t>
  </si>
  <si>
    <t>(+) Hedge accounting from real estate loans</t>
  </si>
  <si>
    <t>(+) Resultado de hedge accounting de crédito imobiliário</t>
  </si>
  <si>
    <t>Personal net of hedge accounting</t>
  </si>
  <si>
    <t>Pessoal líquido resultado de hedge accounting</t>
  </si>
  <si>
    <t>(+) Hedge accounting from personal loans</t>
  </si>
  <si>
    <t>(+) Resultado de hedge accounting de crédito pessoal</t>
  </si>
  <si>
    <t>Implied rates</t>
  </si>
  <si>
    <t>Taxa implícita</t>
  </si>
  <si>
    <t>Real estate net of hedge accounting (%)</t>
  </si>
  <si>
    <t>Imobiliário líquido resultado de hedge accounting (%)</t>
  </si>
  <si>
    <t>Personal net of hedge accounting (%)</t>
  </si>
  <si>
    <t>Pessoal líquido resultado de hedge accounting (%)</t>
  </si>
  <si>
    <t>SME (%)</t>
  </si>
  <si>
    <t>Empresas (%)</t>
  </si>
  <si>
    <t>Credit cards (%)</t>
  </si>
  <si>
    <t>Cartão de crédito (%)</t>
  </si>
  <si>
    <t>Agribusiness (%)</t>
  </si>
  <si>
    <t>Rural (%)</t>
  </si>
  <si>
    <t>Prepayment of receivables (%)</t>
  </si>
  <si>
    <t>Antecipação de recebíveis de cartão de crédito (%)</t>
  </si>
  <si>
    <t>Interest earning credit portfolio</t>
  </si>
  <si>
    <t>Carteira de crédito que gera juros</t>
  </si>
  <si>
    <t>Interest earning credit card portfolio</t>
  </si>
  <si>
    <t>Carteira de cartão de crédito que gera juros</t>
  </si>
  <si>
    <t>(-) Transactor</t>
  </si>
  <si>
    <t>(-) À vista</t>
  </si>
  <si>
    <t>Renegotiated Portfolio</t>
  </si>
  <si>
    <t>Carteira Renegociada</t>
  </si>
  <si>
    <t>Renegotiated portfolio</t>
  </si>
  <si>
    <t>Carteira renegociada</t>
  </si>
  <si>
    <t>Renegotiated portfolio (% of total gross loan portfolio)</t>
  </si>
  <si>
    <t>Carteira renegociada (% da carteira de crédito bruta)</t>
  </si>
  <si>
    <t>Coverage Ratio</t>
  </si>
  <si>
    <t>(÷) Total provision</t>
  </si>
  <si>
    <t>(÷) Provisão total</t>
  </si>
  <si>
    <t>Provision for expected loss</t>
  </si>
  <si>
    <t>Perda esperada por redução ao valor recuperável</t>
  </si>
  <si>
    <t>Provision for expected credit losses on loan commitments</t>
  </si>
  <si>
    <t>Provisões sobre compromissos de empréstimos</t>
  </si>
  <si>
    <t>Choose Language /Escolha o Idioma:</t>
  </si>
  <si>
    <t>1.</t>
  </si>
  <si>
    <t>2.</t>
  </si>
  <si>
    <t>3.</t>
  </si>
  <si>
    <t>4.</t>
  </si>
  <si>
    <t>5.</t>
  </si>
  <si>
    <t>6.</t>
  </si>
  <si>
    <t>7.</t>
  </si>
  <si>
    <t>7.1.</t>
  </si>
  <si>
    <t>7.2.</t>
  </si>
  <si>
    <t>7.3.</t>
  </si>
  <si>
    <t>7.4.</t>
  </si>
  <si>
    <t>7.5.</t>
  </si>
  <si>
    <t>7.6.</t>
  </si>
  <si>
    <t>-</t>
  </si>
  <si>
    <t>7,147,341
Margin on the Tier I Required Reference Equity 5,719,735 6</t>
  </si>
  <si>
    <t xml:space="preserve"> </t>
  </si>
  <si>
    <t>Debit TPV 1</t>
  </si>
  <si>
    <t>n.a.</t>
  </si>
  <si>
    <t>4Q24 Historical Data</t>
  </si>
  <si>
    <t>Séries Históricas 4T24</t>
  </si>
  <si>
    <t>Highlights of the Quarter | 4Q24</t>
  </si>
  <si>
    <t>Destaques do Trimestre | 4T24</t>
  </si>
  <si>
    <t>n.m.</t>
  </si>
  <si>
    <t>Net interest income and income from securities, derivatives and foreing exchange</t>
  </si>
  <si>
    <t>Resultado líquido de  juros e receita de títulos, derivativos e câmbio</t>
  </si>
  <si>
    <t>Income from securities and derivatives and foreing exchange</t>
  </si>
  <si>
    <t>Resultado de títulos e valores mobiliários e derivativos e câmbio</t>
  </si>
  <si>
    <t>Resultado de operações de câmbio e variação cambial</t>
  </si>
  <si>
    <t>Revenue foreign exchange</t>
  </si>
  <si>
    <t>All-in loan rate (%)</t>
  </si>
  <si>
    <t>Taxa de juros de empréstimos consolidada (%)</t>
  </si>
  <si>
    <t>All-in securities rate (%)</t>
  </si>
  <si>
    <t>Taxa de juros de títulos de valores mobiliários (%)</t>
  </si>
  <si>
    <t>Títulos e Valores Mobiliários</t>
  </si>
  <si>
    <t>Securities balance</t>
  </si>
  <si>
    <t>Benefício fiscal de títulos emitidos no exterior</t>
  </si>
  <si>
    <t>Resultado de títulos e valores imobiliários incl. benefício fiscal de títulos emitidos no exterior</t>
  </si>
  <si>
    <t>Other revenues + foreign exchange</t>
  </si>
  <si>
    <t>Outras receitas + operações de câmbio e variação cambial</t>
  </si>
  <si>
    <t>Operações de câmbio e variação cambial</t>
  </si>
  <si>
    <t>Credits from payables with credit card networks</t>
  </si>
  <si>
    <t>Créditos de contas a pagar com redes de cartão de crédito</t>
  </si>
  <si>
    <t>NIM 1.1 - carteira remunerada + recebíveis CC que não geram juros incl. benefício fiscal de títulos emitidos no exterior</t>
  </si>
  <si>
    <t>NII anualizado incl. benefício fiscal de títulos emitidos no exterior</t>
  </si>
  <si>
    <t>NII incl. benefício fiscal de títulos emitidos no exterior</t>
  </si>
  <si>
    <t>(=) NIM 1.1 - carteira remunerada + recebíveis CC que não geram juros incl. benefício fiscal de títulos emitidos no exterior (%)</t>
  </si>
  <si>
    <t>NIM 2.1 - apenas carteira remunerada incl. benefício fiscal de títulos emitidos no exterior</t>
  </si>
  <si>
    <t>(=) NIM 2.1 - apenas carteira remunerada incl. benefício fiscal de títulos emitidos no exterior (%)</t>
  </si>
  <si>
    <t>NIM 1.1 Ajustado pela Provisão - carteira remunerada + recebíveis CC que não geram juros</t>
  </si>
  <si>
    <t>(=) Risk-Adjusted NIM 1.1 - carteira remunerada + recebíveis CC que não geram juros (%)</t>
  </si>
  <si>
    <t>NIM 2.1 Ajustado pela Provisão - apenas carteira remunerada incl. benefício fiscal de títulos emitidos no exterior</t>
  </si>
  <si>
    <t>(=) NIM 2.1 ajustado pela provisão - apenas carteira remunerada incl. benefício fiscal de títulos emitidos no exterior (%)</t>
  </si>
  <si>
    <t>NIM 1.1 - IEP + non-interest credit card receivables incl. income tax benefits from securities issued abroad</t>
  </si>
  <si>
    <t>Annualized NII incl. income tax benefits from securities issued abroad</t>
  </si>
  <si>
    <t>NII incl. income tax benefits from securities issued abroad</t>
  </si>
  <si>
    <t xml:space="preserve">(=) NIM 1.1 - IEP + non-interest credit card receivables incl. income tax benefits from securities issued abroad (%) </t>
  </si>
  <si>
    <t>NIM 2.1 - IEP incl. income tax benefits from securities issued abroad</t>
  </si>
  <si>
    <t>(=) NIM 2.1 - IEP incl. income tax benefits from securities issued abroad (%)</t>
  </si>
  <si>
    <t>Risk-Adjusted NIM 1.1 - IEP + non-interest credit card receivables incl. income tax benefits from securities issued abroad</t>
  </si>
  <si>
    <t>Annualized NII after impairment losses on financial assets incl. income tax benefits from securities issued abroad</t>
  </si>
  <si>
    <t>(=) Risk-Adjusted NIM 1.1 - IEP + non-interest credit card receivables incl. income tax benefits from securities issued abroad (%)</t>
  </si>
  <si>
    <t>Risk Adjusted NIM 2.1 - IEP incl. income tax benefits from securities issued abroad</t>
  </si>
  <si>
    <t>(=) Risk-adjusted NIM 2.1 - IEP incl. income tax benefits from securities issued abroad (%)</t>
  </si>
  <si>
    <t>NII after impairment losses on financial assets incl. income tax benefits from securities issued abroad</t>
  </si>
  <si>
    <t>NII excluindo o resultado de perdas esperadas incl. income tax benefits from securities issued abroad</t>
  </si>
  <si>
    <t>Income from securities incl. income tax benefits from securities issued abroad</t>
  </si>
  <si>
    <t>(+) Income tax benefits from securities issued abroad</t>
  </si>
  <si>
    <t>(+) Benefício fiscal de títulos emitidos no exterior</t>
  </si>
  <si>
    <t>Efficiency ratio incl. income tax benefits from securities issued abroad</t>
  </si>
  <si>
    <t>(÷) Total net revenues excluding tax expenses incl. income tax benefits from securities issued abroad</t>
  </si>
  <si>
    <t> (=) Efficiency ratio incl. income tax benefits from securities issued abroad (%)</t>
  </si>
  <si>
    <t>Personnel efficiency ratio incl. income tax benefits from securities issued abroad</t>
  </si>
  <si>
    <t> (=) Personnel efficiency ratio incl. income tax benefits from securities issued abroad (%)</t>
  </si>
  <si>
    <t>Administrative efficiency ratio incl. income tax benefits from securities issued abroad</t>
  </si>
  <si>
    <t> (=) Administrative efficiency ratio incl. income tax benefits from securities issued abroad (%)</t>
  </si>
  <si>
    <t>Índice de eficiência incl. benefício fiscal de títulos emitidos no exterior</t>
  </si>
  <si>
    <t>(÷) Receitais totais excluindo despesas tributárias incl. benefício fiscal de títulos emitidos no exterior</t>
  </si>
  <si>
    <t>(=) Índice de eficiência incl. benefício fiscal de títulos emitidos no exterior (%)</t>
  </si>
  <si>
    <t>Índice de eficiência de pessoal incl. benefício fiscal de títulos emitidos no exterior</t>
  </si>
  <si>
    <t>(=) Índice de eficiência de pessoal incl. benefício fiscal de títulos emitidos no exterior (%)</t>
  </si>
  <si>
    <t>Índice de eficiência administrativo incl. benefício fiscal de títulos emitidos no exterior</t>
  </si>
  <si>
    <t>(=) Índice de eficiência administrativo incl. benefício fiscal de títulos emitidos no exterior (%)</t>
  </si>
  <si>
    <t>Individuals with Banking Accounts</t>
  </si>
  <si>
    <t>Banking Accounts - Brazil</t>
  </si>
  <si>
    <t>Contas Bancárias - Brasil</t>
  </si>
  <si>
    <t>Banco Central do Brasil - SGS (20539)</t>
  </si>
  <si>
    <t>Banco Central do Brasil - SGS - Individual and Business / Pessoa Física  e Pessoa Jurídica (20564, 20590)</t>
  </si>
  <si>
    <t>Banco Central do Brasil - SGS - Total Personal Loans / Crédito pessoal total (20580)</t>
  </si>
  <si>
    <t>Banco Central do Brasil - SGS - Total Real Estate Loans  / Crédito Imobiliário Total (20600 e 20612)</t>
  </si>
  <si>
    <t>Banco Central do Brasil - SGS - Total non-financial corporations, excluding cards and real estate / Pessoas jurídicas total, excluindo cartões e imob. (20543)</t>
  </si>
  <si>
    <t>Managerial KPIs Effects in 4Q24 Financial Statements</t>
  </si>
  <si>
    <t>Efeitos Gerenciais dos KPIs nas Demonstrações Financeiras do 4T24</t>
  </si>
  <si>
    <t>4Q24 Actual</t>
  </si>
  <si>
    <t>4T24 Realizado</t>
  </si>
  <si>
    <t>Instructions for Use:
1. Read the disclaimer bellow before using this sheet.
2. The simulation is pre-set with Q4'24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t>
  </si>
  <si>
    <t>Instruções de Uso:
1. Leia o disclaimer abaixo antes de utilizar esta planilha.
2. A simulação está pré-configurada com Indicadores-Chave de Desempenho (KPIs) do 4º trimestre de 2024 na coluna D. Você pode modificar a simulação inserindo os valores desejados para os KPIs nas células em verde na coluna D.
3. Uma vez que você inserir os novos valores dos KPIs, os resultados correspondentes serão automaticamente atualizados na coluna O da Demonstração de Resultados, Balanço Patrimonial ou em ambos, dependendo da KPI. Os valores que podem ser alterados estão marcados em laranja.
4. Além disso, o resultado dos KPIs na coluna D mudará dinamicamente de acordo com a sua entrada, permitindo que você observe os efeitos de diferentes valores de KPI.
Aviso Legal: Esta simulação é fornecida apenas para fins ilustrativos e não representa dados financeiros reais. As informações apresentadas são baseadas em cenários hipotéticos e suposições. Ela é destinada apenas como uma ferramenta de aprendizado e não oferece qualquer tipo de conselho de investimento, recomendações ou orientações.
Recomenda-se que os usuários tenham cautela ao interpretar os resultados e que consultem profissionais financeiros qualificados ou se refiram às regras e diretrizes oficiais fornecidas pelas autoridades reguladoras relevantes antes de tomar quaisquer decisões financeiras no mundo real.</t>
  </si>
  <si>
    <t>Note: Revenue from foreign exchange was reallocated from Other Revenues to Income from Securities, Derivatives, and Foreign Exchange in Q4 2024. To ensure better comparability between quarters and years, this adjustment has been applied historically in this material.</t>
  </si>
  <si>
    <t>ota: A receita de câmbio foi realocada de Outras receitas para Renda de títulos e derivativos e câmbio no 4T24. Para criar uma melhor comparabilidade entre trimestres e anos, esse ajuste foi realizado historicamente neste material.</t>
  </si>
  <si>
    <t xml:space="preserve">  </t>
  </si>
  <si>
    <t>(÷) NPL &gt; 90 days</t>
  </si>
  <si>
    <t>(÷) NPL &gt; 90 dias</t>
  </si>
  <si>
    <t>Total provision</t>
  </si>
  <si>
    <t>Provisão total</t>
  </si>
  <si>
    <t>ROAA (%) - Excluding Minority Interest</t>
  </si>
  <si>
    <t>ROAE (%) - Excluding Minority Interest</t>
  </si>
  <si>
    <t>ROAA (%) - Excluindo Participação de Acionistas Minoritários</t>
  </si>
  <si>
    <t>ROAE (%) - Excluindo Participação de Acionistas Minoritários</t>
  </si>
  <si>
    <t>Note: 3Q24 net fee revenue reflects the reclassification of provisions for canceled sales, moving these amounts from administrative expenses to expenses for services and commissions in 2024.</t>
  </si>
  <si>
    <t>Nota: A receita líquida de taxas do 3T24 reflete a reclassificação das provisões para vendas canceladas, movendo esses valores de despesas administrativas para despesas com serviços e comissões em 2024.</t>
  </si>
  <si>
    <t>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</si>
</sst>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0.00_);_(* \(#,##0.00\);_(* &quot;-&quot;??_);_(@_)"/>
    <numFmt numFmtId="165" formatCode="_-* #,##0_-;\-* #,##0_-;_-* &quot;-&quot;??_-;_-@_-"/>
    <numFmt numFmtId="166" formatCode="#,###;\(#,###\)"/>
    <numFmt numFmtId="167" formatCode="#,##0_ ;\-#,##0\ "/>
    <numFmt numFmtId="168" formatCode="0.0%"/>
    <numFmt numFmtId="169" formatCode="#,###.0;\(#,###.0\)"/>
    <numFmt numFmtId="170" formatCode="_-* #,##0.0_-;\-* #,##0.0_-;_-* &quot;-&quot;??_-;_-@_-"/>
    <numFmt numFmtId="171" formatCode="\ _(* #,##0_);_(* \(#,##0\);_(* &quot;-&quot;_);_(@_)"/>
    <numFmt numFmtId="172" formatCode="_(* #,##0_);_(* \(#,##0\);_(* &quot;-&quot;??_);_(@_)"/>
    <numFmt numFmtId="173" formatCode="0.000"/>
    <numFmt numFmtId="174" formatCode="0.0"/>
    <numFmt numFmtId="175" formatCode="_(* #,##0.0_);_(* \(#,##0.0\);_(* &quot;-&quot;??_);_(@_)"/>
    <numFmt numFmtId="176" formatCode="#,##0.0_ ;\-#,##0.0\ "/>
    <numFmt numFmtId="177" formatCode="#,##0.0;\(#,##0.0\)"/>
    <numFmt numFmtId="178" formatCode="\+\ 0%;\ \-\ 0\ %"/>
    <numFmt numFmtId="179" formatCode="\+\ #,##0%;\ \-\ #,##0%"/>
    <numFmt numFmtId="180" formatCode="#,##0.0%"/>
    <numFmt numFmtId="181" formatCode="#,##0%"/>
    <numFmt numFmtId="182" formatCode="\+\ 0.0\ &quot;p.p.&quot;;\ \-\ 0.0\ &quot;p.p.&quot;"/>
    <numFmt numFmtId="183" formatCode="\+0.0%;\ \-0.0%"/>
    <numFmt numFmtId="184" formatCode="0.00000000000000%"/>
    <numFmt numFmtId="185" formatCode="\+\ 0.0\ &quot;p.p.&quot;;\-\ 0.0\ &quot;p.p.&quot;"/>
    <numFmt numFmtId="186" formatCode="0.000000000000000%"/>
    <numFmt numFmtId="187" formatCode="#,##0\ ;\(#,##0\)"/>
  </numFmts>
  <fonts count="58">
    <font>
      <sz val="11"/>
      <color theme="1"/>
      <name val="Calibri"/>
      <family val="2"/>
      <scheme val="minor"/>
    </font>
    <font>
      <sz val="11"/>
      <color theme="1"/>
      <name val="Calibri"/>
      <family val="2"/>
      <scheme val="minor"/>
    </font>
    <font>
      <sz val="10"/>
      <name val="Arial"/>
      <family val="2"/>
    </font>
    <font>
      <sz val="9"/>
      <color theme="1"/>
      <name val="Calibri Light"/>
      <family val="2"/>
    </font>
    <font>
      <sz val="10"/>
      <color theme="1"/>
      <name val="Calibri"/>
      <family val="2"/>
    </font>
    <font>
      <b/>
      <sz val="12"/>
      <color theme="9"/>
      <name val="Gotham"/>
      <family val="3"/>
    </font>
    <font>
      <sz val="8"/>
      <name val="Calibri"/>
      <family val="2"/>
      <scheme val="minor"/>
    </font>
    <font>
      <u/>
      <sz val="11"/>
      <color theme="10"/>
      <name val="Calibri"/>
      <family val="2"/>
      <scheme val="minor"/>
    </font>
    <font>
      <u/>
      <sz val="11"/>
      <color theme="1"/>
      <name val="Calibri"/>
      <family val="2"/>
      <scheme val="minor"/>
    </font>
    <font>
      <sz val="11"/>
      <color theme="1"/>
      <name val="Calibri"/>
      <family val="2"/>
    </font>
    <font>
      <sz val="16"/>
      <color theme="1"/>
      <name val="Calibri"/>
      <family val="2"/>
    </font>
    <font>
      <b/>
      <sz val="16"/>
      <color theme="1"/>
      <name val="Calibri"/>
      <family val="2"/>
    </font>
    <font>
      <sz val="18"/>
      <color theme="1"/>
      <name val="Calibri"/>
      <family val="2"/>
    </font>
    <font>
      <sz val="18"/>
      <color theme="0"/>
      <name val="Calibri"/>
      <family val="2"/>
    </font>
    <font>
      <b/>
      <sz val="18"/>
      <color theme="0"/>
      <name val="Calibri"/>
      <family val="2"/>
    </font>
    <font>
      <b/>
      <i/>
      <sz val="14"/>
      <color theme="0"/>
      <name val="Calibri"/>
      <family val="2"/>
    </font>
    <font>
      <b/>
      <sz val="14"/>
      <color theme="1"/>
      <name val="Calibri"/>
      <family val="2"/>
    </font>
    <font>
      <b/>
      <sz val="36"/>
      <color rgb="FFFF8700"/>
      <name val="Calibri"/>
      <family val="2"/>
    </font>
    <font>
      <b/>
      <i/>
      <sz val="14"/>
      <color theme="1"/>
      <name val="Calibri"/>
      <family val="2"/>
    </font>
    <font>
      <b/>
      <sz val="24"/>
      <color theme="1"/>
      <name val="Calibri"/>
      <family val="2"/>
    </font>
    <font>
      <b/>
      <sz val="16"/>
      <color rgb="FFFF8700"/>
      <name val="Calibri"/>
      <family val="2"/>
    </font>
    <font>
      <b/>
      <sz val="11"/>
      <color theme="1"/>
      <name val="Calibri"/>
      <family val="2"/>
    </font>
    <font>
      <b/>
      <sz val="11"/>
      <color theme="0"/>
      <name val="Calibri"/>
      <family val="2"/>
    </font>
    <font>
      <b/>
      <u/>
      <sz val="11"/>
      <color theme="0"/>
      <name val="Calibri"/>
      <family val="2"/>
    </font>
    <font>
      <b/>
      <i/>
      <u/>
      <sz val="11"/>
      <color theme="0"/>
      <name val="Calibri"/>
      <family val="2"/>
    </font>
    <font>
      <sz val="11"/>
      <name val="Calibri"/>
      <family val="2"/>
    </font>
    <font>
      <b/>
      <sz val="11"/>
      <name val="Calibri"/>
      <family val="2"/>
    </font>
    <font>
      <i/>
      <sz val="11"/>
      <name val="Calibri"/>
      <family val="2"/>
    </font>
    <font>
      <sz val="11"/>
      <color theme="0"/>
      <name val="Calibri"/>
      <family val="2"/>
    </font>
    <font>
      <sz val="11"/>
      <color rgb="FFFF0000"/>
      <name val="Calibri"/>
      <family val="2"/>
    </font>
    <font>
      <i/>
      <sz val="11"/>
      <color theme="1"/>
      <name val="Calibri"/>
      <family val="2"/>
    </font>
    <font>
      <sz val="14"/>
      <color theme="1"/>
      <name val="Calibri"/>
      <family val="2"/>
    </font>
    <font>
      <b/>
      <sz val="12"/>
      <color theme="1"/>
      <name val="Calibri"/>
      <family val="2"/>
    </font>
    <font>
      <sz val="12"/>
      <color theme="1"/>
      <name val="Calibri"/>
      <family val="2"/>
    </font>
    <font>
      <b/>
      <sz val="12"/>
      <color rgb="FFFE7800"/>
      <name val="Calibri"/>
      <family val="2"/>
    </font>
    <font>
      <b/>
      <sz val="12"/>
      <color theme="0" tint="-0.499984740745262"/>
      <name val="Calibri"/>
      <family val="2"/>
    </font>
    <font>
      <b/>
      <sz val="12"/>
      <color rgb="FF808080"/>
      <name val="Calibri"/>
      <family val="2"/>
    </font>
    <font>
      <b/>
      <i/>
      <sz val="12"/>
      <color rgb="FF808080"/>
      <name val="Calibri"/>
      <family val="2"/>
    </font>
    <font>
      <b/>
      <u/>
      <sz val="12"/>
      <color theme="1"/>
      <name val="Calibri"/>
      <family val="2"/>
    </font>
    <font>
      <b/>
      <i/>
      <sz val="10"/>
      <color rgb="FF808080"/>
      <name val="Calibri"/>
      <family val="2"/>
    </font>
    <font>
      <b/>
      <sz val="11"/>
      <color theme="1"/>
      <name val="Calibri"/>
      <family val="2"/>
      <scheme val="minor"/>
    </font>
    <font>
      <sz val="11"/>
      <color rgb="FF000000"/>
      <name val="Calibri"/>
      <family val="2"/>
      <scheme val="minor"/>
    </font>
    <font>
      <b/>
      <sz val="9"/>
      <color theme="0" tint="-0.499984740745262"/>
      <name val="Calibri"/>
      <family val="2"/>
    </font>
    <font>
      <b/>
      <sz val="10"/>
      <color theme="0"/>
      <name val="Calibri"/>
      <family val="2"/>
    </font>
    <font>
      <b/>
      <sz val="10"/>
      <color theme="1"/>
      <name val="Calibri"/>
      <family val="2"/>
    </font>
    <font>
      <sz val="10"/>
      <name val="Calibri"/>
      <family val="2"/>
    </font>
    <font>
      <b/>
      <sz val="8"/>
      <color theme="1"/>
      <name val="Calibri"/>
      <family val="2"/>
    </font>
    <font>
      <b/>
      <i/>
      <sz val="12"/>
      <color theme="0" tint="-0.499984740745262"/>
      <name val="Calibri"/>
      <family val="2"/>
    </font>
    <font>
      <b/>
      <sz val="12"/>
      <color rgb="FFEB7100"/>
      <name val="Calibri"/>
      <family val="2"/>
    </font>
    <font>
      <b/>
      <sz val="20"/>
      <color rgb="FFEB7100"/>
      <name val="Calibri"/>
      <family val="2"/>
    </font>
    <font>
      <b/>
      <sz val="14"/>
      <color rgb="FFEB7100"/>
      <name val="Calibri"/>
      <family val="2"/>
    </font>
    <font>
      <sz val="11"/>
      <name val="Calibri"/>
      <family val="2"/>
      <scheme val="minor"/>
    </font>
    <font>
      <b/>
      <i/>
      <sz val="11"/>
      <name val="Calibri"/>
      <family val="2"/>
    </font>
    <font>
      <sz val="14"/>
      <color rgb="FF72350C"/>
      <name val="Calibri"/>
      <family val="2"/>
    </font>
    <font>
      <u/>
      <sz val="11"/>
      <color theme="1"/>
      <name val="Calibri (Body)"/>
    </font>
    <font>
      <sz val="11"/>
      <color theme="1"/>
      <name val="Calibri (Body)"/>
    </font>
    <font>
      <i/>
      <sz val="11"/>
      <color theme="1"/>
      <name val="Calibri (Body)"/>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E4D6"/>
        <bgColor indexed="64"/>
      </patternFill>
    </fill>
    <fill>
      <patternFill patternType="solid">
        <fgColor rgb="FFFFE9D0"/>
        <bgColor indexed="64"/>
      </patternFill>
    </fill>
  </fills>
  <borders count="21">
    <border>
      <left/>
      <right/>
      <top/>
      <bottom/>
      <diagonal/>
    </border>
    <border>
      <left/>
      <right/>
      <top/>
      <bottom style="thin">
        <color rgb="FFFF8700"/>
      </bottom>
      <diagonal/>
    </border>
    <border>
      <left/>
      <right/>
      <top/>
      <bottom style="medium">
        <color rgb="FFF65E01"/>
      </bottom>
      <diagonal/>
    </border>
    <border>
      <left/>
      <right/>
      <top style="thin">
        <color rgb="FFFB7800"/>
      </top>
      <bottom/>
      <diagonal/>
    </border>
    <border>
      <left/>
      <right/>
      <top style="thin">
        <color rgb="FFFF8700"/>
      </top>
      <bottom/>
      <diagonal/>
    </border>
    <border>
      <left/>
      <right/>
      <top/>
      <bottom style="thin">
        <color rgb="FFFE7800"/>
      </bottom>
      <diagonal/>
    </border>
    <border>
      <left/>
      <right/>
      <top style="thin">
        <color rgb="FFFE7800"/>
      </top>
      <bottom/>
      <diagonal/>
    </border>
    <border>
      <left/>
      <right/>
      <top/>
      <bottom style="thin">
        <color auto="1"/>
      </bottom>
      <diagonal/>
    </border>
    <border>
      <left/>
      <right/>
      <top/>
      <bottom style="thin">
        <color rgb="FFEB7100"/>
      </bottom>
      <diagonal/>
    </border>
    <border>
      <left/>
      <right/>
      <top style="thin">
        <color rgb="FFEB7100"/>
      </top>
      <bottom/>
      <diagonal/>
    </border>
    <border>
      <left/>
      <right/>
      <top style="thin">
        <color rgb="FFEC7100"/>
      </top>
      <bottom/>
      <diagonal/>
    </border>
    <border>
      <left style="thin">
        <color rgb="FF72350C"/>
      </left>
      <right style="thin">
        <color rgb="FF72350C"/>
      </right>
      <top style="thin">
        <color rgb="FF72350C"/>
      </top>
      <bottom style="thin">
        <color rgb="FF72350C"/>
      </bottom>
      <diagonal/>
    </border>
    <border>
      <left style="medium">
        <color rgb="FFEC7100"/>
      </left>
      <right/>
      <top style="medium">
        <color rgb="FFEC7100"/>
      </top>
      <bottom/>
      <diagonal/>
    </border>
    <border>
      <left/>
      <right/>
      <top style="medium">
        <color rgb="FFEC7100"/>
      </top>
      <bottom/>
      <diagonal/>
    </border>
    <border>
      <left/>
      <right style="medium">
        <color rgb="FFEC7100"/>
      </right>
      <top style="medium">
        <color rgb="FFEC7100"/>
      </top>
      <bottom/>
      <diagonal/>
    </border>
    <border>
      <left style="medium">
        <color rgb="FFEC7100"/>
      </left>
      <right/>
      <top/>
      <bottom/>
      <diagonal/>
    </border>
    <border>
      <left/>
      <right style="medium">
        <color rgb="FFEC7100"/>
      </right>
      <top/>
      <bottom/>
      <diagonal/>
    </border>
    <border>
      <left style="medium">
        <color rgb="FFEC7100"/>
      </left>
      <right/>
      <top/>
      <bottom style="medium">
        <color rgb="FFEC7100"/>
      </bottom>
      <diagonal/>
    </border>
    <border>
      <left/>
      <right/>
      <top/>
      <bottom style="medium">
        <color rgb="FFEC7100"/>
      </bottom>
      <diagonal/>
    </border>
    <border>
      <left/>
      <right style="medium">
        <color rgb="FFEC7100"/>
      </right>
      <top/>
      <bottom style="medium">
        <color rgb="FFEC7100"/>
      </bottom>
      <diagonal/>
    </border>
    <border>
      <left/>
      <right/>
      <top/>
      <bottom style="thin">
        <color rgb="FFEC7100"/>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3" fillId="0" borderId="0"/>
    <xf numFmtId="0" fontId="4" fillId="0" borderId="0"/>
    <xf numFmtId="164" fontId="4" fillId="0" borderId="0" applyFont="0" applyFill="0" applyBorder="0" applyAlignment="0" applyProtection="0"/>
    <xf numFmtId="164" fontId="2" fillId="0" borderId="0" applyFont="0" applyFill="0" applyBorder="0" applyAlignment="0" applyProtection="0"/>
    <xf numFmtId="0" fontId="5" fillId="0" borderId="2" applyFont="0" applyFill="0" applyAlignment="0">
      <alignment vertical="center"/>
    </xf>
    <xf numFmtId="0" fontId="4" fillId="0" borderId="0"/>
    <xf numFmtId="0" fontId="1" fillId="0" borderId="0"/>
    <xf numFmtId="0" fontId="7" fillId="0" borderId="0" applyNumberFormat="0" applyFill="0" applyBorder="0" applyAlignment="0" applyProtection="0"/>
  </cellStyleXfs>
  <cellXfs count="725">
    <xf numFmtId="0" fontId="0" fillId="0" borderId="0" xfId="0"/>
    <xf numFmtId="0" fontId="2" fillId="0" borderId="0" xfId="0" applyFont="1" applyAlignment="1">
      <alignment vertical="center"/>
    </xf>
    <xf numFmtId="0" fontId="0" fillId="0" borderId="0" xfId="0" applyProtection="1">
      <protection hidden="1"/>
    </xf>
    <xf numFmtId="165" fontId="26" fillId="0" borderId="0" xfId="1" applyNumberFormat="1" applyFont="1" applyFill="1" applyBorder="1" applyAlignment="1" applyProtection="1">
      <alignment horizontal="left" vertical="center" wrapText="1"/>
      <protection locked="0" hidden="1"/>
    </xf>
    <xf numFmtId="165" fontId="9" fillId="0" borderId="0" xfId="1" applyNumberFormat="1" applyFont="1" applyFill="1" applyBorder="1" applyAlignment="1" applyProtection="1">
      <alignment vertical="center" wrapText="1"/>
      <protection locked="0" hidden="1"/>
    </xf>
    <xf numFmtId="165" fontId="26" fillId="0" borderId="1" xfId="1" applyNumberFormat="1" applyFont="1" applyFill="1" applyBorder="1" applyAlignment="1" applyProtection="1">
      <alignment horizontal="left" vertical="center" wrapText="1"/>
      <protection locked="0" hidden="1"/>
    </xf>
    <xf numFmtId="165" fontId="26" fillId="0" borderId="4" xfId="1" applyNumberFormat="1" applyFont="1" applyFill="1" applyBorder="1" applyAlignment="1" applyProtection="1">
      <alignment horizontal="left" vertical="center" wrapText="1"/>
      <protection locked="0" hidden="1"/>
    </xf>
    <xf numFmtId="165" fontId="26" fillId="0" borderId="1" xfId="1" applyNumberFormat="1" applyFont="1" applyFill="1" applyBorder="1" applyAlignment="1" applyProtection="1">
      <alignment vertical="center" wrapText="1"/>
      <protection locked="0" hidden="1"/>
    </xf>
    <xf numFmtId="0" fontId="9" fillId="3" borderId="0" xfId="0" applyFont="1" applyFill="1" applyProtection="1">
      <protection locked="0" hidden="1"/>
    </xf>
    <xf numFmtId="0" fontId="21" fillId="0" borderId="0" xfId="0" applyFont="1" applyAlignment="1" applyProtection="1">
      <alignment vertical="center"/>
      <protection locked="0" hidden="1"/>
    </xf>
    <xf numFmtId="0" fontId="22" fillId="0" borderId="0" xfId="0" applyFont="1" applyAlignment="1" applyProtection="1">
      <alignment vertical="center"/>
      <protection locked="0" hidden="1"/>
    </xf>
    <xf numFmtId="165" fontId="22" fillId="0" borderId="0" xfId="1" applyNumberFormat="1" applyFont="1" applyFill="1" applyBorder="1" applyAlignment="1" applyProtection="1">
      <alignment horizontal="right" vertical="center"/>
      <protection locked="0" hidden="1"/>
    </xf>
    <xf numFmtId="0" fontId="23" fillId="0" borderId="0" xfId="11" applyFont="1" applyFill="1" applyBorder="1" applyAlignment="1" applyProtection="1">
      <alignment horizontal="left" vertical="center"/>
      <protection locked="0" hidden="1"/>
    </xf>
    <xf numFmtId="0" fontId="24" fillId="0" borderId="0" xfId="0" applyFont="1" applyAlignment="1" applyProtection="1">
      <alignment vertical="center"/>
      <protection locked="0" hidden="1"/>
    </xf>
    <xf numFmtId="0" fontId="21" fillId="0" borderId="0" xfId="0" applyFont="1" applyAlignment="1" applyProtection="1">
      <alignment horizontal="left" vertical="center"/>
      <protection locked="0" hidden="1"/>
    </xf>
    <xf numFmtId="0" fontId="9" fillId="0" borderId="0" xfId="0" applyFont="1" applyAlignment="1" applyProtection="1">
      <alignment vertical="center"/>
      <protection locked="0" hidden="1"/>
    </xf>
    <xf numFmtId="0" fontId="25" fillId="0" borderId="0" xfId="0" applyFont="1" applyAlignment="1" applyProtection="1">
      <alignment horizontal="left" vertical="center" indent="1"/>
      <protection locked="0" hidden="1"/>
    </xf>
    <xf numFmtId="0" fontId="27" fillId="0" borderId="0" xfId="0" applyFont="1" applyAlignment="1" applyProtection="1">
      <alignment horizontal="left" vertical="center" indent="4"/>
      <protection locked="0" hidden="1"/>
    </xf>
    <xf numFmtId="0" fontId="9" fillId="0" borderId="0" xfId="0" applyFont="1" applyAlignment="1" applyProtection="1">
      <alignment horizontal="left" vertical="center"/>
      <protection locked="0" hidden="1"/>
    </xf>
    <xf numFmtId="0" fontId="34" fillId="0" borderId="0" xfId="0" applyFont="1" applyAlignment="1" applyProtection="1">
      <alignment horizontal="left" vertical="center"/>
      <protection locked="0" hidden="1"/>
    </xf>
    <xf numFmtId="1" fontId="35" fillId="0" borderId="0" xfId="1" applyNumberFormat="1" applyFont="1" applyFill="1" applyBorder="1" applyAlignment="1" applyProtection="1">
      <alignment horizontal="center" vertical="center"/>
      <protection locked="0" hidden="1"/>
    </xf>
    <xf numFmtId="165" fontId="35" fillId="0" borderId="0" xfId="1" applyNumberFormat="1" applyFont="1" applyFill="1" applyBorder="1" applyAlignment="1" applyProtection="1">
      <alignment horizontal="center" vertical="center"/>
      <protection locked="0" hidden="1"/>
    </xf>
    <xf numFmtId="0" fontId="25" fillId="3" borderId="0" xfId="0" applyFont="1" applyFill="1" applyAlignment="1" applyProtection="1">
      <alignment horizontal="left" vertical="center" indent="1"/>
      <protection locked="0" hidden="1"/>
    </xf>
    <xf numFmtId="0" fontId="27" fillId="3" borderId="0" xfId="0" applyFont="1" applyFill="1" applyAlignment="1" applyProtection="1">
      <alignment horizontal="left" vertical="center" indent="4"/>
      <protection locked="0" hidden="1"/>
    </xf>
    <xf numFmtId="165" fontId="26" fillId="3" borderId="0" xfId="1" applyNumberFormat="1" applyFont="1" applyFill="1" applyBorder="1" applyAlignment="1" applyProtection="1">
      <alignment horizontal="left" vertical="center" wrapText="1"/>
      <protection locked="0" hidden="1"/>
    </xf>
    <xf numFmtId="0" fontId="9" fillId="0" borderId="0" xfId="0" applyFont="1" applyProtection="1">
      <protection locked="0" hidden="1"/>
    </xf>
    <xf numFmtId="0" fontId="21" fillId="0" borderId="0" xfId="0" applyFont="1" applyProtection="1">
      <protection locked="0" hidden="1"/>
    </xf>
    <xf numFmtId="0" fontId="9" fillId="0" borderId="0" xfId="0" applyFont="1" applyAlignment="1" applyProtection="1">
      <alignment horizontal="left" indent="1"/>
      <protection locked="0" hidden="1"/>
    </xf>
    <xf numFmtId="175" fontId="32" fillId="0" borderId="0" xfId="1" applyNumberFormat="1" applyFont="1" applyFill="1" applyBorder="1" applyAlignment="1" applyProtection="1">
      <alignment horizontal="right" vertical="center"/>
      <protection locked="0" hidden="1"/>
    </xf>
    <xf numFmtId="175" fontId="33" fillId="0" borderId="0" xfId="1" applyNumberFormat="1" applyFont="1" applyFill="1" applyBorder="1" applyAlignment="1" applyProtection="1">
      <alignment horizontal="right" vertical="center"/>
      <protection locked="0" hidden="1"/>
    </xf>
    <xf numFmtId="168" fontId="33" fillId="0" borderId="0" xfId="2" applyNumberFormat="1" applyFont="1" applyFill="1" applyBorder="1" applyAlignment="1" applyProtection="1">
      <alignment horizontal="center" vertical="center" wrapText="1"/>
      <protection locked="0" hidden="1"/>
    </xf>
    <xf numFmtId="0" fontId="21" fillId="3" borderId="0" xfId="0" applyFont="1" applyFill="1" applyAlignment="1" applyProtection="1">
      <alignment vertical="center"/>
      <protection locked="0" hidden="1"/>
    </xf>
    <xf numFmtId="175" fontId="32" fillId="0" borderId="6" xfId="1" applyNumberFormat="1" applyFont="1" applyFill="1" applyBorder="1" applyAlignment="1" applyProtection="1">
      <alignment horizontal="right" vertical="center"/>
      <protection locked="0" hidden="1"/>
    </xf>
    <xf numFmtId="172" fontId="32" fillId="3" borderId="0" xfId="1" applyNumberFormat="1" applyFont="1" applyFill="1" applyBorder="1" applyAlignment="1" applyProtection="1">
      <alignment horizontal="right" vertical="center"/>
      <protection locked="0" hidden="1"/>
    </xf>
    <xf numFmtId="175" fontId="32" fillId="3" borderId="6" xfId="1" applyNumberFormat="1" applyFont="1" applyFill="1" applyBorder="1" applyAlignment="1" applyProtection="1">
      <alignment horizontal="right" vertical="center"/>
      <protection locked="0" hidden="1"/>
    </xf>
    <xf numFmtId="0" fontId="32" fillId="0" borderId="6" xfId="0" applyFont="1" applyBorder="1" applyAlignment="1" applyProtection="1">
      <alignment horizontal="left" vertical="center"/>
      <protection locked="0" hidden="1"/>
    </xf>
    <xf numFmtId="0" fontId="32" fillId="3" borderId="6" xfId="0" applyFont="1" applyFill="1" applyBorder="1" applyAlignment="1" applyProtection="1">
      <alignment horizontal="left" vertical="center"/>
      <protection locked="0" hidden="1"/>
    </xf>
    <xf numFmtId="0" fontId="33" fillId="3" borderId="0" xfId="0" applyFont="1" applyFill="1" applyAlignment="1" applyProtection="1">
      <alignment vertical="center"/>
      <protection locked="0" hidden="1"/>
    </xf>
    <xf numFmtId="0" fontId="31" fillId="3" borderId="0" xfId="0" applyFont="1" applyFill="1" applyAlignment="1" applyProtection="1">
      <alignment vertical="center"/>
      <protection locked="0" hidden="1"/>
    </xf>
    <xf numFmtId="0" fontId="33" fillId="3" borderId="0" xfId="0" applyFont="1" applyFill="1" applyAlignment="1" applyProtection="1">
      <alignment horizontal="center" vertical="center"/>
      <protection locked="0" hidden="1"/>
    </xf>
    <xf numFmtId="43" fontId="33" fillId="3" borderId="0" xfId="0" applyNumberFormat="1" applyFont="1" applyFill="1" applyAlignment="1" applyProtection="1">
      <alignment vertical="center"/>
      <protection locked="0" hidden="1"/>
    </xf>
    <xf numFmtId="0" fontId="33" fillId="3" borderId="0" xfId="0" applyFont="1" applyFill="1" applyAlignment="1" applyProtection="1">
      <alignment horizontal="center" vertical="center" wrapText="1"/>
      <protection locked="0" hidden="1"/>
    </xf>
    <xf numFmtId="0" fontId="38" fillId="3" borderId="0" xfId="0" applyFont="1" applyFill="1" applyAlignment="1" applyProtection="1">
      <alignment vertical="center"/>
      <protection locked="0" hidden="1"/>
    </xf>
    <xf numFmtId="0" fontId="32" fillId="3" borderId="0" xfId="0" applyFont="1" applyFill="1" applyAlignment="1" applyProtection="1">
      <alignment horizontal="center" vertical="center"/>
      <protection locked="0" hidden="1"/>
    </xf>
    <xf numFmtId="168" fontId="9" fillId="0" borderId="0" xfId="2" applyNumberFormat="1" applyFont="1" applyFill="1" applyBorder="1" applyAlignment="1" applyProtection="1">
      <alignment horizontal="center" vertical="center"/>
      <protection locked="0" hidden="1"/>
    </xf>
    <xf numFmtId="168" fontId="32" fillId="5" borderId="0" xfId="2" applyNumberFormat="1" applyFont="1" applyFill="1" applyBorder="1" applyAlignment="1" applyProtection="1">
      <alignment horizontal="center" vertical="center" wrapText="1"/>
      <protection locked="0" hidden="1"/>
    </xf>
    <xf numFmtId="9" fontId="33" fillId="3" borderId="0" xfId="2" applyFont="1" applyFill="1" applyBorder="1" applyAlignment="1" applyProtection="1">
      <alignment vertical="center"/>
      <protection locked="0" hidden="1"/>
    </xf>
    <xf numFmtId="0" fontId="22" fillId="0" borderId="0" xfId="0" applyFont="1" applyAlignment="1" applyProtection="1">
      <alignment horizontal="left" vertical="center"/>
      <protection locked="0" hidden="1"/>
    </xf>
    <xf numFmtId="0" fontId="9" fillId="0" borderId="0" xfId="0" applyFont="1" applyAlignment="1" applyProtection="1">
      <alignment horizontal="right"/>
      <protection locked="0" hidden="1"/>
    </xf>
    <xf numFmtId="0" fontId="25" fillId="0" borderId="0" xfId="0" applyFont="1" applyAlignment="1" applyProtection="1">
      <alignment horizontal="left" vertical="center" indent="3"/>
      <protection locked="0" hidden="1"/>
    </xf>
    <xf numFmtId="0" fontId="26" fillId="0" borderId="0" xfId="0" applyFont="1" applyAlignment="1" applyProtection="1">
      <alignment vertical="center"/>
      <protection locked="0" hidden="1"/>
    </xf>
    <xf numFmtId="0" fontId="25" fillId="0" borderId="0" xfId="0" applyFont="1" applyAlignment="1" applyProtection="1">
      <alignment horizontal="left" indent="1"/>
      <protection locked="0" hidden="1"/>
    </xf>
    <xf numFmtId="0" fontId="26" fillId="3" borderId="0" xfId="0" applyFont="1" applyFill="1" applyAlignment="1" applyProtection="1">
      <alignment vertical="center"/>
      <protection locked="0" hidden="1"/>
    </xf>
    <xf numFmtId="0" fontId="25" fillId="3" borderId="0" xfId="0" applyFont="1" applyFill="1" applyAlignment="1" applyProtection="1">
      <alignment horizontal="left" indent="1"/>
      <protection locked="0" hidden="1"/>
    </xf>
    <xf numFmtId="0" fontId="27" fillId="0" borderId="0" xfId="0" applyFont="1" applyAlignment="1" applyProtection="1">
      <alignment horizontal="left" indent="3"/>
      <protection locked="0" hidden="1"/>
    </xf>
    <xf numFmtId="0" fontId="27" fillId="0" borderId="0" xfId="0" applyFont="1" applyAlignment="1" applyProtection="1">
      <alignment horizontal="left" indent="4"/>
      <protection locked="0" hidden="1"/>
    </xf>
    <xf numFmtId="0" fontId="25" fillId="0" borderId="0" xfId="0" applyFont="1" applyAlignment="1" applyProtection="1">
      <alignment horizontal="left" vertical="center" wrapText="1" indent="1"/>
      <protection locked="0" hidden="1"/>
    </xf>
    <xf numFmtId="0" fontId="27" fillId="0" borderId="0" xfId="0" applyFont="1" applyAlignment="1" applyProtection="1">
      <alignment horizontal="left" vertical="center" indent="5"/>
      <protection locked="0" hidden="1"/>
    </xf>
    <xf numFmtId="165" fontId="34" fillId="0" borderId="0" xfId="1" applyNumberFormat="1" applyFont="1" applyFill="1" applyBorder="1" applyAlignment="1" applyProtection="1">
      <alignment horizontal="center" vertical="center"/>
      <protection locked="0" hidden="1"/>
    </xf>
    <xf numFmtId="0" fontId="27" fillId="3" borderId="0" xfId="0" applyFont="1" applyFill="1" applyAlignment="1" applyProtection="1">
      <alignment horizontal="left" indent="3"/>
      <protection locked="0" hidden="1"/>
    </xf>
    <xf numFmtId="0" fontId="27" fillId="3" borderId="0" xfId="0" applyFont="1" applyFill="1" applyAlignment="1" applyProtection="1">
      <alignment horizontal="left" indent="4"/>
      <protection locked="0" hidden="1"/>
    </xf>
    <xf numFmtId="0" fontId="25" fillId="3" borderId="0" xfId="0" applyFont="1" applyFill="1" applyAlignment="1" applyProtection="1">
      <alignment horizontal="left" vertical="center" wrapText="1" indent="1"/>
      <protection locked="0" hidden="1"/>
    </xf>
    <xf numFmtId="0" fontId="25" fillId="0" borderId="0" xfId="0" applyFont="1" applyAlignment="1" applyProtection="1">
      <alignment horizontal="left" wrapText="1"/>
      <protection locked="0" hidden="1"/>
    </xf>
    <xf numFmtId="0" fontId="30" fillId="0" borderId="0" xfId="0" applyFont="1" applyAlignment="1" applyProtection="1">
      <alignment horizontal="left" vertical="center" wrapText="1" indent="5"/>
      <protection locked="0" hidden="1"/>
    </xf>
    <xf numFmtId="0" fontId="9" fillId="0" borderId="0" xfId="0" applyFont="1" applyAlignment="1" applyProtection="1">
      <alignment horizontal="left" vertical="center" wrapText="1" indent="1"/>
      <protection locked="0" hidden="1"/>
    </xf>
    <xf numFmtId="0" fontId="30" fillId="0" borderId="0" xfId="0" applyFont="1" applyAlignment="1" applyProtection="1">
      <alignment horizontal="left" vertical="center" wrapText="1" indent="4"/>
      <protection locked="0" hidden="1"/>
    </xf>
    <xf numFmtId="0" fontId="30" fillId="0" borderId="0" xfId="0" applyFont="1" applyAlignment="1" applyProtection="1">
      <alignment horizontal="left" indent="5"/>
      <protection locked="0" hidden="1"/>
    </xf>
    <xf numFmtId="0" fontId="30" fillId="0" borderId="0" xfId="0" applyFont="1" applyAlignment="1" applyProtection="1">
      <alignment horizontal="left" indent="7"/>
      <protection locked="0" hidden="1"/>
    </xf>
    <xf numFmtId="0" fontId="30" fillId="3" borderId="0" xfId="0" applyFont="1" applyFill="1" applyAlignment="1" applyProtection="1">
      <alignment horizontal="left" vertical="center" wrapText="1" indent="5"/>
      <protection locked="0" hidden="1"/>
    </xf>
    <xf numFmtId="0" fontId="30" fillId="3" borderId="0" xfId="0" applyFont="1" applyFill="1" applyAlignment="1" applyProtection="1">
      <alignment horizontal="left" vertical="center" wrapText="1" indent="4"/>
      <protection locked="0" hidden="1"/>
    </xf>
    <xf numFmtId="0" fontId="9" fillId="3" borderId="0" xfId="0" applyFont="1" applyFill="1" applyAlignment="1" applyProtection="1">
      <alignment horizontal="left" vertical="center" wrapText="1" indent="1"/>
      <protection locked="0" hidden="1"/>
    </xf>
    <xf numFmtId="0" fontId="30" fillId="3" borderId="0" xfId="0" applyFont="1" applyFill="1" applyAlignment="1" applyProtection="1">
      <alignment horizontal="left" indent="7"/>
      <protection locked="0" hidden="1"/>
    </xf>
    <xf numFmtId="0" fontId="9" fillId="0" borderId="0" xfId="0" applyFont="1" applyAlignment="1" applyProtection="1">
      <alignment horizontal="left" vertical="center" wrapText="1"/>
      <protection locked="0" hidden="1"/>
    </xf>
    <xf numFmtId="0" fontId="26" fillId="0" borderId="0" xfId="0" applyFont="1" applyAlignment="1" applyProtection="1">
      <alignment horizontal="left" indent="1"/>
      <protection locked="0" hidden="1"/>
    </xf>
    <xf numFmtId="0" fontId="25" fillId="0" borderId="0" xfId="0" applyFont="1" applyAlignment="1" applyProtection="1">
      <alignment horizontal="left" indent="4"/>
      <protection locked="0" hidden="1"/>
    </xf>
    <xf numFmtId="0" fontId="21" fillId="0" borderId="0" xfId="0" applyFont="1" applyAlignment="1" applyProtection="1">
      <alignment horizontal="left" vertical="center" wrapText="1" indent="2"/>
      <protection locked="0" hidden="1"/>
    </xf>
    <xf numFmtId="165" fontId="25" fillId="3" borderId="0" xfId="1" applyNumberFormat="1" applyFont="1" applyFill="1" applyBorder="1" applyAlignment="1" applyProtection="1">
      <alignment horizontal="left" vertical="center" wrapText="1"/>
      <protection locked="0" hidden="1"/>
    </xf>
    <xf numFmtId="0" fontId="30" fillId="0" borderId="0" xfId="0" applyFont="1" applyAlignment="1" applyProtection="1">
      <alignment horizontal="left" indent="4"/>
      <protection locked="0" hidden="1"/>
    </xf>
    <xf numFmtId="0" fontId="27" fillId="3" borderId="0" xfId="0" applyFont="1" applyFill="1" applyAlignment="1" applyProtection="1">
      <alignment horizontal="left" vertical="center" wrapText="1" indent="3"/>
      <protection locked="0" hidden="1"/>
    </xf>
    <xf numFmtId="0" fontId="27" fillId="0" borderId="0" xfId="0" applyFont="1" applyAlignment="1" applyProtection="1">
      <alignment horizontal="left" vertical="center" wrapText="1" indent="3"/>
      <protection locked="0" hidden="1"/>
    </xf>
    <xf numFmtId="0" fontId="9" fillId="3" borderId="0" xfId="0" applyFont="1" applyFill="1" applyAlignment="1" applyProtection="1">
      <alignment horizontal="left" indent="1"/>
      <protection locked="0" hidden="1"/>
    </xf>
    <xf numFmtId="0" fontId="30" fillId="3" borderId="0" xfId="0" applyFont="1" applyFill="1" applyAlignment="1" applyProtection="1">
      <alignment horizontal="left" indent="4"/>
      <protection locked="0" hidden="1"/>
    </xf>
    <xf numFmtId="165" fontId="26" fillId="4" borderId="4" xfId="1" applyNumberFormat="1" applyFont="1" applyFill="1" applyBorder="1" applyAlignment="1" applyProtection="1">
      <alignment horizontal="left" vertical="center" wrapText="1"/>
      <protection locked="0" hidden="1"/>
    </xf>
    <xf numFmtId="0" fontId="27" fillId="4" borderId="0" xfId="0" applyFont="1" applyFill="1" applyAlignment="1" applyProtection="1">
      <alignment horizontal="left" indent="4"/>
      <protection locked="0" hidden="1"/>
    </xf>
    <xf numFmtId="165" fontId="25" fillId="4" borderId="0" xfId="1" applyNumberFormat="1" applyFont="1" applyFill="1" applyBorder="1" applyAlignment="1" applyProtection="1">
      <alignment horizontal="left" vertical="center" wrapText="1"/>
      <protection locked="0" hidden="1"/>
    </xf>
    <xf numFmtId="0" fontId="30" fillId="4" borderId="0" xfId="0" applyFont="1" applyFill="1" applyAlignment="1" applyProtection="1">
      <alignment horizontal="left" vertical="center" wrapText="1" indent="5"/>
      <protection locked="0" hidden="1"/>
    </xf>
    <xf numFmtId="0" fontId="9" fillId="4" borderId="0" xfId="0" applyFont="1" applyFill="1" applyAlignment="1" applyProtection="1">
      <alignment horizontal="left" vertical="center" wrapText="1"/>
      <protection locked="0" hidden="1"/>
    </xf>
    <xf numFmtId="175" fontId="33" fillId="0" borderId="6" xfId="1" applyNumberFormat="1" applyFont="1" applyFill="1" applyBorder="1" applyAlignment="1" applyProtection="1">
      <alignment horizontal="right" vertical="center"/>
      <protection locked="0" hidden="1"/>
    </xf>
    <xf numFmtId="9" fontId="33" fillId="3" borderId="0" xfId="2" applyFont="1" applyFill="1" applyAlignment="1" applyProtection="1">
      <alignment vertical="center"/>
      <protection locked="0" hidden="1"/>
    </xf>
    <xf numFmtId="175" fontId="31" fillId="7" borderId="0" xfId="1" applyNumberFormat="1" applyFont="1" applyFill="1" applyBorder="1" applyAlignment="1" applyProtection="1">
      <alignment horizontal="right" vertical="center"/>
      <protection locked="0" hidden="1"/>
    </xf>
    <xf numFmtId="175" fontId="16" fillId="7" borderId="6" xfId="1" applyNumberFormat="1" applyFont="1" applyFill="1" applyBorder="1" applyAlignment="1" applyProtection="1">
      <alignment horizontal="right" vertical="center"/>
      <protection locked="0" hidden="1"/>
    </xf>
    <xf numFmtId="175" fontId="33" fillId="4" borderId="0" xfId="1" applyNumberFormat="1" applyFont="1" applyFill="1" applyBorder="1" applyAlignment="1" applyProtection="1">
      <alignment horizontal="right" vertical="center"/>
      <protection locked="0" hidden="1"/>
    </xf>
    <xf numFmtId="0" fontId="17" fillId="3" borderId="0" xfId="0" applyFont="1" applyFill="1" applyAlignment="1" applyProtection="1">
      <alignment vertical="center"/>
      <protection locked="0" hidden="1"/>
    </xf>
    <xf numFmtId="0" fontId="17" fillId="3" borderId="0" xfId="0" applyFont="1" applyFill="1" applyProtection="1">
      <protection locked="0" hidden="1"/>
    </xf>
    <xf numFmtId="0" fontId="17" fillId="3" borderId="0" xfId="0" applyFont="1" applyFill="1" applyAlignment="1" applyProtection="1">
      <alignment horizontal="center" vertical="center"/>
      <protection locked="0" hidden="1"/>
    </xf>
    <xf numFmtId="0" fontId="9" fillId="3" borderId="0" xfId="0" applyFont="1" applyFill="1" applyAlignment="1" applyProtection="1">
      <alignment horizontal="center"/>
      <protection locked="0" hidden="1"/>
    </xf>
    <xf numFmtId="0" fontId="39" fillId="0" borderId="7" xfId="0" applyFont="1" applyBorder="1" applyAlignment="1" applyProtection="1">
      <alignment horizontal="center" vertical="center" wrapText="1"/>
      <protection locked="0" hidden="1"/>
    </xf>
    <xf numFmtId="168" fontId="32" fillId="3" borderId="0" xfId="2" applyNumberFormat="1" applyFont="1" applyFill="1" applyBorder="1" applyAlignment="1" applyProtection="1">
      <alignment horizontal="center" vertical="center"/>
      <protection locked="0" hidden="1"/>
    </xf>
    <xf numFmtId="168" fontId="32" fillId="6" borderId="0" xfId="2" applyNumberFormat="1" applyFont="1" applyFill="1" applyBorder="1" applyAlignment="1" applyProtection="1">
      <alignment horizontal="center" vertical="center"/>
      <protection locked="0" hidden="1"/>
    </xf>
    <xf numFmtId="179" fontId="32" fillId="0" borderId="6" xfId="1" applyNumberFormat="1" applyFont="1" applyFill="1" applyBorder="1" applyAlignment="1" applyProtection="1">
      <alignment horizontal="right" vertical="center"/>
      <protection locked="0" hidden="1"/>
    </xf>
    <xf numFmtId="179" fontId="32" fillId="3" borderId="6" xfId="1" applyNumberFormat="1" applyFont="1" applyFill="1" applyBorder="1" applyAlignment="1" applyProtection="1">
      <alignment horizontal="right" vertical="center"/>
      <protection locked="0" hidden="1"/>
    </xf>
    <xf numFmtId="168" fontId="21" fillId="3" borderId="0" xfId="2" applyNumberFormat="1" applyFont="1" applyFill="1" applyBorder="1" applyAlignment="1" applyProtection="1">
      <alignment horizontal="center" vertical="center"/>
      <protection locked="0" hidden="1"/>
    </xf>
    <xf numFmtId="179" fontId="32" fillId="0" borderId="0" xfId="1" applyNumberFormat="1" applyFont="1" applyFill="1" applyBorder="1" applyAlignment="1" applyProtection="1">
      <alignment horizontal="right" vertical="center"/>
      <protection locked="0" hidden="1"/>
    </xf>
    <xf numFmtId="179" fontId="33" fillId="4" borderId="0" xfId="1" applyNumberFormat="1" applyFont="1" applyFill="1" applyBorder="1" applyAlignment="1" applyProtection="1">
      <alignment horizontal="right" vertical="center"/>
      <protection locked="0" hidden="1"/>
    </xf>
    <xf numFmtId="179" fontId="33" fillId="0" borderId="0" xfId="1" applyNumberFormat="1" applyFont="1" applyFill="1" applyBorder="1" applyAlignment="1" applyProtection="1">
      <alignment horizontal="right" vertical="center"/>
      <protection locked="0" hidden="1"/>
    </xf>
    <xf numFmtId="179" fontId="33" fillId="0" borderId="6" xfId="1" applyNumberFormat="1" applyFont="1" applyFill="1" applyBorder="1" applyAlignment="1" applyProtection="1">
      <alignment horizontal="right" vertical="center"/>
      <protection locked="0" hidden="1"/>
    </xf>
    <xf numFmtId="0" fontId="27" fillId="3" borderId="0" xfId="0" applyFont="1" applyFill="1" applyAlignment="1" applyProtection="1">
      <alignment horizontal="left" vertical="center" indent="7"/>
      <protection locked="0" hidden="1"/>
    </xf>
    <xf numFmtId="0" fontId="27" fillId="3" borderId="0" xfId="0" applyFont="1" applyFill="1" applyAlignment="1" applyProtection="1">
      <alignment horizontal="left" vertical="center" indent="3"/>
      <protection locked="0" hidden="1"/>
    </xf>
    <xf numFmtId="165" fontId="9" fillId="3" borderId="0"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1"/>
      <protection locked="0" hidden="1"/>
    </xf>
    <xf numFmtId="165" fontId="30" fillId="3" borderId="0" xfId="1" applyNumberFormat="1" applyFont="1" applyFill="1" applyBorder="1" applyAlignment="1" applyProtection="1">
      <alignment horizontal="left" vertical="center" wrapText="1" indent="4"/>
      <protection locked="0" hidden="1"/>
    </xf>
    <xf numFmtId="165" fontId="30" fillId="0" borderId="0" xfId="1" applyNumberFormat="1" applyFont="1" applyFill="1" applyBorder="1" applyAlignment="1" applyProtection="1">
      <alignment horizontal="left" vertical="center" wrapText="1" indent="4"/>
      <protection locked="0" hidden="1"/>
    </xf>
    <xf numFmtId="0" fontId="9" fillId="4" borderId="0" xfId="0" applyFont="1" applyFill="1" applyAlignment="1" applyProtection="1">
      <alignment horizontal="left" vertical="center" wrapText="1" indent="1"/>
      <protection locked="0" hidden="1"/>
    </xf>
    <xf numFmtId="0" fontId="30" fillId="4" borderId="0" xfId="0" applyFont="1" applyFill="1" applyAlignment="1" applyProtection="1">
      <alignment horizontal="left" vertical="center" wrapText="1" indent="4"/>
      <protection locked="0" hidden="1"/>
    </xf>
    <xf numFmtId="1" fontId="42" fillId="0" borderId="0" xfId="1" applyNumberFormat="1" applyFont="1" applyFill="1" applyBorder="1" applyAlignment="1" applyProtection="1">
      <alignment horizontal="center" vertical="center"/>
      <protection locked="0" hidden="1"/>
    </xf>
    <xf numFmtId="165" fontId="21" fillId="0" borderId="0" xfId="1" applyNumberFormat="1" applyFont="1" applyFill="1" applyBorder="1" applyAlignment="1" applyProtection="1">
      <alignment horizontal="left" vertical="center" wrapText="1"/>
      <protection locked="0" hidden="1"/>
    </xf>
    <xf numFmtId="0" fontId="4" fillId="0" borderId="0" xfId="0" applyFont="1" applyProtection="1">
      <protection locked="0" hidden="1"/>
    </xf>
    <xf numFmtId="0" fontId="43" fillId="0" borderId="0" xfId="0" applyFont="1" applyAlignment="1" applyProtection="1">
      <alignment horizontal="left" vertical="center"/>
      <protection locked="0" hidden="1"/>
    </xf>
    <xf numFmtId="0" fontId="45" fillId="0" borderId="0" xfId="0" applyFont="1" applyAlignment="1" applyProtection="1">
      <alignment horizontal="left" indent="1"/>
      <protection locked="0" hidden="1"/>
    </xf>
    <xf numFmtId="165" fontId="4" fillId="0" borderId="0" xfId="1" applyNumberFormat="1" applyFont="1" applyFill="1" applyBorder="1" applyAlignment="1" applyProtection="1">
      <alignment vertical="center" wrapText="1"/>
      <protection locked="0" hidden="1"/>
    </xf>
    <xf numFmtId="0" fontId="46" fillId="0" borderId="0" xfId="0" applyFont="1" applyAlignment="1" applyProtection="1">
      <alignment horizontal="left" vertical="center"/>
      <protection locked="0" hidden="1"/>
    </xf>
    <xf numFmtId="0" fontId="9" fillId="0" borderId="0" xfId="0" applyFont="1" applyAlignment="1" applyProtection="1">
      <alignment horizontal="left" vertical="center" indent="1"/>
      <protection locked="0" hidden="1"/>
    </xf>
    <xf numFmtId="0" fontId="25" fillId="0" borderId="0" xfId="0" applyFont="1" applyAlignment="1" applyProtection="1">
      <alignment horizontal="left" vertical="center" indent="5"/>
      <protection locked="0" hidden="1"/>
    </xf>
    <xf numFmtId="165" fontId="27" fillId="4" borderId="0" xfId="1" applyNumberFormat="1" applyFont="1" applyFill="1" applyBorder="1" applyAlignment="1" applyProtection="1">
      <alignment horizontal="left" vertical="center" wrapText="1" indent="4"/>
      <protection locked="0" hidden="1"/>
    </xf>
    <xf numFmtId="0" fontId="27" fillId="0" borderId="0" xfId="0" applyFont="1" applyAlignment="1" applyProtection="1">
      <alignment horizontal="left" vertical="center" indent="2"/>
      <protection locked="0" hidden="1"/>
    </xf>
    <xf numFmtId="0" fontId="25" fillId="0" borderId="0" xfId="0" applyFont="1" applyAlignment="1" applyProtection="1">
      <alignment horizontal="left" vertical="center" indent="2"/>
      <protection locked="0" hidden="1"/>
    </xf>
    <xf numFmtId="0" fontId="21" fillId="3" borderId="0" xfId="0" applyFont="1" applyFill="1" applyProtection="1">
      <protection locked="0" hidden="1"/>
    </xf>
    <xf numFmtId="0" fontId="27" fillId="3" borderId="0" xfId="0" applyFont="1" applyFill="1" applyAlignment="1" applyProtection="1">
      <alignment horizontal="left" vertical="center" indent="2"/>
      <protection locked="0" hidden="1"/>
    </xf>
    <xf numFmtId="0" fontId="25" fillId="3" borderId="0" xfId="0" applyFont="1" applyFill="1" applyAlignment="1" applyProtection="1">
      <alignment horizontal="left" vertical="center" indent="2"/>
      <protection locked="0" hidden="1"/>
    </xf>
    <xf numFmtId="0" fontId="27" fillId="3" borderId="0" xfId="0" applyFont="1" applyFill="1" applyAlignment="1" applyProtection="1">
      <alignment horizontal="left" vertical="center" indent="9"/>
      <protection locked="0" hidden="1"/>
    </xf>
    <xf numFmtId="0" fontId="27" fillId="3" borderId="0" xfId="0" applyFont="1" applyFill="1" applyAlignment="1" applyProtection="1">
      <alignment horizontal="left" vertical="center" indent="5"/>
      <protection locked="0" hidden="1"/>
    </xf>
    <xf numFmtId="1" fontId="47" fillId="0" borderId="0" xfId="1" applyNumberFormat="1" applyFont="1" applyFill="1" applyBorder="1" applyAlignment="1" applyProtection="1">
      <alignment horizontal="center" vertical="center"/>
      <protection locked="0" hidden="1"/>
    </xf>
    <xf numFmtId="1" fontId="47" fillId="0" borderId="0" xfId="1" applyNumberFormat="1" applyFont="1" applyAlignment="1" applyProtection="1">
      <alignment horizontal="center" vertical="center"/>
      <protection locked="0" hidden="1"/>
    </xf>
    <xf numFmtId="0" fontId="9" fillId="0" borderId="0" xfId="0" applyFont="1" applyProtection="1">
      <protection locked="0"/>
    </xf>
    <xf numFmtId="0" fontId="9" fillId="0" borderId="0" xfId="0" applyFont="1" applyAlignment="1" applyProtection="1">
      <alignment horizontal="right"/>
      <protection locked="0"/>
    </xf>
    <xf numFmtId="1" fontId="35" fillId="0" borderId="0" xfId="1" applyNumberFormat="1" applyFont="1" applyFill="1" applyBorder="1" applyAlignment="1" applyProtection="1">
      <alignment horizontal="center" vertical="center"/>
      <protection locked="0"/>
    </xf>
    <xf numFmtId="165" fontId="35" fillId="0" borderId="0" xfId="1" applyNumberFormat="1" applyFont="1" applyFill="1" applyBorder="1" applyAlignment="1" applyProtection="1">
      <alignment horizontal="center" vertical="center"/>
      <protection locked="0"/>
    </xf>
    <xf numFmtId="165" fontId="34" fillId="0" borderId="5" xfId="1" applyNumberFormat="1" applyFont="1" applyFill="1" applyBorder="1" applyAlignment="1" applyProtection="1">
      <alignment horizontal="center" vertical="center"/>
      <protection locked="0"/>
    </xf>
    <xf numFmtId="165" fontId="34" fillId="0" borderId="0" xfId="1" applyNumberFormat="1" applyFont="1" applyFill="1" applyBorder="1" applyAlignment="1" applyProtection="1">
      <alignment horizontal="center" vertical="center"/>
      <protection locked="0"/>
    </xf>
    <xf numFmtId="165" fontId="22" fillId="0" borderId="0" xfId="1" applyNumberFormat="1" applyFont="1" applyFill="1" applyBorder="1" applyAlignment="1" applyProtection="1">
      <alignment horizontal="right" vertical="center"/>
      <protection locked="0"/>
    </xf>
    <xf numFmtId="0" fontId="22" fillId="0" borderId="0" xfId="0" applyFont="1" applyAlignment="1" applyProtection="1">
      <alignment vertical="center"/>
      <protection locked="0"/>
    </xf>
    <xf numFmtId="0" fontId="23" fillId="0" borderId="0" xfId="11" applyFont="1" applyFill="1" applyBorder="1" applyAlignment="1" applyProtection="1">
      <alignment horizontal="left" vertical="center"/>
      <protection locked="0"/>
    </xf>
    <xf numFmtId="0" fontId="24" fillId="0" borderId="0" xfId="0" applyFont="1" applyAlignment="1" applyProtection="1">
      <alignment vertical="center"/>
      <protection locked="0"/>
    </xf>
    <xf numFmtId="0" fontId="21" fillId="0" borderId="0" xfId="0" applyFont="1" applyAlignment="1" applyProtection="1">
      <alignment horizontal="left" vertical="center"/>
      <protection locked="0"/>
    </xf>
    <xf numFmtId="1" fontId="21" fillId="0" borderId="0" xfId="1" applyNumberFormat="1" applyFont="1" applyFill="1" applyBorder="1" applyAlignment="1" applyProtection="1">
      <alignment horizontal="right" vertical="center"/>
      <protection locked="0"/>
    </xf>
    <xf numFmtId="165" fontId="21" fillId="0" borderId="0" xfId="1" applyNumberFormat="1" applyFont="1" applyFill="1" applyBorder="1" applyAlignment="1" applyProtection="1">
      <alignment horizontal="right" vertical="center"/>
      <protection locked="0"/>
    </xf>
    <xf numFmtId="165" fontId="26" fillId="0" borderId="1" xfId="1" applyNumberFormat="1" applyFont="1" applyFill="1" applyBorder="1" applyAlignment="1" applyProtection="1">
      <alignment vertical="center" wrapText="1"/>
      <protection locked="0"/>
    </xf>
    <xf numFmtId="170" fontId="9" fillId="0" borderId="0" xfId="1" applyNumberFormat="1" applyFont="1" applyFill="1" applyBorder="1" applyAlignment="1" applyProtection="1">
      <alignment horizontal="right" vertical="center" wrapText="1"/>
      <protection locked="0"/>
    </xf>
    <xf numFmtId="165" fontId="9" fillId="0" borderId="0" xfId="1" applyNumberFormat="1" applyFont="1" applyFill="1" applyBorder="1" applyAlignment="1" applyProtection="1">
      <alignment horizontal="right" vertical="center" wrapText="1"/>
      <protection locked="0"/>
    </xf>
    <xf numFmtId="174" fontId="9" fillId="0" borderId="0" xfId="0" applyNumberFormat="1" applyFont="1" applyAlignment="1" applyProtection="1">
      <alignment horizontal="right"/>
      <protection locked="0"/>
    </xf>
    <xf numFmtId="43" fontId="9" fillId="0" borderId="0" xfId="0" applyNumberFormat="1" applyFont="1" applyProtection="1">
      <protection locked="0"/>
    </xf>
    <xf numFmtId="170" fontId="9" fillId="0" borderId="0" xfId="1" applyNumberFormat="1" applyFont="1" applyFill="1" applyBorder="1" applyAlignment="1" applyProtection="1">
      <alignment horizontal="right" wrapText="1"/>
      <protection locked="0"/>
    </xf>
    <xf numFmtId="9" fontId="9" fillId="0" borderId="0" xfId="2" applyFont="1" applyFill="1" applyBorder="1" applyAlignment="1" applyProtection="1">
      <alignment horizontal="right" wrapText="1"/>
      <protection locked="0"/>
    </xf>
    <xf numFmtId="168" fontId="9" fillId="0" borderId="0" xfId="2" applyNumberFormat="1" applyFont="1" applyFill="1" applyBorder="1" applyAlignment="1" applyProtection="1">
      <alignment horizontal="right" wrapText="1"/>
      <protection locked="0"/>
    </xf>
    <xf numFmtId="174" fontId="9" fillId="0" borderId="0" xfId="2" applyNumberFormat="1" applyFont="1" applyFill="1" applyBorder="1" applyAlignment="1" applyProtection="1">
      <alignment horizontal="right" wrapText="1"/>
      <protection locked="0"/>
    </xf>
    <xf numFmtId="0" fontId="9" fillId="0" borderId="0" xfId="0" applyFont="1" applyAlignment="1" applyProtection="1">
      <alignment horizontal="left" vertical="center" wrapText="1" indent="2"/>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indent="1"/>
      <protection locked="0"/>
    </xf>
    <xf numFmtId="184" fontId="9" fillId="0" borderId="0" xfId="0" applyNumberFormat="1" applyFont="1" applyAlignment="1" applyProtection="1">
      <alignment horizontal="right"/>
      <protection locked="0"/>
    </xf>
    <xf numFmtId="165" fontId="9" fillId="0" borderId="0" xfId="0" applyNumberFormat="1" applyFont="1" applyAlignment="1" applyProtection="1">
      <alignment horizontal="right"/>
      <protection locked="0"/>
    </xf>
    <xf numFmtId="165" fontId="26" fillId="0" borderId="0" xfId="1" applyNumberFormat="1" applyFont="1" applyFill="1" applyBorder="1" applyAlignment="1" applyProtection="1">
      <alignment horizontal="left" vertical="center" wrapText="1" indent="1"/>
      <protection locked="0"/>
    </xf>
    <xf numFmtId="0" fontId="25" fillId="0" borderId="0" xfId="0" applyFont="1" applyAlignment="1" applyProtection="1">
      <alignment horizontal="left"/>
      <protection locked="0"/>
    </xf>
    <xf numFmtId="166" fontId="25" fillId="3" borderId="0" xfId="1" applyNumberFormat="1" applyFont="1" applyFill="1" applyBorder="1" applyAlignment="1" applyProtection="1">
      <alignment horizontal="right" vertical="center"/>
      <protection locked="0"/>
    </xf>
    <xf numFmtId="0" fontId="9" fillId="0" borderId="0" xfId="0" applyFont="1" applyAlignment="1" applyProtection="1">
      <alignment horizontal="left"/>
      <protection locked="0"/>
    </xf>
    <xf numFmtId="166" fontId="25" fillId="0" borderId="0" xfId="1" applyNumberFormat="1" applyFont="1" applyFill="1" applyBorder="1" applyAlignment="1" applyProtection="1">
      <alignment horizontal="right" vertical="center"/>
      <protection locked="0"/>
    </xf>
    <xf numFmtId="165" fontId="26" fillId="0" borderId="0" xfId="1" applyNumberFormat="1" applyFont="1" applyFill="1" applyBorder="1" applyAlignment="1" applyProtection="1">
      <alignment horizontal="left" vertical="center" wrapText="1"/>
      <protection locked="0"/>
    </xf>
    <xf numFmtId="167" fontId="26" fillId="0" borderId="0" xfId="1" applyNumberFormat="1" applyFont="1" applyFill="1" applyBorder="1" applyAlignment="1" applyProtection="1">
      <alignment horizontal="right" vertical="center" wrapText="1"/>
      <protection locked="0"/>
    </xf>
    <xf numFmtId="0" fontId="27" fillId="0" borderId="0" xfId="0" applyFont="1" applyAlignment="1" applyProtection="1">
      <alignment horizontal="left" vertical="center" wrapText="1" indent="3"/>
      <protection locked="0"/>
    </xf>
    <xf numFmtId="166" fontId="9" fillId="0" borderId="0" xfId="0" applyNumberFormat="1" applyFont="1" applyAlignment="1" applyProtection="1">
      <alignment horizontal="left"/>
      <protection locked="0"/>
    </xf>
    <xf numFmtId="172" fontId="25" fillId="0" borderId="0" xfId="1" applyNumberFormat="1" applyFont="1" applyFill="1" applyAlignment="1" applyProtection="1">
      <alignment horizontal="right" vertical="center"/>
      <protection locked="0"/>
    </xf>
    <xf numFmtId="173" fontId="9" fillId="0" borderId="0" xfId="0" applyNumberFormat="1" applyFont="1" applyProtection="1">
      <protection locked="0"/>
    </xf>
    <xf numFmtId="0" fontId="28" fillId="0" borderId="0" xfId="0" applyFont="1" applyProtection="1">
      <protection locked="0"/>
    </xf>
    <xf numFmtId="0" fontId="28" fillId="0" borderId="0" xfId="0" applyFont="1" applyAlignment="1" applyProtection="1">
      <alignment horizontal="right"/>
      <protection locked="0"/>
    </xf>
    <xf numFmtId="1" fontId="22" fillId="0" borderId="0" xfId="1" applyNumberFormat="1" applyFont="1" applyFill="1" applyBorder="1" applyAlignment="1" applyProtection="1">
      <alignment horizontal="right" vertical="center"/>
      <protection locked="0"/>
    </xf>
    <xf numFmtId="169" fontId="9" fillId="0" borderId="0" xfId="1" applyNumberFormat="1" applyFont="1" applyFill="1" applyBorder="1" applyAlignment="1" applyProtection="1">
      <alignment horizontal="right" vertical="center"/>
      <protection locked="0"/>
    </xf>
    <xf numFmtId="169" fontId="9" fillId="3" borderId="0" xfId="1" applyNumberFormat="1" applyFont="1" applyFill="1" applyBorder="1" applyAlignment="1" applyProtection="1">
      <alignment horizontal="right" vertical="center"/>
      <protection locked="0"/>
    </xf>
    <xf numFmtId="168" fontId="9" fillId="0" borderId="0" xfId="2" applyNumberFormat="1" applyFont="1" applyFill="1" applyAlignment="1" applyProtection="1">
      <alignment horizontal="right"/>
      <protection locked="0"/>
    </xf>
    <xf numFmtId="168" fontId="9" fillId="3" borderId="0" xfId="2" applyNumberFormat="1" applyFont="1" applyFill="1" applyAlignment="1" applyProtection="1">
      <alignment horizontal="right"/>
      <protection locked="0"/>
    </xf>
    <xf numFmtId="1" fontId="9" fillId="0" borderId="0" xfId="0" applyNumberFormat="1" applyFont="1" applyProtection="1">
      <protection locked="0"/>
    </xf>
    <xf numFmtId="175" fontId="9" fillId="0" borderId="0" xfId="1" applyNumberFormat="1" applyFont="1" applyFill="1" applyProtection="1">
      <protection locked="0"/>
    </xf>
    <xf numFmtId="9" fontId="9" fillId="0" borderId="0" xfId="2" applyFont="1" applyFill="1" applyProtection="1">
      <protection locked="0"/>
    </xf>
    <xf numFmtId="168" fontId="9" fillId="0" borderId="0" xfId="2" applyNumberFormat="1" applyFont="1" applyFill="1" applyProtection="1">
      <protection locked="0"/>
    </xf>
    <xf numFmtId="0" fontId="9" fillId="0" borderId="0" xfId="0" applyFont="1" applyAlignment="1" applyProtection="1">
      <alignment vertical="center"/>
      <protection locked="0"/>
    </xf>
    <xf numFmtId="177" fontId="9" fillId="3" borderId="0" xfId="1" applyNumberFormat="1" applyFont="1" applyFill="1" applyBorder="1" applyAlignment="1" applyProtection="1">
      <alignment horizontal="right" vertical="center"/>
      <protection locked="0"/>
    </xf>
    <xf numFmtId="169" fontId="30" fillId="3" borderId="0" xfId="1" applyNumberFormat="1" applyFont="1" applyFill="1" applyBorder="1" applyAlignment="1" applyProtection="1">
      <alignment horizontal="right" vertical="center"/>
      <protection locked="0"/>
    </xf>
    <xf numFmtId="169" fontId="30" fillId="0" borderId="0" xfId="1" applyNumberFormat="1" applyFont="1" applyFill="1" applyBorder="1" applyAlignment="1" applyProtection="1">
      <alignment horizontal="right" vertical="center"/>
      <protection locked="0"/>
    </xf>
    <xf numFmtId="174" fontId="9" fillId="0" borderId="0" xfId="1"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vertical="center"/>
      <protection locked="0"/>
    </xf>
    <xf numFmtId="0" fontId="21" fillId="0" borderId="0" xfId="0" applyFont="1" applyProtection="1">
      <protection locked="0"/>
    </xf>
    <xf numFmtId="0" fontId="30" fillId="0" borderId="0" xfId="0" applyFont="1" applyProtection="1">
      <protection locked="0"/>
    </xf>
    <xf numFmtId="3" fontId="9" fillId="0" borderId="0" xfId="0" applyNumberFormat="1" applyFont="1" applyProtection="1">
      <protection locked="0"/>
    </xf>
    <xf numFmtId="167" fontId="25" fillId="3" borderId="0" xfId="1"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left"/>
      <protection locked="0"/>
    </xf>
    <xf numFmtId="176" fontId="25" fillId="3" borderId="0" xfId="1" applyNumberFormat="1" applyFont="1" applyFill="1" applyBorder="1" applyAlignment="1" applyProtection="1">
      <alignment vertical="center" wrapText="1"/>
      <protection locked="0"/>
    </xf>
    <xf numFmtId="176" fontId="25" fillId="0" borderId="0" xfId="1" applyNumberFormat="1" applyFont="1" applyFill="1" applyBorder="1" applyAlignment="1" applyProtection="1">
      <alignment vertical="center"/>
      <protection locked="0"/>
    </xf>
    <xf numFmtId="176" fontId="25" fillId="3" borderId="0" xfId="1" applyNumberFormat="1" applyFont="1" applyFill="1" applyBorder="1" applyAlignment="1" applyProtection="1">
      <alignment vertical="center"/>
      <protection locked="0"/>
    </xf>
    <xf numFmtId="168" fontId="9" fillId="0" borderId="0" xfId="2" applyNumberFormat="1" applyFont="1" applyFill="1" applyBorder="1" applyAlignment="1" applyProtection="1">
      <alignment horizontal="left" vertical="center"/>
      <protection locked="0"/>
    </xf>
    <xf numFmtId="166" fontId="9" fillId="0" borderId="0" xfId="1"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protection locked="0"/>
    </xf>
    <xf numFmtId="166" fontId="9" fillId="0" borderId="0" xfId="1" applyNumberFormat="1" applyFont="1" applyFill="1" applyBorder="1" applyAlignment="1" applyProtection="1">
      <alignment horizontal="left" vertical="center"/>
      <protection locked="0"/>
    </xf>
    <xf numFmtId="168" fontId="26" fillId="0" borderId="1" xfId="2" applyNumberFormat="1" applyFont="1" applyFill="1" applyBorder="1" applyAlignment="1" applyProtection="1">
      <alignment horizontal="right"/>
      <protection locked="0"/>
    </xf>
    <xf numFmtId="172" fontId="25" fillId="3" borderId="0" xfId="1" applyNumberFormat="1" applyFont="1" applyFill="1" applyBorder="1" applyAlignment="1" applyProtection="1">
      <alignment horizontal="right"/>
      <protection locked="0"/>
    </xf>
    <xf numFmtId="172" fontId="9" fillId="0" borderId="0" xfId="1" applyNumberFormat="1" applyFont="1" applyFill="1" applyBorder="1" applyAlignment="1" applyProtection="1">
      <alignment horizontal="right"/>
      <protection locked="0"/>
    </xf>
    <xf numFmtId="172" fontId="9" fillId="3" borderId="0" xfId="1" applyNumberFormat="1" applyFont="1" applyFill="1" applyBorder="1" applyAlignment="1" applyProtection="1">
      <alignment horizontal="right"/>
      <protection locked="0"/>
    </xf>
    <xf numFmtId="0" fontId="9" fillId="3" borderId="0" xfId="0" applyFont="1" applyFill="1" applyProtection="1">
      <protection locked="0"/>
    </xf>
    <xf numFmtId="0" fontId="9" fillId="3" borderId="0" xfId="0" applyFont="1" applyFill="1" applyAlignment="1" applyProtection="1">
      <alignment horizontal="right"/>
      <protection locked="0"/>
    </xf>
    <xf numFmtId="172" fontId="25" fillId="0" borderId="0" xfId="1" applyNumberFormat="1" applyFont="1" applyFill="1" applyBorder="1" applyAlignment="1" applyProtection="1">
      <alignment horizontal="right"/>
      <protection locked="0"/>
    </xf>
    <xf numFmtId="174" fontId="21" fillId="0" borderId="3" xfId="2" applyNumberFormat="1" applyFont="1" applyFill="1" applyBorder="1" applyAlignment="1" applyProtection="1">
      <alignment horizontal="right"/>
      <protection locked="0"/>
    </xf>
    <xf numFmtId="174" fontId="21" fillId="3" borderId="3" xfId="2" applyNumberFormat="1" applyFont="1" applyFill="1" applyBorder="1" applyAlignment="1" applyProtection="1">
      <alignment horizontal="right"/>
      <protection locked="0"/>
    </xf>
    <xf numFmtId="168" fontId="26" fillId="0" borderId="0" xfId="2" applyNumberFormat="1" applyFont="1" applyFill="1" applyBorder="1" applyAlignment="1" applyProtection="1">
      <alignment horizontal="right"/>
      <protection locked="0"/>
    </xf>
    <xf numFmtId="172" fontId="26" fillId="0" borderId="0" xfId="1" applyNumberFormat="1" applyFont="1" applyFill="1" applyBorder="1" applyAlignment="1" applyProtection="1">
      <alignment horizontal="right"/>
      <protection locked="0"/>
    </xf>
    <xf numFmtId="172" fontId="21" fillId="0" borderId="0" xfId="1" applyNumberFormat="1" applyFont="1" applyFill="1" applyBorder="1" applyAlignment="1" applyProtection="1">
      <alignment horizontal="right"/>
      <protection locked="0"/>
    </xf>
    <xf numFmtId="168" fontId="9" fillId="0" borderId="0" xfId="0" applyNumberFormat="1" applyFont="1" applyProtection="1">
      <protection locked="0"/>
    </xf>
    <xf numFmtId="0" fontId="9" fillId="4" borderId="0" xfId="0" applyFont="1" applyFill="1" applyAlignment="1" applyProtection="1">
      <alignment horizontal="right"/>
      <protection locked="0"/>
    </xf>
    <xf numFmtId="172" fontId="25" fillId="4" borderId="0" xfId="1" applyNumberFormat="1" applyFont="1" applyFill="1" applyBorder="1" applyAlignment="1" applyProtection="1">
      <alignment horizontal="right"/>
      <protection locked="0"/>
    </xf>
    <xf numFmtId="172" fontId="25" fillId="0" borderId="0" xfId="1" applyNumberFormat="1" applyFont="1" applyFill="1" applyAlignment="1" applyProtection="1">
      <alignment horizontal="right"/>
      <protection locked="0"/>
    </xf>
    <xf numFmtId="172" fontId="25" fillId="4" borderId="0" xfId="1" applyNumberFormat="1" applyFont="1" applyFill="1" applyAlignment="1" applyProtection="1">
      <alignment horizontal="right"/>
      <protection locked="0"/>
    </xf>
    <xf numFmtId="172" fontId="9" fillId="0" borderId="0" xfId="0" applyNumberFormat="1" applyFont="1" applyProtection="1">
      <protection locked="0"/>
    </xf>
    <xf numFmtId="172" fontId="9" fillId="4" borderId="0" xfId="0" applyNumberFormat="1" applyFont="1" applyFill="1" applyProtection="1">
      <protection locked="0"/>
    </xf>
    <xf numFmtId="172" fontId="9" fillId="3" borderId="0" xfId="1" applyNumberFormat="1" applyFont="1" applyFill="1" applyAlignment="1" applyProtection="1">
      <alignment horizontal="right"/>
      <protection locked="0"/>
    </xf>
    <xf numFmtId="172" fontId="9" fillId="0" borderId="0" xfId="1" applyNumberFormat="1" applyFont="1" applyFill="1" applyAlignment="1" applyProtection="1">
      <alignment horizontal="right"/>
      <protection locked="0"/>
    </xf>
    <xf numFmtId="172" fontId="9" fillId="3" borderId="0" xfId="0" applyNumberFormat="1" applyFont="1" applyFill="1" applyAlignment="1" applyProtection="1">
      <alignment horizontal="right"/>
      <protection locked="0"/>
    </xf>
    <xf numFmtId="172" fontId="9" fillId="0" borderId="0" xfId="0" applyNumberFormat="1" applyFont="1" applyAlignment="1" applyProtection="1">
      <alignment horizontal="right"/>
      <protection locked="0"/>
    </xf>
    <xf numFmtId="0" fontId="4" fillId="0" borderId="0" xfId="0" applyFont="1" applyProtection="1">
      <protection locked="0"/>
    </xf>
    <xf numFmtId="0" fontId="4" fillId="0" borderId="0" xfId="0" applyFont="1" applyAlignment="1" applyProtection="1">
      <alignment horizontal="right"/>
      <protection locked="0"/>
    </xf>
    <xf numFmtId="1" fontId="43" fillId="0" borderId="0" xfId="1" applyNumberFormat="1" applyFont="1" applyFill="1" applyBorder="1" applyAlignment="1" applyProtection="1">
      <alignment horizontal="right" vertical="center"/>
      <protection locked="0"/>
    </xf>
    <xf numFmtId="165" fontId="44" fillId="0" borderId="0" xfId="1" applyNumberFormat="1" applyFont="1" applyFill="1" applyBorder="1" applyAlignment="1" applyProtection="1">
      <alignment horizontal="right" vertical="center"/>
      <protection locked="0"/>
    </xf>
    <xf numFmtId="0" fontId="45" fillId="0" borderId="0" xfId="0" applyFont="1" applyAlignment="1" applyProtection="1">
      <alignment horizontal="left"/>
      <protection locked="0"/>
    </xf>
    <xf numFmtId="0" fontId="4" fillId="0" borderId="0" xfId="0" applyFont="1" applyAlignment="1" applyProtection="1">
      <alignment horizontal="left"/>
      <protection locked="0"/>
    </xf>
    <xf numFmtId="164" fontId="33" fillId="0" borderId="0" xfId="1" applyFont="1" applyFill="1" applyAlignment="1" applyProtection="1">
      <alignment horizontal="left" vertical="center" indent="1"/>
      <protection locked="0"/>
    </xf>
    <xf numFmtId="172" fontId="25" fillId="3" borderId="0" xfId="1" applyNumberFormat="1" applyFont="1" applyFill="1" applyBorder="1" applyAlignment="1" applyProtection="1">
      <alignment horizontal="right" wrapText="1"/>
      <protection locked="0"/>
    </xf>
    <xf numFmtId="172" fontId="25" fillId="0" borderId="0" xfId="1" applyNumberFormat="1" applyFont="1" applyFill="1" applyBorder="1" applyAlignment="1" applyProtection="1">
      <alignment horizontal="right" wrapText="1"/>
      <protection locked="0"/>
    </xf>
    <xf numFmtId="168" fontId="25" fillId="3" borderId="0" xfId="2" applyNumberFormat="1" applyFont="1" applyFill="1" applyBorder="1" applyAlignment="1" applyProtection="1">
      <alignment horizontal="right"/>
      <protection locked="0"/>
    </xf>
    <xf numFmtId="168" fontId="25" fillId="0" borderId="0" xfId="2" applyNumberFormat="1" applyFont="1" applyFill="1" applyBorder="1" applyAlignment="1" applyProtection="1">
      <alignment horizontal="right"/>
      <protection locked="0"/>
    </xf>
    <xf numFmtId="172" fontId="45" fillId="0" borderId="0" xfId="1" applyNumberFormat="1" applyFont="1" applyFill="1" applyBorder="1" applyAlignment="1" applyProtection="1">
      <alignment horizontal="right"/>
      <protection locked="0"/>
    </xf>
    <xf numFmtId="168" fontId="45" fillId="0" borderId="0" xfId="2" applyNumberFormat="1" applyFont="1" applyFill="1" applyBorder="1" applyAlignment="1" applyProtection="1">
      <alignment horizontal="right"/>
      <protection locked="0"/>
    </xf>
    <xf numFmtId="168" fontId="9" fillId="3" borderId="0" xfId="2" applyNumberFormat="1" applyFont="1" applyFill="1" applyBorder="1" applyAlignment="1" applyProtection="1">
      <alignment horizontal="right" vertical="center" wrapText="1"/>
      <protection locked="0"/>
    </xf>
    <xf numFmtId="168" fontId="9" fillId="0" borderId="0" xfId="2" applyNumberFormat="1" applyFont="1" applyFill="1" applyBorder="1" applyAlignment="1" applyProtection="1">
      <alignment horizontal="right" vertical="center" wrapText="1"/>
      <protection locked="0"/>
    </xf>
    <xf numFmtId="0" fontId="29" fillId="0" borderId="0" xfId="0" applyFont="1" applyProtection="1">
      <protection locked="0"/>
    </xf>
    <xf numFmtId="174" fontId="9" fillId="3" borderId="0" xfId="2" applyNumberFormat="1" applyFont="1" applyFill="1" applyBorder="1" applyAlignment="1" applyProtection="1">
      <alignment horizontal="right" vertical="center" wrapText="1"/>
      <protection locked="0"/>
    </xf>
    <xf numFmtId="174" fontId="9" fillId="0" borderId="0" xfId="2" applyNumberFormat="1" applyFont="1" applyFill="1" applyBorder="1" applyAlignment="1" applyProtection="1">
      <alignment horizontal="right" vertical="center" wrapText="1"/>
      <protection locked="0"/>
    </xf>
    <xf numFmtId="168" fontId="9" fillId="0" borderId="0" xfId="2" applyNumberFormat="1" applyFont="1" applyAlignment="1" applyProtection="1">
      <alignment horizontal="right"/>
      <protection locked="0"/>
    </xf>
    <xf numFmtId="0" fontId="25" fillId="0" borderId="0" xfId="0" applyFont="1" applyProtection="1">
      <protection locked="0"/>
    </xf>
    <xf numFmtId="172" fontId="25" fillId="0" borderId="0" xfId="1" applyNumberFormat="1" applyFont="1" applyFill="1" applyBorder="1" applyProtection="1">
      <protection locked="0"/>
    </xf>
    <xf numFmtId="0" fontId="25" fillId="0" borderId="0" xfId="0" applyFont="1" applyAlignment="1" applyProtection="1">
      <alignment horizontal="left" vertical="center" indent="3"/>
      <protection locked="0"/>
    </xf>
    <xf numFmtId="172" fontId="25" fillId="3" borderId="0" xfId="1" applyNumberFormat="1" applyFont="1" applyFill="1" applyBorder="1" applyAlignment="1" applyProtection="1">
      <alignment horizontal="right" vertical="center"/>
      <protection locked="0"/>
    </xf>
    <xf numFmtId="172" fontId="25" fillId="0" borderId="0" xfId="1" applyNumberFormat="1" applyFont="1" applyFill="1" applyBorder="1" applyAlignment="1" applyProtection="1">
      <alignment horizontal="right" vertical="center"/>
      <protection locked="0"/>
    </xf>
    <xf numFmtId="172" fontId="9" fillId="3" borderId="0" xfId="0" applyNumberFormat="1" applyFont="1" applyFill="1" applyProtection="1">
      <protection locked="0"/>
    </xf>
    <xf numFmtId="0" fontId="29" fillId="0" borderId="0" xfId="0" applyFont="1" applyAlignment="1" applyProtection="1">
      <alignment horizontal="left"/>
      <protection locked="0"/>
    </xf>
    <xf numFmtId="9" fontId="9" fillId="0" borderId="0" xfId="0" applyNumberFormat="1" applyFont="1" applyProtection="1">
      <protection locked="0"/>
    </xf>
    <xf numFmtId="164" fontId="9" fillId="0" borderId="0" xfId="0" applyNumberFormat="1" applyFont="1" applyProtection="1">
      <protection locked="0"/>
    </xf>
    <xf numFmtId="172" fontId="25" fillId="0" borderId="0" xfId="1" applyNumberFormat="1" applyFont="1" applyFill="1" applyBorder="1" applyAlignment="1" applyProtection="1">
      <alignment horizontal="center" vertical="center" wrapText="1"/>
      <protection locked="0"/>
    </xf>
    <xf numFmtId="172" fontId="25" fillId="3" borderId="0" xfId="1" applyNumberFormat="1" applyFont="1" applyFill="1" applyBorder="1" applyAlignment="1" applyProtection="1">
      <alignment horizontal="center" vertical="center" wrapText="1"/>
      <protection locked="0"/>
    </xf>
    <xf numFmtId="168" fontId="25" fillId="0" borderId="0" xfId="2" applyNumberFormat="1" applyFont="1" applyFill="1" applyBorder="1" applyAlignment="1" applyProtection="1">
      <alignment horizontal="right" vertical="center"/>
      <protection locked="0"/>
    </xf>
    <xf numFmtId="165" fontId="26" fillId="3" borderId="0" xfId="1" applyNumberFormat="1" applyFont="1" applyFill="1" applyBorder="1" applyAlignment="1" applyProtection="1">
      <alignment horizontal="left" vertical="center" wrapText="1"/>
      <protection locked="0"/>
    </xf>
    <xf numFmtId="0" fontId="26" fillId="0" borderId="0" xfId="0" applyFont="1" applyProtection="1">
      <protection locked="0"/>
    </xf>
    <xf numFmtId="168" fontId="25" fillId="3" borderId="0" xfId="2" applyNumberFormat="1" applyFont="1" applyFill="1" applyBorder="1" applyAlignment="1" applyProtection="1">
      <alignment horizontal="right" vertical="center"/>
      <protection locked="0"/>
    </xf>
    <xf numFmtId="172" fontId="9" fillId="0" borderId="0" xfId="1" applyNumberFormat="1" applyFont="1" applyFill="1" applyBorder="1" applyProtection="1">
      <protection locked="0"/>
    </xf>
    <xf numFmtId="172" fontId="26" fillId="0" borderId="0" xfId="1" applyNumberFormat="1" applyFont="1" applyFill="1" applyBorder="1" applyAlignment="1" applyProtection="1">
      <alignment horizontal="right" vertical="center"/>
      <protection locked="0"/>
    </xf>
    <xf numFmtId="9" fontId="25" fillId="0" borderId="0" xfId="2" applyFont="1" applyFill="1" applyBorder="1" applyAlignment="1" applyProtection="1">
      <alignment horizontal="right" vertical="center"/>
      <protection locked="0"/>
    </xf>
    <xf numFmtId="172" fontId="25" fillId="3" borderId="0" xfId="0" applyNumberFormat="1" applyFont="1" applyFill="1" applyAlignment="1" applyProtection="1">
      <alignment horizontal="right" vertical="center" wrapText="1"/>
      <protection locked="0"/>
    </xf>
    <xf numFmtId="168" fontId="9" fillId="0" borderId="0" xfId="2" applyNumberFormat="1" applyFont="1" applyProtection="1">
      <protection locked="0"/>
    </xf>
    <xf numFmtId="172" fontId="9" fillId="3" borderId="0" xfId="1" applyNumberFormat="1" applyFont="1" applyFill="1" applyBorder="1" applyProtection="1">
      <protection locked="0"/>
    </xf>
    <xf numFmtId="172" fontId="9" fillId="0" borderId="0" xfId="1" applyNumberFormat="1" applyFont="1" applyFill="1" applyBorder="1" applyAlignment="1" applyProtection="1">
      <alignment horizontal="center"/>
      <protection locked="0"/>
    </xf>
    <xf numFmtId="172" fontId="9" fillId="3" borderId="0" xfId="1" applyNumberFormat="1" applyFont="1" applyFill="1" applyBorder="1" applyAlignment="1" applyProtection="1">
      <alignment horizontal="center"/>
      <protection locked="0"/>
    </xf>
    <xf numFmtId="0" fontId="21" fillId="3" borderId="0" xfId="0" applyFont="1" applyFill="1" applyProtection="1">
      <protection locked="0"/>
    </xf>
    <xf numFmtId="9" fontId="9" fillId="0" borderId="0" xfId="2" applyFont="1" applyProtection="1">
      <protection locked="0"/>
    </xf>
    <xf numFmtId="168" fontId="9" fillId="3" borderId="0" xfId="2" applyNumberFormat="1" applyFont="1" applyFill="1" applyProtection="1">
      <protection locked="0"/>
    </xf>
    <xf numFmtId="172" fontId="25" fillId="3" borderId="0" xfId="1" applyNumberFormat="1" applyFont="1" applyFill="1" applyAlignment="1" applyProtection="1">
      <alignment horizontal="right"/>
      <protection locked="0"/>
    </xf>
    <xf numFmtId="0" fontId="25" fillId="0" borderId="0" xfId="0" applyFont="1" applyAlignment="1" applyProtection="1">
      <alignment vertical="center"/>
      <protection locked="0"/>
    </xf>
    <xf numFmtId="172" fontId="26" fillId="3" borderId="0" xfId="1" applyNumberFormat="1" applyFont="1" applyFill="1" applyBorder="1" applyAlignment="1" applyProtection="1">
      <alignment horizontal="right" vertical="center"/>
      <protection locked="0"/>
    </xf>
    <xf numFmtId="172" fontId="25" fillId="3" borderId="0" xfId="1" applyNumberFormat="1" applyFont="1" applyFill="1" applyAlignment="1" applyProtection="1">
      <alignment horizontal="right" vertical="center"/>
      <protection locked="0"/>
    </xf>
    <xf numFmtId="171" fontId="9" fillId="0" borderId="0" xfId="0" applyNumberFormat="1" applyFont="1" applyProtection="1">
      <protection locked="0"/>
    </xf>
    <xf numFmtId="0" fontId="21"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26" fillId="0" borderId="0" xfId="0" applyFont="1" applyAlignment="1" applyProtection="1">
      <alignment horizontal="right" vertical="center"/>
      <protection locked="0"/>
    </xf>
    <xf numFmtId="172" fontId="26" fillId="0" borderId="0" xfId="0" applyNumberFormat="1" applyFont="1" applyAlignment="1" applyProtection="1">
      <alignment horizontal="right" vertical="center"/>
      <protection locked="0"/>
    </xf>
    <xf numFmtId="172" fontId="25" fillId="3" borderId="0" xfId="1" applyNumberFormat="1" applyFont="1" applyFill="1" applyBorder="1" applyAlignment="1" applyProtection="1">
      <alignment vertical="center"/>
      <protection locked="0"/>
    </xf>
    <xf numFmtId="172" fontId="25" fillId="0" borderId="0" xfId="1" applyNumberFormat="1" applyFont="1" applyFill="1" applyBorder="1" applyAlignment="1" applyProtection="1">
      <alignment vertical="center"/>
      <protection locked="0"/>
    </xf>
    <xf numFmtId="0" fontId="25" fillId="0" borderId="0" xfId="0" applyFont="1" applyAlignment="1" applyProtection="1">
      <alignment horizontal="left" vertical="center"/>
      <protection locked="0"/>
    </xf>
    <xf numFmtId="164" fontId="9" fillId="0" borderId="0" xfId="2"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vertical="center"/>
      <protection locked="0"/>
    </xf>
    <xf numFmtId="172" fontId="21" fillId="0" borderId="0" xfId="1" applyNumberFormat="1" applyFont="1" applyFill="1" applyBorder="1" applyAlignment="1" applyProtection="1">
      <alignment horizontal="right" vertical="center"/>
      <protection locked="0"/>
    </xf>
    <xf numFmtId="166" fontId="21" fillId="0" borderId="0" xfId="1" applyNumberFormat="1" applyFont="1" applyFill="1" applyBorder="1" applyAlignment="1" applyProtection="1">
      <alignment horizontal="right" vertical="center"/>
      <protection locked="0"/>
    </xf>
    <xf numFmtId="172"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175" fontId="25" fillId="3" borderId="0" xfId="1" applyNumberFormat="1" applyFont="1" applyFill="1" applyBorder="1" applyAlignment="1" applyProtection="1">
      <alignment vertical="center"/>
      <protection locked="0"/>
    </xf>
    <xf numFmtId="183" fontId="25" fillId="3" borderId="0" xfId="2" applyNumberFormat="1" applyFont="1" applyFill="1" applyBorder="1" applyAlignment="1" applyProtection="1">
      <alignment vertical="center"/>
      <protection locked="0"/>
    </xf>
    <xf numFmtId="175" fontId="25" fillId="0" borderId="0" xfId="1" applyNumberFormat="1" applyFont="1" applyFill="1" applyBorder="1" applyAlignment="1" applyProtection="1">
      <alignment vertical="center"/>
      <protection locked="0"/>
    </xf>
    <xf numFmtId="183" fontId="25" fillId="0" borderId="0" xfId="2" applyNumberFormat="1" applyFont="1" applyFill="1" applyBorder="1" applyAlignment="1" applyProtection="1">
      <alignment vertical="center"/>
      <protection locked="0"/>
    </xf>
    <xf numFmtId="180" fontId="25" fillId="0" borderId="0" xfId="2" applyNumberFormat="1" applyFont="1" applyFill="1" applyBorder="1" applyAlignment="1" applyProtection="1">
      <alignment vertical="center"/>
      <protection locked="0"/>
    </xf>
    <xf numFmtId="172" fontId="9" fillId="0" borderId="0" xfId="1" applyNumberFormat="1" applyFont="1" applyFill="1" applyBorder="1" applyAlignment="1" applyProtection="1">
      <alignment horizontal="right" vertical="center"/>
      <protection locked="0"/>
    </xf>
    <xf numFmtId="181" fontId="25" fillId="0" borderId="0" xfId="2" applyNumberFormat="1" applyFont="1" applyFill="1" applyBorder="1" applyAlignment="1" applyProtection="1">
      <alignment vertical="center"/>
      <protection locked="0"/>
    </xf>
    <xf numFmtId="181" fontId="25" fillId="0" borderId="0" xfId="2" applyNumberFormat="1" applyFont="1" applyFill="1" applyBorder="1" applyAlignment="1" applyProtection="1">
      <alignment horizontal="right" vertical="center"/>
      <protection locked="0"/>
    </xf>
    <xf numFmtId="183" fontId="25" fillId="0" borderId="0" xfId="2" applyNumberFormat="1" applyFont="1" applyFill="1" applyBorder="1" applyAlignment="1" applyProtection="1">
      <alignment horizontal="right" vertical="center"/>
      <protection locked="0"/>
    </xf>
    <xf numFmtId="168"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vertical="center"/>
      <protection locked="0"/>
    </xf>
    <xf numFmtId="182" fontId="25" fillId="3" borderId="0" xfId="2" applyNumberFormat="1" applyFont="1" applyFill="1" applyBorder="1" applyAlignment="1" applyProtection="1">
      <alignment horizontal="right" vertical="center"/>
      <protection locked="0"/>
    </xf>
    <xf numFmtId="180" fontId="25" fillId="0" borderId="0" xfId="2" applyNumberFormat="1" applyFont="1" applyFill="1" applyBorder="1" applyAlignment="1" applyProtection="1">
      <alignment horizontal="right" vertical="center"/>
      <protection locked="0"/>
    </xf>
    <xf numFmtId="175" fontId="9" fillId="0" borderId="0" xfId="1" applyNumberFormat="1" applyFont="1" applyFill="1" applyBorder="1" applyAlignment="1" applyProtection="1">
      <alignment horizontal="right" vertical="center"/>
      <protection locked="0"/>
    </xf>
    <xf numFmtId="180" fontId="25" fillId="3" borderId="0" xfId="2" applyNumberFormat="1" applyFont="1" applyFill="1" applyBorder="1" applyAlignment="1" applyProtection="1">
      <alignment horizontal="right" vertical="center"/>
      <protection locked="0"/>
    </xf>
    <xf numFmtId="168"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vertical="center"/>
      <protection locked="0"/>
    </xf>
    <xf numFmtId="182" fontId="25" fillId="0" borderId="0" xfId="2" applyNumberFormat="1" applyFont="1" applyFill="1" applyBorder="1" applyAlignment="1" applyProtection="1">
      <alignment horizontal="right" vertical="center"/>
      <protection locked="0"/>
    </xf>
    <xf numFmtId="168" fontId="9" fillId="0" borderId="0" xfId="2" applyNumberFormat="1" applyFont="1" applyFill="1" applyBorder="1" applyAlignment="1" applyProtection="1">
      <alignment horizontal="right" vertical="center"/>
      <protection locked="0"/>
    </xf>
    <xf numFmtId="172" fontId="26" fillId="3" borderId="0" xfId="1" applyNumberFormat="1" applyFont="1" applyFill="1" applyBorder="1" applyAlignment="1" applyProtection="1">
      <alignment horizontal="right"/>
      <protection locked="0"/>
    </xf>
    <xf numFmtId="0" fontId="26" fillId="0" borderId="0" xfId="0" applyFont="1" applyAlignment="1" applyProtection="1">
      <alignment horizontal="left" vertical="center"/>
      <protection locked="0"/>
    </xf>
    <xf numFmtId="168" fontId="26" fillId="4" borderId="0" xfId="2" applyNumberFormat="1" applyFont="1" applyFill="1" applyBorder="1" applyAlignment="1" applyProtection="1">
      <alignment horizontal="right"/>
      <protection locked="0"/>
    </xf>
    <xf numFmtId="165" fontId="26" fillId="0" borderId="0" xfId="1" applyNumberFormat="1" applyFont="1" applyFill="1" applyBorder="1" applyAlignment="1" applyProtection="1">
      <alignment vertical="center" wrapText="1"/>
      <protection locked="0"/>
    </xf>
    <xf numFmtId="167" fontId="26" fillId="3" borderId="0" xfId="1" applyNumberFormat="1" applyFont="1" applyFill="1" applyBorder="1" applyAlignment="1" applyProtection="1">
      <alignment horizontal="right" vertical="center" wrapText="1"/>
      <protection locked="0"/>
    </xf>
    <xf numFmtId="0" fontId="48" fillId="0" borderId="0" xfId="0" applyFont="1" applyAlignment="1" applyProtection="1">
      <alignment horizontal="left" vertical="center"/>
      <protection locked="0" hidden="1"/>
    </xf>
    <xf numFmtId="165" fontId="48" fillId="0" borderId="5" xfId="1" applyNumberFormat="1" applyFont="1" applyFill="1" applyBorder="1" applyAlignment="1" applyProtection="1">
      <alignment horizontal="center" vertical="center"/>
      <protection locked="0" hidden="1"/>
    </xf>
    <xf numFmtId="165" fontId="48" fillId="0" borderId="8" xfId="1" applyNumberFormat="1" applyFont="1" applyFill="1" applyBorder="1" applyAlignment="1" applyProtection="1">
      <alignment horizontal="center" vertical="center"/>
      <protection locked="0" hidden="1"/>
    </xf>
    <xf numFmtId="0" fontId="26" fillId="0" borderId="0" xfId="0" applyFont="1" applyAlignment="1" applyProtection="1">
      <alignment horizontal="left" vertical="center"/>
      <protection locked="0" hidden="1"/>
    </xf>
    <xf numFmtId="0" fontId="25" fillId="3" borderId="9" xfId="0" applyFont="1" applyFill="1" applyBorder="1" applyAlignment="1" applyProtection="1">
      <alignment horizontal="left" vertical="center" indent="1"/>
      <protection locked="0" hidden="1"/>
    </xf>
    <xf numFmtId="175" fontId="25" fillId="3" borderId="9" xfId="1" applyNumberFormat="1" applyFont="1" applyFill="1" applyBorder="1" applyAlignment="1" applyProtection="1">
      <alignment vertical="center"/>
      <protection locked="0"/>
    </xf>
    <xf numFmtId="183" fontId="25" fillId="3" borderId="9" xfId="2" applyNumberFormat="1" applyFont="1" applyFill="1" applyBorder="1" applyAlignment="1" applyProtection="1">
      <alignment vertical="center"/>
      <protection locked="0"/>
    </xf>
    <xf numFmtId="0" fontId="26" fillId="3" borderId="0" xfId="0" applyFont="1" applyFill="1" applyAlignment="1" applyProtection="1">
      <alignment horizontal="left" vertical="center"/>
      <protection locked="0" hidden="1"/>
    </xf>
    <xf numFmtId="0" fontId="9" fillId="3" borderId="0" xfId="0" applyFont="1" applyFill="1" applyAlignment="1" applyProtection="1">
      <alignment horizontal="right" vertical="center"/>
      <protection locked="0"/>
    </xf>
    <xf numFmtId="180" fontId="9" fillId="3" borderId="0" xfId="2" applyNumberFormat="1" applyFont="1" applyFill="1" applyBorder="1" applyAlignment="1" applyProtection="1">
      <alignment horizontal="right" vertical="center"/>
      <protection locked="0"/>
    </xf>
    <xf numFmtId="181" fontId="9" fillId="3" borderId="0" xfId="2" applyNumberFormat="1" applyFont="1" applyFill="1" applyBorder="1" applyAlignment="1" applyProtection="1">
      <alignment horizontal="right" vertical="center"/>
      <protection locked="0"/>
    </xf>
    <xf numFmtId="180" fontId="9" fillId="0" borderId="0" xfId="2" applyNumberFormat="1" applyFont="1" applyBorder="1" applyAlignment="1" applyProtection="1">
      <alignment horizontal="right" vertical="center"/>
      <protection locked="0"/>
    </xf>
    <xf numFmtId="0" fontId="25" fillId="0" borderId="9" xfId="0" applyFont="1" applyBorder="1" applyAlignment="1" applyProtection="1">
      <alignment horizontal="left" vertical="center" indent="1"/>
      <protection locked="0" hidden="1"/>
    </xf>
    <xf numFmtId="172" fontId="25" fillId="0" borderId="9" xfId="1" applyNumberFormat="1" applyFont="1" applyFill="1" applyBorder="1" applyAlignment="1" applyProtection="1">
      <alignment vertical="center"/>
      <protection locked="0"/>
    </xf>
    <xf numFmtId="183" fontId="25" fillId="0" borderId="9" xfId="2" applyNumberFormat="1" applyFont="1" applyFill="1" applyBorder="1" applyAlignment="1" applyProtection="1">
      <alignment vertical="center"/>
      <protection locked="0"/>
    </xf>
    <xf numFmtId="0" fontId="9" fillId="0" borderId="9" xfId="0" applyFont="1" applyBorder="1" applyAlignment="1" applyProtection="1">
      <alignment horizontal="left" vertical="center" indent="1"/>
      <protection locked="0" hidden="1"/>
    </xf>
    <xf numFmtId="183" fontId="25" fillId="0" borderId="9" xfId="2" applyNumberFormat="1" applyFont="1" applyFill="1" applyBorder="1" applyAlignment="1" applyProtection="1">
      <alignment horizontal="right" vertical="center"/>
      <protection locked="0"/>
    </xf>
    <xf numFmtId="165" fontId="25" fillId="3" borderId="9" xfId="1" applyNumberFormat="1" applyFont="1" applyFill="1" applyBorder="1" applyAlignment="1" applyProtection="1">
      <alignment horizontal="left" vertical="center" wrapText="1" indent="1"/>
      <protection locked="0" hidden="1"/>
    </xf>
    <xf numFmtId="168"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vertical="center"/>
      <protection locked="0"/>
    </xf>
    <xf numFmtId="182" fontId="25" fillId="3" borderId="9" xfId="2" applyNumberFormat="1" applyFont="1" applyFill="1" applyBorder="1" applyAlignment="1" applyProtection="1">
      <alignment horizontal="right" vertical="center"/>
      <protection locked="0"/>
    </xf>
    <xf numFmtId="168" fontId="25" fillId="0" borderId="9" xfId="2" applyNumberFormat="1" applyFont="1" applyFill="1" applyBorder="1" applyAlignment="1" applyProtection="1">
      <alignment vertical="center"/>
      <protection locked="0"/>
    </xf>
    <xf numFmtId="165" fontId="21" fillId="3" borderId="9" xfId="1" applyNumberFormat="1" applyFont="1" applyFill="1" applyBorder="1" applyAlignment="1" applyProtection="1">
      <alignment horizontal="left" vertical="center" wrapText="1"/>
      <protection locked="0" hidden="1"/>
    </xf>
    <xf numFmtId="172" fontId="21" fillId="3" borderId="9" xfId="1" applyNumberFormat="1" applyFont="1" applyFill="1" applyBorder="1" applyAlignment="1" applyProtection="1">
      <alignment horizontal="right" vertical="center"/>
      <protection locked="0"/>
    </xf>
    <xf numFmtId="0" fontId="21" fillId="3" borderId="9" xfId="0" applyFont="1" applyFill="1" applyBorder="1" applyAlignment="1" applyProtection="1">
      <alignment horizontal="left" vertical="center"/>
      <protection locked="0" hidden="1"/>
    </xf>
    <xf numFmtId="172" fontId="21" fillId="3" borderId="9" xfId="1" applyNumberFormat="1" applyFont="1" applyFill="1" applyBorder="1" applyAlignment="1" applyProtection="1">
      <alignment vertical="center"/>
      <protection locked="0"/>
    </xf>
    <xf numFmtId="0" fontId="26" fillId="3" borderId="9" xfId="0" applyFont="1" applyFill="1" applyBorder="1" applyAlignment="1" applyProtection="1">
      <alignment horizontal="left" vertical="center"/>
      <protection locked="0" hidden="1"/>
    </xf>
    <xf numFmtId="172" fontId="26" fillId="3" borderId="9" xfId="1" applyNumberFormat="1" applyFont="1" applyFill="1" applyBorder="1" applyAlignment="1" applyProtection="1">
      <alignment horizontal="right" vertical="center"/>
      <protection locked="0"/>
    </xf>
    <xf numFmtId="0" fontId="26" fillId="0" borderId="9" xfId="0" applyFont="1" applyBorder="1" applyAlignment="1" applyProtection="1">
      <alignment vertical="center"/>
      <protection locked="0" hidden="1"/>
    </xf>
    <xf numFmtId="172" fontId="26" fillId="0" borderId="9" xfId="1" applyNumberFormat="1" applyFont="1" applyFill="1" applyBorder="1" applyAlignment="1" applyProtection="1">
      <alignment horizontal="right" vertical="center"/>
      <protection locked="0"/>
    </xf>
    <xf numFmtId="0" fontId="26" fillId="3" borderId="9" xfId="0" applyFont="1" applyFill="1" applyBorder="1" applyAlignment="1" applyProtection="1">
      <alignment vertical="center"/>
      <protection locked="0" hidden="1"/>
    </xf>
    <xf numFmtId="165" fontId="26" fillId="3" borderId="9" xfId="1" applyNumberFormat="1" applyFont="1" applyFill="1" applyBorder="1" applyAlignment="1" applyProtection="1">
      <alignment horizontal="left" vertical="center" wrapText="1"/>
      <protection locked="0" hidden="1"/>
    </xf>
    <xf numFmtId="165" fontId="26" fillId="0" borderId="9" xfId="1" applyNumberFormat="1" applyFont="1" applyFill="1" applyBorder="1" applyAlignment="1" applyProtection="1">
      <alignment horizontal="left" vertical="center" wrapText="1"/>
      <protection locked="0" hidden="1"/>
    </xf>
    <xf numFmtId="0" fontId="25" fillId="3" borderId="9" xfId="0" applyFont="1" applyFill="1" applyBorder="1" applyAlignment="1" applyProtection="1">
      <alignment horizontal="left" indent="1"/>
      <protection locked="0" hidden="1"/>
    </xf>
    <xf numFmtId="172" fontId="25" fillId="3" borderId="9" xfId="1" applyNumberFormat="1" applyFont="1" applyFill="1" applyBorder="1" applyAlignment="1" applyProtection="1">
      <alignment horizontal="right"/>
      <protection locked="0"/>
    </xf>
    <xf numFmtId="165" fontId="26" fillId="0" borderId="9" xfId="1" applyNumberFormat="1" applyFont="1" applyFill="1" applyBorder="1" applyAlignment="1" applyProtection="1">
      <alignment horizontal="left" vertical="center" wrapText="1"/>
      <protection locked="0"/>
    </xf>
    <xf numFmtId="0" fontId="25" fillId="0" borderId="9" xfId="0" applyFont="1" applyBorder="1" applyAlignment="1" applyProtection="1">
      <alignment horizontal="left" indent="1"/>
      <protection locked="0" hidden="1"/>
    </xf>
    <xf numFmtId="172" fontId="25" fillId="0" borderId="9" xfId="1" applyNumberFormat="1" applyFont="1" applyFill="1" applyBorder="1" applyAlignment="1" applyProtection="1">
      <alignment horizontal="right"/>
      <protection locked="0"/>
    </xf>
    <xf numFmtId="172" fontId="25" fillId="3" borderId="9" xfId="1" applyNumberFormat="1" applyFont="1" applyFill="1" applyBorder="1" applyAlignment="1" applyProtection="1">
      <alignment horizontal="right" vertical="center"/>
      <protection locked="0"/>
    </xf>
    <xf numFmtId="0" fontId="21" fillId="3" borderId="9" xfId="0" applyFont="1" applyFill="1" applyBorder="1" applyProtection="1">
      <protection locked="0" hidden="1"/>
    </xf>
    <xf numFmtId="172" fontId="21" fillId="3" borderId="9" xfId="0" applyNumberFormat="1" applyFont="1" applyFill="1" applyBorder="1" applyProtection="1">
      <protection locked="0"/>
    </xf>
    <xf numFmtId="168" fontId="26" fillId="3" borderId="9" xfId="2" applyNumberFormat="1" applyFont="1" applyFill="1" applyBorder="1" applyAlignment="1" applyProtection="1">
      <alignment horizontal="right" vertical="center" wrapText="1"/>
      <protection locked="0"/>
    </xf>
    <xf numFmtId="168" fontId="26" fillId="0" borderId="9" xfId="2" applyNumberFormat="1" applyFont="1" applyFill="1" applyBorder="1" applyAlignment="1" applyProtection="1">
      <alignment horizontal="right" vertical="center" wrapText="1"/>
      <protection locked="0"/>
    </xf>
    <xf numFmtId="0" fontId="21" fillId="3" borderId="9" xfId="0" applyFont="1" applyFill="1" applyBorder="1" applyAlignment="1" applyProtection="1">
      <alignment horizontal="left"/>
      <protection locked="0" hidden="1"/>
    </xf>
    <xf numFmtId="172" fontId="25" fillId="0" borderId="9" xfId="1" applyNumberFormat="1" applyFont="1" applyFill="1" applyBorder="1" applyAlignment="1" applyProtection="1">
      <alignment horizontal="right" vertical="center"/>
      <protection locked="0"/>
    </xf>
    <xf numFmtId="165" fontId="9" fillId="3" borderId="9" xfId="1" applyNumberFormat="1" applyFont="1" applyFill="1" applyBorder="1" applyAlignment="1" applyProtection="1">
      <alignment horizontal="left" vertical="center" wrapText="1" indent="1"/>
      <protection locked="0" hidden="1"/>
    </xf>
    <xf numFmtId="168" fontId="9" fillId="3" borderId="9" xfId="2" applyNumberFormat="1" applyFont="1" applyFill="1" applyBorder="1" applyAlignment="1" applyProtection="1">
      <alignment horizontal="right" vertical="center" wrapText="1"/>
      <protection locked="0"/>
    </xf>
    <xf numFmtId="168" fontId="21" fillId="0" borderId="9" xfId="2" applyNumberFormat="1" applyFont="1" applyFill="1" applyBorder="1" applyAlignment="1" applyProtection="1">
      <alignment horizontal="right"/>
      <protection locked="0"/>
    </xf>
    <xf numFmtId="165" fontId="26" fillId="4" borderId="0" xfId="1" applyNumberFormat="1" applyFont="1" applyFill="1" applyBorder="1" applyAlignment="1" applyProtection="1">
      <alignment horizontal="left" vertical="center" wrapText="1"/>
      <protection locked="0" hidden="1"/>
    </xf>
    <xf numFmtId="0" fontId="9" fillId="4" borderId="9" xfId="0" applyFont="1" applyFill="1" applyBorder="1" applyAlignment="1" applyProtection="1">
      <alignment horizontal="left" vertical="center" wrapText="1" indent="1"/>
      <protection locked="0" hidden="1"/>
    </xf>
    <xf numFmtId="172" fontId="25" fillId="4" borderId="9" xfId="1" applyNumberFormat="1" applyFont="1" applyFill="1" applyBorder="1" applyAlignment="1" applyProtection="1">
      <alignment horizontal="right"/>
      <protection locked="0"/>
    </xf>
    <xf numFmtId="165" fontId="26" fillId="4" borderId="9" xfId="1" applyNumberFormat="1" applyFont="1" applyFill="1" applyBorder="1" applyAlignment="1" applyProtection="1">
      <alignment horizontal="left" vertical="center" wrapText="1"/>
      <protection locked="0" hidden="1"/>
    </xf>
    <xf numFmtId="168" fontId="21" fillId="4" borderId="9" xfId="2" applyNumberFormat="1" applyFont="1" applyFill="1" applyBorder="1" applyAlignment="1" applyProtection="1">
      <alignment horizontal="right"/>
      <protection locked="0"/>
    </xf>
    <xf numFmtId="165" fontId="25" fillId="0" borderId="9" xfId="1" applyNumberFormat="1" applyFont="1" applyFill="1" applyBorder="1" applyAlignment="1" applyProtection="1">
      <alignment horizontal="left" vertical="center" wrapText="1" indent="1"/>
      <protection locked="0" hidden="1"/>
    </xf>
    <xf numFmtId="174" fontId="21" fillId="0" borderId="9" xfId="2" applyNumberFormat="1" applyFont="1" applyFill="1" applyBorder="1" applyAlignment="1" applyProtection="1">
      <alignment horizontal="right"/>
      <protection locked="0"/>
    </xf>
    <xf numFmtId="165" fontId="25" fillId="3" borderId="9" xfId="1" applyNumberFormat="1" applyFont="1" applyFill="1" applyBorder="1" applyAlignment="1" applyProtection="1">
      <alignment horizontal="left" vertical="center" wrapText="1"/>
      <protection locked="0" hidden="1"/>
    </xf>
    <xf numFmtId="167" fontId="25" fillId="3" borderId="9" xfId="1" applyNumberFormat="1" applyFont="1" applyFill="1" applyBorder="1" applyAlignment="1" applyProtection="1">
      <alignment horizontal="right" vertical="center" wrapText="1"/>
      <protection locked="0"/>
    </xf>
    <xf numFmtId="165" fontId="26" fillId="0" borderId="0" xfId="1" applyNumberFormat="1" applyFont="1" applyFill="1" applyBorder="1" applyAlignment="1" applyProtection="1">
      <alignment vertical="center" wrapText="1"/>
      <protection locked="0" hidden="1"/>
    </xf>
    <xf numFmtId="166" fontId="9" fillId="3" borderId="9" xfId="1" applyNumberFormat="1" applyFont="1" applyFill="1" applyBorder="1" applyAlignment="1" applyProtection="1">
      <alignment horizontal="right" vertical="center"/>
      <protection locked="0"/>
    </xf>
    <xf numFmtId="0" fontId="25" fillId="3" borderId="9" xfId="0" applyFont="1" applyFill="1" applyBorder="1" applyAlignment="1" applyProtection="1">
      <alignment horizontal="left" vertical="center" wrapText="1" indent="1"/>
      <protection locked="0" hidden="1"/>
    </xf>
    <xf numFmtId="166" fontId="25" fillId="3" borderId="9" xfId="1" applyNumberFormat="1" applyFont="1" applyFill="1" applyBorder="1" applyAlignment="1" applyProtection="1">
      <alignment horizontal="right" vertical="center"/>
      <protection locked="0"/>
    </xf>
    <xf numFmtId="0" fontId="25" fillId="0" borderId="9" xfId="0" applyFont="1" applyBorder="1" applyAlignment="1" applyProtection="1">
      <alignment horizontal="left" vertical="center" wrapText="1" indent="1"/>
      <protection locked="0" hidden="1"/>
    </xf>
    <xf numFmtId="166" fontId="25" fillId="0" borderId="9" xfId="1" applyNumberFormat="1" applyFont="1" applyFill="1" applyBorder="1" applyAlignment="1" applyProtection="1">
      <alignment horizontal="right" vertical="center"/>
      <protection locked="0"/>
    </xf>
    <xf numFmtId="166" fontId="21" fillId="3" borderId="9" xfId="0" applyNumberFormat="1" applyFont="1" applyFill="1" applyBorder="1" applyProtection="1">
      <protection locked="0"/>
    </xf>
    <xf numFmtId="170" fontId="9" fillId="3" borderId="9" xfId="1" applyNumberFormat="1" applyFont="1" applyFill="1" applyBorder="1" applyAlignment="1" applyProtection="1">
      <alignment horizontal="right" vertical="center" wrapText="1"/>
      <protection locked="0"/>
    </xf>
    <xf numFmtId="0" fontId="48" fillId="0" borderId="5" xfId="0" applyFont="1" applyBorder="1" applyAlignment="1" applyProtection="1">
      <alignment horizontal="center" vertical="center"/>
      <protection locked="0" hidden="1"/>
    </xf>
    <xf numFmtId="0" fontId="50" fillId="0" borderId="5" xfId="0" applyFont="1" applyBorder="1" applyAlignment="1" applyProtection="1">
      <alignment horizontal="center" vertical="center"/>
      <protection locked="0" hidden="1"/>
    </xf>
    <xf numFmtId="168" fontId="21" fillId="0" borderId="0" xfId="2" applyNumberFormat="1" applyFont="1" applyFill="1" applyProtection="1">
      <protection locked="0"/>
    </xf>
    <xf numFmtId="9" fontId="21" fillId="0" borderId="0" xfId="2" applyFont="1" applyFill="1" applyProtection="1">
      <protection locked="0"/>
    </xf>
    <xf numFmtId="175" fontId="45" fillId="0" borderId="0" xfId="1" applyNumberFormat="1" applyFont="1" applyFill="1" applyBorder="1" applyAlignment="1" applyProtection="1">
      <alignment horizontal="right"/>
      <protection locked="0"/>
    </xf>
    <xf numFmtId="172" fontId="4" fillId="0" borderId="0" xfId="0" applyNumberFormat="1" applyFont="1" applyAlignment="1" applyProtection="1">
      <alignment horizontal="right"/>
      <protection locked="0"/>
    </xf>
    <xf numFmtId="168" fontId="9" fillId="0" borderId="0" xfId="0" applyNumberFormat="1" applyFont="1" applyAlignment="1" applyProtection="1">
      <alignment horizontal="right"/>
      <protection locked="0"/>
    </xf>
    <xf numFmtId="168" fontId="25" fillId="0" borderId="0" xfId="2" applyNumberFormat="1" applyFont="1" applyFill="1" applyBorder="1" applyAlignment="1" applyProtection="1">
      <alignment horizontal="right" vertical="center" wrapText="1"/>
      <protection locked="0"/>
    </xf>
    <xf numFmtId="168" fontId="21" fillId="3" borderId="9" xfId="2" applyNumberFormat="1" applyFont="1" applyFill="1" applyBorder="1" applyAlignment="1" applyProtection="1">
      <alignment horizontal="right"/>
      <protection locked="0"/>
    </xf>
    <xf numFmtId="168" fontId="26" fillId="3" borderId="0" xfId="2" applyNumberFormat="1" applyFont="1" applyFill="1" applyBorder="1" applyAlignment="1" applyProtection="1">
      <alignment horizontal="right"/>
      <protection locked="0"/>
    </xf>
    <xf numFmtId="172" fontId="9" fillId="0" borderId="0" xfId="1" applyNumberFormat="1" applyFont="1" applyFill="1" applyProtection="1">
      <protection locked="0"/>
    </xf>
    <xf numFmtId="175" fontId="25" fillId="0" borderId="9" xfId="1" applyNumberFormat="1" applyFont="1" applyFill="1" applyBorder="1" applyAlignment="1" applyProtection="1">
      <alignment vertical="center"/>
      <protection locked="0"/>
    </xf>
    <xf numFmtId="168" fontId="26" fillId="3" borderId="9" xfId="2" applyNumberFormat="1" applyFont="1" applyFill="1" applyBorder="1" applyAlignment="1" applyProtection="1">
      <alignment horizontal="right" vertical="center"/>
      <protection locked="0"/>
    </xf>
    <xf numFmtId="0" fontId="48" fillId="0" borderId="8" xfId="1" applyNumberFormat="1" applyFont="1" applyFill="1" applyBorder="1" applyAlignment="1" applyProtection="1">
      <alignment horizontal="center" vertical="center"/>
      <protection locked="0" hidden="1"/>
    </xf>
    <xf numFmtId="168" fontId="9" fillId="0" borderId="0" xfId="2" applyNumberFormat="1" applyFont="1" applyFill="1" applyBorder="1" applyAlignment="1" applyProtection="1">
      <alignment vertical="center"/>
      <protection locked="0"/>
    </xf>
    <xf numFmtId="0" fontId="25" fillId="4" borderId="0" xfId="0" applyFont="1" applyFill="1" applyAlignment="1" applyProtection="1">
      <alignment horizontal="left" vertical="center" indent="1"/>
      <protection locked="0" hidden="1"/>
    </xf>
    <xf numFmtId="168"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vertical="center"/>
      <protection locked="0"/>
    </xf>
    <xf numFmtId="182" fontId="25" fillId="4" borderId="0" xfId="2" applyNumberFormat="1" applyFont="1" applyFill="1" applyBorder="1" applyAlignment="1" applyProtection="1">
      <alignment horizontal="right" vertical="center"/>
      <protection locked="0"/>
    </xf>
    <xf numFmtId="168" fontId="9" fillId="4" borderId="0" xfId="2" applyNumberFormat="1" applyFont="1" applyFill="1" applyBorder="1" applyAlignment="1" applyProtection="1">
      <alignment vertical="center"/>
      <protection locked="0"/>
    </xf>
    <xf numFmtId="0" fontId="9" fillId="4" borderId="0" xfId="0" applyFont="1" applyFill="1" applyAlignment="1" applyProtection="1">
      <alignment horizontal="left" vertical="center" indent="1"/>
      <protection locked="0" hidden="1"/>
    </xf>
    <xf numFmtId="168" fontId="9" fillId="4"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vertical="center"/>
      <protection locked="0"/>
    </xf>
    <xf numFmtId="165" fontId="48" fillId="0" borderId="0" xfId="1" applyNumberFormat="1" applyFont="1" applyFill="1" applyBorder="1" applyAlignment="1" applyProtection="1">
      <alignment horizontal="center" vertical="center"/>
      <protection locked="0" hidden="1"/>
    </xf>
    <xf numFmtId="0" fontId="48" fillId="0" borderId="0" xfId="1" applyNumberFormat="1" applyFont="1" applyFill="1" applyBorder="1" applyAlignment="1" applyProtection="1">
      <alignment horizontal="center" vertical="center"/>
      <protection locked="0" hidden="1"/>
    </xf>
    <xf numFmtId="168" fontId="9" fillId="0" borderId="0" xfId="2" applyNumberFormat="1" applyFont="1" applyFill="1" applyBorder="1" applyProtection="1">
      <protection locked="0"/>
    </xf>
    <xf numFmtId="168" fontId="26" fillId="0" borderId="0" xfId="2" applyNumberFormat="1" applyFont="1" applyFill="1" applyBorder="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protection locked="0"/>
    </xf>
    <xf numFmtId="49" fontId="48" fillId="0" borderId="0" xfId="1" applyNumberFormat="1" applyFont="1" applyFill="1" applyBorder="1" applyAlignment="1" applyProtection="1">
      <alignment horizontal="center" vertical="center"/>
      <protection locked="0" hidden="1"/>
    </xf>
    <xf numFmtId="168" fontId="21" fillId="0" borderId="0" xfId="2" applyNumberFormat="1" applyFont="1" applyFill="1" applyBorder="1" applyAlignment="1" applyProtection="1">
      <alignment horizontal="right"/>
      <protection locked="0"/>
    </xf>
    <xf numFmtId="174" fontId="21" fillId="0" borderId="0" xfId="2" applyNumberFormat="1" applyFont="1" applyFill="1" applyBorder="1" applyAlignment="1" applyProtection="1">
      <alignment horizontal="right"/>
      <protection locked="0"/>
    </xf>
    <xf numFmtId="168" fontId="21" fillId="3" borderId="9" xfId="2" applyNumberFormat="1" applyFont="1" applyFill="1" applyBorder="1" applyAlignment="1" applyProtection="1">
      <alignment horizontal="right" vertical="center"/>
      <protection locked="0"/>
    </xf>
    <xf numFmtId="168" fontId="26" fillId="0" borderId="0" xfId="2" applyNumberFormat="1" applyFont="1" applyFill="1" applyBorder="1" applyAlignment="1" applyProtection="1">
      <alignment horizontal="right" vertical="center"/>
      <protection locked="0"/>
    </xf>
    <xf numFmtId="168" fontId="21" fillId="0" borderId="0" xfId="2" applyNumberFormat="1" applyFont="1" applyFill="1" applyBorder="1" applyAlignment="1" applyProtection="1">
      <alignment horizontal="right" vertical="center"/>
      <protection locked="0"/>
    </xf>
    <xf numFmtId="168" fontId="25" fillId="0" borderId="0" xfId="2" applyNumberFormat="1" applyFont="1" applyFill="1" applyAlignment="1" applyProtection="1">
      <alignment horizontal="right"/>
      <protection locked="0"/>
    </xf>
    <xf numFmtId="168" fontId="25" fillId="3" borderId="0" xfId="2" applyNumberFormat="1" applyFont="1" applyFill="1" applyAlignment="1" applyProtection="1">
      <alignment horizontal="right"/>
      <protection locked="0"/>
    </xf>
    <xf numFmtId="168" fontId="26" fillId="0" borderId="9" xfId="2" applyNumberFormat="1" applyFont="1" applyFill="1" applyBorder="1" applyAlignment="1" applyProtection="1">
      <alignment horizontal="right" vertical="center"/>
      <protection locked="0"/>
    </xf>
    <xf numFmtId="168" fontId="25" fillId="3" borderId="0" xfId="2" applyNumberFormat="1" applyFont="1" applyFill="1" applyAlignment="1" applyProtection="1">
      <alignment horizontal="right" vertical="center"/>
      <protection locked="0"/>
    </xf>
    <xf numFmtId="9" fontId="9" fillId="0" borderId="0" xfId="2" applyFont="1" applyFill="1" applyBorder="1" applyProtection="1">
      <protection locked="0"/>
    </xf>
    <xf numFmtId="172" fontId="21" fillId="0" borderId="0" xfId="0" applyNumberFormat="1" applyFont="1" applyProtection="1">
      <protection locked="0"/>
    </xf>
    <xf numFmtId="168" fontId="25" fillId="3" borderId="9" xfId="2" applyNumberFormat="1" applyFont="1" applyFill="1" applyBorder="1" applyAlignment="1" applyProtection="1">
      <alignment horizontal="right"/>
      <protection locked="0"/>
    </xf>
    <xf numFmtId="168" fontId="25" fillId="3" borderId="0" xfId="2" applyNumberFormat="1" applyFont="1" applyFill="1" applyBorder="1" applyAlignment="1" applyProtection="1">
      <alignment horizontal="right" vertical="center" wrapText="1"/>
      <protection locked="0"/>
    </xf>
    <xf numFmtId="168" fontId="25" fillId="0" borderId="9" xfId="2" applyNumberFormat="1" applyFont="1" applyFill="1" applyBorder="1" applyAlignment="1" applyProtection="1">
      <alignment horizontal="right"/>
      <protection locked="0"/>
    </xf>
    <xf numFmtId="168" fontId="25" fillId="3" borderId="9" xfId="2" applyNumberFormat="1" applyFont="1" applyFill="1" applyBorder="1" applyAlignment="1" applyProtection="1">
      <alignment horizontal="right" vertical="center"/>
      <protection locked="0"/>
    </xf>
    <xf numFmtId="168" fontId="25" fillId="4" borderId="0" xfId="2" applyNumberFormat="1" applyFont="1" applyFill="1" applyBorder="1" applyAlignment="1" applyProtection="1">
      <alignment horizontal="right" vertical="center"/>
      <protection locked="0"/>
    </xf>
    <xf numFmtId="168" fontId="9" fillId="3" borderId="0" xfId="2" applyNumberFormat="1" applyFont="1" applyFill="1" applyBorder="1" applyAlignment="1" applyProtection="1">
      <alignment horizontal="right"/>
      <protection locked="0"/>
    </xf>
    <xf numFmtId="168" fontId="9" fillId="0" borderId="0" xfId="2" applyNumberFormat="1" applyFont="1" applyFill="1" applyBorder="1" applyAlignment="1" applyProtection="1">
      <alignment horizontal="right"/>
      <protection locked="0"/>
    </xf>
    <xf numFmtId="168" fontId="21" fillId="3" borderId="0" xfId="2" applyNumberFormat="1" applyFont="1" applyFill="1" applyAlignment="1" applyProtection="1">
      <alignment horizontal="right"/>
      <protection locked="0"/>
    </xf>
    <xf numFmtId="185" fontId="25" fillId="0" borderId="0" xfId="2" applyNumberFormat="1" applyFont="1" applyFill="1" applyBorder="1" applyAlignment="1" applyProtection="1">
      <alignment horizontal="right" vertical="center"/>
      <protection locked="0"/>
    </xf>
    <xf numFmtId="185" fontId="25" fillId="3" borderId="0" xfId="2" applyNumberFormat="1" applyFont="1" applyFill="1" applyBorder="1" applyAlignment="1" applyProtection="1">
      <alignment horizontal="right" vertical="center"/>
      <protection locked="0"/>
    </xf>
    <xf numFmtId="185" fontId="25" fillId="4" borderId="0" xfId="2" applyNumberFormat="1" applyFont="1" applyFill="1" applyBorder="1" applyAlignment="1" applyProtection="1">
      <alignment horizontal="right" vertical="center"/>
      <protection locked="0"/>
    </xf>
    <xf numFmtId="185" fontId="51" fillId="0" borderId="0" xfId="0" applyNumberFormat="1" applyFont="1" applyAlignment="1" applyProtection="1">
      <alignment horizontal="right" vertical="center"/>
      <protection locked="0"/>
    </xf>
    <xf numFmtId="185" fontId="9" fillId="3" borderId="0" xfId="2" applyNumberFormat="1" applyFont="1" applyFill="1" applyAlignment="1" applyProtection="1">
      <alignment horizontal="right"/>
      <protection locked="0"/>
    </xf>
    <xf numFmtId="185" fontId="9" fillId="0" borderId="0" xfId="2" applyNumberFormat="1" applyFont="1" applyFill="1" applyAlignment="1" applyProtection="1">
      <alignment horizontal="right"/>
      <protection locked="0"/>
    </xf>
    <xf numFmtId="168" fontId="25" fillId="3"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protection locked="0"/>
    </xf>
    <xf numFmtId="168" fontId="25" fillId="3" borderId="0" xfId="1" applyNumberFormat="1" applyFont="1" applyFill="1" applyBorder="1" applyAlignment="1" applyProtection="1">
      <alignment horizontal="right"/>
      <protection locked="0"/>
    </xf>
    <xf numFmtId="168" fontId="21" fillId="3" borderId="9" xfId="0" applyNumberFormat="1" applyFont="1" applyFill="1" applyBorder="1" applyProtection="1">
      <protection locked="0"/>
    </xf>
    <xf numFmtId="168" fontId="25" fillId="0" borderId="9" xfId="1" applyNumberFormat="1" applyFont="1" applyFill="1" applyBorder="1" applyAlignment="1" applyProtection="1">
      <alignment horizontal="right"/>
      <protection locked="0"/>
    </xf>
    <xf numFmtId="168" fontId="25" fillId="0" borderId="0"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horizontal="right" vertical="center" wrapText="1"/>
      <protection locked="0"/>
    </xf>
    <xf numFmtId="168" fontId="26" fillId="0" borderId="9" xfId="1" applyNumberFormat="1" applyFont="1" applyFill="1" applyBorder="1" applyAlignment="1" applyProtection="1">
      <alignment horizontal="right" vertical="center" wrapText="1"/>
      <protection locked="0"/>
    </xf>
    <xf numFmtId="185" fontId="26" fillId="3" borderId="9" xfId="2" applyNumberFormat="1" applyFont="1" applyFill="1" applyBorder="1" applyAlignment="1" applyProtection="1">
      <alignment horizontal="right" vertical="center" wrapText="1"/>
      <protection locked="0"/>
    </xf>
    <xf numFmtId="185" fontId="26" fillId="0" borderId="9" xfId="2" applyNumberFormat="1" applyFont="1" applyFill="1" applyBorder="1" applyAlignment="1" applyProtection="1">
      <alignment horizontal="right" vertical="center" wrapText="1"/>
      <protection locked="0"/>
    </xf>
    <xf numFmtId="168" fontId="25" fillId="3" borderId="9" xfId="1" applyNumberFormat="1" applyFont="1" applyFill="1" applyBorder="1" applyAlignment="1" applyProtection="1">
      <alignment horizontal="right" vertical="center"/>
      <protection locked="0"/>
    </xf>
    <xf numFmtId="168" fontId="25" fillId="0" borderId="0" xfId="1" applyNumberFormat="1" applyFont="1" applyFill="1" applyBorder="1" applyAlignment="1" applyProtection="1">
      <alignment horizontal="right" vertical="center"/>
      <protection locked="0"/>
    </xf>
    <xf numFmtId="168" fontId="25" fillId="3" borderId="0" xfId="1" applyNumberFormat="1" applyFont="1" applyFill="1" applyBorder="1" applyAlignment="1" applyProtection="1">
      <alignment horizontal="right" vertical="center"/>
      <protection locked="0"/>
    </xf>
    <xf numFmtId="168" fontId="26" fillId="3" borderId="9" xfId="1" applyNumberFormat="1" applyFont="1" applyFill="1" applyBorder="1" applyAlignment="1" applyProtection="1">
      <alignment horizontal="right" vertical="center"/>
      <protection locked="0"/>
    </xf>
    <xf numFmtId="168" fontId="25" fillId="0" borderId="9" xfId="1" applyNumberFormat="1" applyFont="1" applyFill="1" applyBorder="1" applyAlignment="1" applyProtection="1">
      <alignment horizontal="right" vertical="center"/>
      <protection locked="0"/>
    </xf>
    <xf numFmtId="168" fontId="26" fillId="0" borderId="9" xfId="1" applyNumberFormat="1" applyFont="1" applyFill="1" applyBorder="1" applyAlignment="1" applyProtection="1">
      <alignment horizontal="right" vertical="center"/>
      <protection locked="0"/>
    </xf>
    <xf numFmtId="168" fontId="9" fillId="3" borderId="0" xfId="0" applyNumberFormat="1" applyFont="1" applyFill="1" applyProtection="1">
      <protection locked="0"/>
    </xf>
    <xf numFmtId="168" fontId="9" fillId="3" borderId="0" xfId="1" applyNumberFormat="1" applyFont="1" applyFill="1" applyAlignment="1" applyProtection="1">
      <alignment horizontal="right"/>
      <protection locked="0"/>
    </xf>
    <xf numFmtId="185" fontId="9" fillId="3" borderId="0" xfId="2" applyNumberFormat="1" applyFont="1" applyFill="1" applyBorder="1" applyAlignment="1" applyProtection="1">
      <alignment horizontal="right" vertical="center" wrapText="1"/>
      <protection locked="0"/>
    </xf>
    <xf numFmtId="185" fontId="9" fillId="0" borderId="0" xfId="2" applyNumberFormat="1" applyFont="1" applyFill="1" applyBorder="1" applyAlignment="1" applyProtection="1">
      <alignment horizontal="right" vertical="center" wrapText="1"/>
      <protection locked="0"/>
    </xf>
    <xf numFmtId="185" fontId="9" fillId="3" borderId="9" xfId="2" applyNumberFormat="1" applyFont="1" applyFill="1" applyBorder="1" applyAlignment="1" applyProtection="1">
      <alignment horizontal="right" vertical="center" wrapText="1"/>
      <protection locked="0"/>
    </xf>
    <xf numFmtId="185" fontId="25" fillId="3" borderId="0" xfId="2" applyNumberFormat="1" applyFont="1" applyFill="1" applyBorder="1" applyAlignment="1" applyProtection="1">
      <alignment horizontal="right"/>
      <protection locked="0"/>
    </xf>
    <xf numFmtId="185" fontId="25" fillId="0" borderId="0" xfId="2" applyNumberFormat="1" applyFont="1" applyFill="1" applyBorder="1" applyAlignment="1" applyProtection="1">
      <alignment horizontal="right"/>
      <protection locked="0"/>
    </xf>
    <xf numFmtId="168" fontId="9" fillId="0" borderId="0" xfId="1" applyNumberFormat="1" applyFont="1" applyFill="1" applyAlignment="1" applyProtection="1">
      <alignment horizontal="right"/>
      <protection locked="0"/>
    </xf>
    <xf numFmtId="168" fontId="9" fillId="3" borderId="0" xfId="0" applyNumberFormat="1" applyFont="1" applyFill="1" applyAlignment="1" applyProtection="1">
      <alignment horizontal="right"/>
      <protection locked="0"/>
    </xf>
    <xf numFmtId="168" fontId="25" fillId="4" borderId="0" xfId="1" applyNumberFormat="1" applyFont="1" applyFill="1" applyBorder="1" applyAlignment="1" applyProtection="1">
      <alignment horizontal="right"/>
      <protection locked="0"/>
    </xf>
    <xf numFmtId="185" fontId="21" fillId="0" borderId="9" xfId="2" applyNumberFormat="1" applyFont="1" applyFill="1" applyBorder="1" applyAlignment="1" applyProtection="1">
      <alignment horizontal="right"/>
      <protection locked="0"/>
    </xf>
    <xf numFmtId="185" fontId="21" fillId="3" borderId="9" xfId="2" applyNumberFormat="1" applyFont="1" applyFill="1" applyBorder="1" applyAlignment="1" applyProtection="1">
      <alignment horizontal="right"/>
      <protection locked="0"/>
    </xf>
    <xf numFmtId="168" fontId="25" fillId="4" borderId="9" xfId="1" applyNumberFormat="1" applyFont="1" applyFill="1" applyBorder="1" applyAlignment="1" applyProtection="1">
      <alignment horizontal="right"/>
      <protection locked="0"/>
    </xf>
    <xf numFmtId="168" fontId="25" fillId="4" borderId="0" xfId="1" applyNumberFormat="1" applyFont="1" applyFill="1" applyAlignment="1" applyProtection="1">
      <alignment horizontal="right"/>
      <protection locked="0"/>
    </xf>
    <xf numFmtId="168" fontId="9" fillId="4" borderId="0" xfId="0" applyNumberFormat="1" applyFont="1" applyFill="1" applyProtection="1">
      <protection locked="0"/>
    </xf>
    <xf numFmtId="185" fontId="21" fillId="4" borderId="9" xfId="2" applyNumberFormat="1" applyFont="1" applyFill="1" applyBorder="1" applyAlignment="1" applyProtection="1">
      <alignment horizontal="right"/>
      <protection locked="0"/>
    </xf>
    <xf numFmtId="167" fontId="25" fillId="0" borderId="0" xfId="1" applyNumberFormat="1" applyFont="1" applyFill="1" applyBorder="1" applyAlignment="1" applyProtection="1">
      <alignment horizontal="right" vertical="center" wrapText="1"/>
      <protection locked="0"/>
    </xf>
    <xf numFmtId="176" fontId="25" fillId="0" borderId="0" xfId="1" applyNumberFormat="1" applyFont="1" applyFill="1" applyBorder="1" applyAlignment="1" applyProtection="1">
      <alignment vertical="center" wrapText="1"/>
      <protection locked="0"/>
    </xf>
    <xf numFmtId="177" fontId="9" fillId="0" borderId="0" xfId="1" applyNumberFormat="1" applyFont="1" applyFill="1" applyBorder="1" applyAlignment="1" applyProtection="1">
      <alignment horizontal="right" vertical="center"/>
      <protection locked="0"/>
    </xf>
    <xf numFmtId="166" fontId="9" fillId="0" borderId="0" xfId="1" applyNumberFormat="1" applyFont="1" applyFill="1" applyBorder="1" applyAlignment="1" applyProtection="1">
      <alignment horizontal="right" vertical="center"/>
      <protection locked="0"/>
    </xf>
    <xf numFmtId="166" fontId="21" fillId="0" borderId="0" xfId="0" applyNumberFormat="1" applyFont="1" applyProtection="1">
      <protection locked="0"/>
    </xf>
    <xf numFmtId="168" fontId="9" fillId="0" borderId="0" xfId="1" applyNumberFormat="1" applyFont="1" applyFill="1" applyBorder="1" applyAlignment="1" applyProtection="1">
      <alignment horizontal="right"/>
      <protection locked="0"/>
    </xf>
    <xf numFmtId="168" fontId="9" fillId="3" borderId="0" xfId="1" applyNumberFormat="1" applyFont="1" applyFill="1" applyBorder="1" applyAlignment="1" applyProtection="1">
      <alignment horizontal="right"/>
      <protection locked="0"/>
    </xf>
    <xf numFmtId="168" fontId="21" fillId="0" borderId="3" xfId="2" applyNumberFormat="1" applyFont="1" applyFill="1" applyBorder="1" applyAlignment="1" applyProtection="1">
      <alignment horizontal="right"/>
      <protection locked="0"/>
    </xf>
    <xf numFmtId="168" fontId="21" fillId="3" borderId="3" xfId="2" applyNumberFormat="1" applyFont="1" applyFill="1" applyBorder="1" applyAlignment="1" applyProtection="1">
      <alignment horizontal="right"/>
      <protection locked="0"/>
    </xf>
    <xf numFmtId="168" fontId="25" fillId="3" borderId="9" xfId="1" applyNumberFormat="1" applyFont="1" applyFill="1" applyBorder="1" applyAlignment="1" applyProtection="1">
      <alignment horizontal="right" vertical="center" wrapText="1"/>
      <protection locked="0"/>
    </xf>
    <xf numFmtId="168" fontId="25" fillId="3" borderId="0" xfId="1" applyNumberFormat="1" applyFont="1" applyFill="1" applyBorder="1" applyAlignment="1" applyProtection="1">
      <alignment vertical="center" wrapText="1"/>
      <protection locked="0"/>
    </xf>
    <xf numFmtId="168" fontId="25" fillId="0" borderId="0" xfId="1" applyNumberFormat="1" applyFont="1" applyFill="1" applyBorder="1" applyAlignment="1" applyProtection="1">
      <alignment vertical="center"/>
      <protection locked="0"/>
    </xf>
    <xf numFmtId="168" fontId="25" fillId="3" borderId="0" xfId="1" applyNumberFormat="1" applyFont="1" applyFill="1" applyBorder="1" applyAlignment="1" applyProtection="1">
      <alignment vertical="center"/>
      <protection locked="0"/>
    </xf>
    <xf numFmtId="168" fontId="9" fillId="3" borderId="0" xfId="1" applyNumberFormat="1" applyFont="1" applyFill="1" applyBorder="1" applyAlignment="1" applyProtection="1">
      <alignment horizontal="right" vertical="center"/>
      <protection locked="0"/>
    </xf>
    <xf numFmtId="168" fontId="9" fillId="0" borderId="0" xfId="1" applyNumberFormat="1" applyFont="1" applyFill="1" applyBorder="1" applyAlignment="1" applyProtection="1">
      <alignment horizontal="right" vertical="center"/>
      <protection locked="0"/>
    </xf>
    <xf numFmtId="185" fontId="9" fillId="3" borderId="0" xfId="2"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protection locked="0"/>
    </xf>
    <xf numFmtId="168" fontId="9" fillId="3" borderId="9" xfId="1" applyNumberFormat="1" applyFont="1" applyFill="1" applyBorder="1" applyAlignment="1" applyProtection="1">
      <alignment horizontal="right" vertical="center" wrapText="1"/>
      <protection locked="0"/>
    </xf>
    <xf numFmtId="168" fontId="9" fillId="0" borderId="0" xfId="1" applyNumberFormat="1" applyFont="1" applyFill="1" applyBorder="1" applyAlignment="1" applyProtection="1">
      <alignment horizontal="right" vertical="center" wrapText="1"/>
      <protection locked="0"/>
    </xf>
    <xf numFmtId="185" fontId="9" fillId="3" borderId="0" xfId="2" applyNumberFormat="1" applyFont="1" applyFill="1" applyBorder="1" applyAlignment="1" applyProtection="1">
      <alignment horizontal="right" wrapText="1"/>
      <protection locked="0"/>
    </xf>
    <xf numFmtId="185" fontId="9" fillId="0" borderId="0" xfId="2" applyNumberFormat="1" applyFont="1" applyFill="1" applyBorder="1" applyAlignment="1" applyProtection="1">
      <alignment horizontal="right" wrapText="1"/>
      <protection locked="0"/>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8" fillId="0" borderId="0" xfId="0" applyFont="1" applyAlignment="1">
      <alignment vertical="center"/>
    </xf>
    <xf numFmtId="0" fontId="40" fillId="0" borderId="0" xfId="0" applyFont="1" applyAlignment="1">
      <alignment vertical="center"/>
    </xf>
    <xf numFmtId="0" fontId="40" fillId="0" borderId="0" xfId="0" applyFont="1" applyAlignment="1">
      <alignment vertical="center" wrapText="1"/>
    </xf>
    <xf numFmtId="0" fontId="41" fillId="0" borderId="0" xfId="0" applyFont="1" applyAlignment="1">
      <alignment vertical="center"/>
    </xf>
    <xf numFmtId="165" fontId="9" fillId="0" borderId="9" xfId="1" applyNumberFormat="1" applyFont="1" applyFill="1" applyBorder="1" applyAlignment="1" applyProtection="1">
      <alignment horizontal="left" vertical="center" wrapText="1" indent="1"/>
      <protection locked="0" hidden="1"/>
    </xf>
    <xf numFmtId="165" fontId="9" fillId="0" borderId="0" xfId="1" applyNumberFormat="1" applyFont="1" applyFill="1" applyBorder="1" applyAlignment="1" applyProtection="1">
      <alignment horizontal="left" vertical="center" wrapText="1" indent="2"/>
      <protection locked="0" hidden="1"/>
    </xf>
    <xf numFmtId="0" fontId="9" fillId="0" borderId="0" xfId="0" applyFont="1" applyAlignment="1" applyProtection="1">
      <alignment horizontal="left" vertical="center" indent="3"/>
      <protection locked="0"/>
    </xf>
    <xf numFmtId="165" fontId="52" fillId="0" borderId="0" xfId="1" applyNumberFormat="1" applyFont="1" applyFill="1" applyBorder="1" applyAlignment="1" applyProtection="1">
      <alignment vertical="center" wrapText="1"/>
      <protection locked="0" hidden="1"/>
    </xf>
    <xf numFmtId="165" fontId="30" fillId="0" borderId="0" xfId="1" applyNumberFormat="1" applyFont="1" applyFill="1" applyBorder="1" applyAlignment="1" applyProtection="1">
      <alignment horizontal="left" vertical="center" wrapText="1" indent="1"/>
      <protection locked="0" hidden="1"/>
    </xf>
    <xf numFmtId="0" fontId="30" fillId="0" borderId="0" xfId="0" applyFont="1" applyAlignment="1" applyProtection="1">
      <alignment horizontal="left" vertical="center" wrapText="1" indent="2"/>
      <protection locked="0"/>
    </xf>
    <xf numFmtId="165" fontId="9" fillId="4" borderId="9" xfId="1" applyNumberFormat="1" applyFont="1" applyFill="1" applyBorder="1" applyAlignment="1" applyProtection="1">
      <alignment horizontal="left" vertical="center" wrapText="1" indent="1"/>
      <protection locked="0" hidden="1"/>
    </xf>
    <xf numFmtId="170" fontId="9" fillId="4" borderId="9" xfId="1" applyNumberFormat="1" applyFont="1" applyFill="1" applyBorder="1" applyAlignment="1" applyProtection="1">
      <alignment horizontal="right" vertical="center" wrapText="1"/>
      <protection locked="0"/>
    </xf>
    <xf numFmtId="165" fontId="9" fillId="4" borderId="0" xfId="1" applyNumberFormat="1" applyFont="1" applyFill="1" applyBorder="1" applyAlignment="1" applyProtection="1">
      <alignment horizontal="left" vertical="center" wrapText="1" indent="1"/>
      <protection locked="0" hidden="1"/>
    </xf>
    <xf numFmtId="174" fontId="9" fillId="4" borderId="0" xfId="0" applyNumberFormat="1" applyFont="1" applyFill="1" applyAlignment="1" applyProtection="1">
      <alignment horizontal="right"/>
      <protection locked="0"/>
    </xf>
    <xf numFmtId="165" fontId="30" fillId="4" borderId="0" xfId="1" applyNumberFormat="1" applyFont="1" applyFill="1" applyBorder="1" applyAlignment="1" applyProtection="1">
      <alignment horizontal="left" vertical="center" wrapText="1" indent="1"/>
      <protection locked="0" hidden="1"/>
    </xf>
    <xf numFmtId="165" fontId="9" fillId="4" borderId="0" xfId="1" applyNumberFormat="1" applyFont="1" applyFill="1" applyBorder="1" applyAlignment="1" applyProtection="1">
      <alignment horizontal="left" vertical="center" wrapText="1" indent="2"/>
      <protection locked="0" hidden="1"/>
    </xf>
    <xf numFmtId="165" fontId="9" fillId="4" borderId="0" xfId="1" applyNumberFormat="1" applyFont="1" applyFill="1" applyBorder="1" applyAlignment="1" applyProtection="1">
      <alignment horizontal="right" vertical="center" wrapText="1"/>
      <protection locked="0"/>
    </xf>
    <xf numFmtId="0" fontId="9" fillId="4" borderId="0" xfId="0" applyFont="1" applyFill="1" applyAlignment="1" applyProtection="1">
      <alignment horizontal="left" vertical="center" wrapText="1" indent="1"/>
      <protection locked="0"/>
    </xf>
    <xf numFmtId="0" fontId="9" fillId="4" borderId="0" xfId="0" applyFont="1" applyFill="1" applyProtection="1">
      <protection locked="0"/>
    </xf>
    <xf numFmtId="0" fontId="30" fillId="4" borderId="0" xfId="0" applyFont="1" applyFill="1" applyAlignment="1" applyProtection="1">
      <alignment horizontal="left" vertical="center" wrapText="1"/>
      <protection locked="0"/>
    </xf>
    <xf numFmtId="0" fontId="9" fillId="4" borderId="0" xfId="0" applyFont="1" applyFill="1" applyAlignment="1" applyProtection="1">
      <alignment horizontal="left" vertical="center" wrapText="1" indent="2"/>
      <protection locked="0"/>
    </xf>
    <xf numFmtId="0" fontId="30" fillId="4" borderId="0" xfId="0" applyFont="1" applyFill="1" applyAlignment="1" applyProtection="1">
      <alignment horizontal="left" vertical="center" wrapText="1" indent="2"/>
      <protection locked="0"/>
    </xf>
    <xf numFmtId="165" fontId="26" fillId="4" borderId="0" xfId="1" applyNumberFormat="1" applyFont="1" applyFill="1" applyBorder="1" applyAlignment="1" applyProtection="1">
      <alignment vertical="center" wrapText="1"/>
      <protection locked="0" hidden="1"/>
    </xf>
    <xf numFmtId="0" fontId="9" fillId="4" borderId="0" xfId="0" applyFont="1" applyFill="1" applyAlignment="1" applyProtection="1">
      <alignment horizontal="left" indent="3"/>
      <protection locked="0"/>
    </xf>
    <xf numFmtId="0" fontId="9" fillId="4" borderId="0" xfId="0" applyFont="1" applyFill="1" applyAlignment="1" applyProtection="1">
      <alignment horizontal="left" vertical="center" indent="3"/>
      <protection locked="0"/>
    </xf>
    <xf numFmtId="168" fontId="9" fillId="4" borderId="9" xfId="1" applyNumberFormat="1" applyFont="1" applyFill="1" applyBorder="1" applyAlignment="1" applyProtection="1">
      <alignment horizontal="right" vertical="center" wrapText="1"/>
      <protection locked="0"/>
    </xf>
    <xf numFmtId="168" fontId="9" fillId="4" borderId="0" xfId="1" applyNumberFormat="1" applyFont="1" applyFill="1" applyBorder="1" applyAlignment="1" applyProtection="1">
      <alignment horizontal="right" vertical="center" wrapText="1"/>
      <protection locked="0"/>
    </xf>
    <xf numFmtId="168" fontId="9" fillId="0" borderId="9" xfId="1" applyNumberFormat="1" applyFont="1" applyFill="1" applyBorder="1" applyAlignment="1" applyProtection="1">
      <alignment horizontal="right" vertical="center" wrapText="1"/>
      <protection locked="0"/>
    </xf>
    <xf numFmtId="168" fontId="9" fillId="4" borderId="0" xfId="0" applyNumberFormat="1" applyFont="1" applyFill="1" applyAlignment="1" applyProtection="1">
      <alignment horizontal="right"/>
      <protection locked="0"/>
    </xf>
    <xf numFmtId="172" fontId="9" fillId="0" borderId="0" xfId="1" applyNumberFormat="1" applyFont="1" applyFill="1" applyBorder="1" applyAlignment="1" applyProtection="1">
      <alignment horizontal="right" wrapText="1"/>
      <protection locked="0"/>
    </xf>
    <xf numFmtId="172" fontId="9" fillId="0" borderId="10" xfId="1" applyNumberFormat="1" applyFont="1" applyFill="1" applyBorder="1" applyAlignment="1" applyProtection="1">
      <alignment horizontal="right" wrapText="1"/>
      <protection locked="0"/>
    </xf>
    <xf numFmtId="165" fontId="54" fillId="4" borderId="9" xfId="11" applyNumberFormat="1" applyFont="1" applyFill="1" applyBorder="1" applyAlignment="1" applyProtection="1">
      <alignment horizontal="left" vertical="center" wrapText="1"/>
      <protection locked="0" hidden="1"/>
    </xf>
    <xf numFmtId="0" fontId="55" fillId="0" borderId="0" xfId="0" applyFont="1" applyProtection="1">
      <protection locked="0"/>
    </xf>
    <xf numFmtId="165" fontId="54" fillId="0" borderId="0" xfId="11" applyNumberFormat="1" applyFont="1" applyFill="1" applyBorder="1" applyAlignment="1" applyProtection="1">
      <alignment horizontal="left" vertical="center" wrapText="1"/>
      <protection locked="0" hidden="1"/>
    </xf>
    <xf numFmtId="165" fontId="56" fillId="0" borderId="0" xfId="1" applyNumberFormat="1" applyFont="1" applyFill="1" applyBorder="1" applyAlignment="1" applyProtection="1">
      <alignment horizontal="left" vertical="center" wrapText="1" indent="1"/>
      <protection locked="0" hidden="1"/>
    </xf>
    <xf numFmtId="165" fontId="56" fillId="4" borderId="0" xfId="1" applyNumberFormat="1" applyFont="1" applyFill="1" applyBorder="1" applyAlignment="1" applyProtection="1">
      <alignment horizontal="left" vertical="center" wrapText="1" indent="1"/>
      <protection locked="0" hidden="1"/>
    </xf>
    <xf numFmtId="0" fontId="54" fillId="4" borderId="0" xfId="11" applyFont="1" applyFill="1" applyAlignment="1" applyProtection="1">
      <alignment horizontal="left" vertical="center" wrapText="1"/>
      <protection locked="0"/>
    </xf>
    <xf numFmtId="0" fontId="54" fillId="4" borderId="0" xfId="11" applyFont="1" applyFill="1" applyProtection="1">
      <protection locked="0"/>
    </xf>
    <xf numFmtId="0" fontId="54" fillId="0" borderId="0" xfId="11" applyFont="1" applyAlignment="1" applyProtection="1">
      <alignment horizontal="left" vertical="center"/>
      <protection locked="0"/>
    </xf>
    <xf numFmtId="0" fontId="54" fillId="4" borderId="0" xfId="11" applyFont="1" applyFill="1" applyAlignment="1" applyProtection="1">
      <alignment horizontal="left" vertical="center"/>
      <protection locked="0"/>
    </xf>
    <xf numFmtId="0" fontId="53" fillId="2" borderId="11" xfId="0" applyFont="1" applyFill="1" applyBorder="1" applyAlignment="1" applyProtection="1">
      <alignment horizontal="center" vertical="center"/>
      <protection locked="0" hidden="1"/>
    </xf>
    <xf numFmtId="0" fontId="17" fillId="8" borderId="12" xfId="0" applyFont="1" applyFill="1" applyBorder="1" applyAlignment="1" applyProtection="1">
      <alignment vertical="center"/>
      <protection locked="0" hidden="1"/>
    </xf>
    <xf numFmtId="0" fontId="10" fillId="8" borderId="13" xfId="0" applyFont="1" applyFill="1" applyBorder="1" applyProtection="1">
      <protection locked="0" hidden="1"/>
    </xf>
    <xf numFmtId="0" fontId="10" fillId="8" borderId="13" xfId="0" applyFont="1" applyFill="1" applyBorder="1" applyAlignment="1" applyProtection="1">
      <alignment horizontal="center"/>
      <protection locked="0" hidden="1"/>
    </xf>
    <xf numFmtId="0" fontId="10" fillId="8" borderId="14" xfId="0" applyFont="1" applyFill="1" applyBorder="1" applyProtection="1">
      <protection locked="0" hidden="1"/>
    </xf>
    <xf numFmtId="0" fontId="17" fillId="8" borderId="15" xfId="0" applyFont="1" applyFill="1" applyBorder="1" applyAlignment="1" applyProtection="1">
      <alignment vertical="center"/>
      <protection locked="0" hidden="1"/>
    </xf>
    <xf numFmtId="0" fontId="10" fillId="8" borderId="0" xfId="0" applyFont="1" applyFill="1" applyProtection="1">
      <protection locked="0" hidden="1"/>
    </xf>
    <xf numFmtId="0" fontId="15" fillId="8" borderId="0" xfId="0" applyFont="1" applyFill="1" applyAlignment="1" applyProtection="1">
      <alignment horizontal="left" vertical="center" indent="1"/>
      <protection locked="0" hidden="1"/>
    </xf>
    <xf numFmtId="0" fontId="9" fillId="8" borderId="0" xfId="0" applyFont="1" applyFill="1" applyProtection="1">
      <protection locked="0" hidden="1"/>
    </xf>
    <xf numFmtId="0" fontId="10" fillId="8" borderId="0" xfId="0" applyFont="1" applyFill="1" applyAlignment="1" applyProtection="1">
      <alignment horizontal="center"/>
      <protection locked="0" hidden="1"/>
    </xf>
    <xf numFmtId="0" fontId="9" fillId="8" borderId="0" xfId="0" applyFont="1" applyFill="1" applyAlignment="1" applyProtection="1">
      <alignment horizontal="center"/>
      <protection locked="0" hidden="1"/>
    </xf>
    <xf numFmtId="0" fontId="10" fillId="8" borderId="16" xfId="0" applyFont="1" applyFill="1" applyBorder="1" applyProtection="1">
      <protection locked="0" hidden="1"/>
    </xf>
    <xf numFmtId="0" fontId="18" fillId="8" borderId="0" xfId="0" applyFont="1" applyFill="1" applyAlignment="1" applyProtection="1">
      <alignment horizontal="left"/>
      <protection locked="0" hidden="1"/>
    </xf>
    <xf numFmtId="0" fontId="18" fillId="8" borderId="0" xfId="0" applyFont="1" applyFill="1" applyAlignment="1" applyProtection="1">
      <alignment horizontal="center"/>
      <protection locked="0" hidden="1"/>
    </xf>
    <xf numFmtId="0" fontId="10" fillId="8" borderId="0" xfId="11" applyFont="1" applyFill="1" applyBorder="1" applyAlignment="1" applyProtection="1">
      <alignment horizontal="left" vertical="center" wrapText="1"/>
      <protection locked="0" hidden="1"/>
    </xf>
    <xf numFmtId="0" fontId="17" fillId="8" borderId="16" xfId="0" applyFont="1" applyFill="1" applyBorder="1" applyAlignment="1" applyProtection="1">
      <alignment vertical="center"/>
      <protection locked="0" hidden="1"/>
    </xf>
    <xf numFmtId="0" fontId="10" fillId="8" borderId="0" xfId="11" applyFont="1" applyFill="1" applyBorder="1" applyAlignment="1" applyProtection="1">
      <alignment horizontal="left" wrapText="1"/>
      <protection locked="0" hidden="1"/>
    </xf>
    <xf numFmtId="0" fontId="20" fillId="8" borderId="0" xfId="0" applyFont="1" applyFill="1" applyAlignment="1" applyProtection="1">
      <alignment vertical="center"/>
      <protection locked="0" hidden="1"/>
    </xf>
    <xf numFmtId="0" fontId="20" fillId="8" borderId="0" xfId="0" applyFont="1" applyFill="1" applyAlignment="1" applyProtection="1">
      <alignment horizontal="center" vertical="center"/>
      <protection locked="0" hidden="1"/>
    </xf>
    <xf numFmtId="49" fontId="11" fillId="8" borderId="0" xfId="0" applyNumberFormat="1" applyFont="1" applyFill="1" applyAlignment="1" applyProtection="1">
      <alignment horizontal="right"/>
      <protection locked="0" hidden="1"/>
    </xf>
    <xf numFmtId="0" fontId="10" fillId="8" borderId="0" xfId="11" applyFont="1" applyFill="1" applyBorder="1" applyAlignment="1" applyProtection="1">
      <alignment horizontal="center" vertical="center" wrapText="1"/>
      <protection locked="0" hidden="1"/>
    </xf>
    <xf numFmtId="0" fontId="10" fillId="8" borderId="16" xfId="11" applyFont="1" applyFill="1" applyBorder="1" applyAlignment="1" applyProtection="1">
      <alignment horizontal="left" vertical="center" wrapText="1"/>
      <protection locked="0" hidden="1"/>
    </xf>
    <xf numFmtId="0" fontId="12" fillId="8" borderId="0" xfId="11" applyFont="1" applyFill="1" applyBorder="1" applyAlignment="1" applyProtection="1">
      <alignment horizontal="left" vertical="center" wrapText="1"/>
      <protection locked="0" hidden="1"/>
    </xf>
    <xf numFmtId="49" fontId="11" fillId="8" borderId="0" xfId="0" applyNumberFormat="1" applyFont="1" applyFill="1" applyAlignment="1" applyProtection="1">
      <alignment horizontal="center"/>
      <protection locked="0" hidden="1"/>
    </xf>
    <xf numFmtId="49" fontId="11" fillId="8" borderId="0" xfId="0" applyNumberFormat="1" applyFont="1" applyFill="1" applyAlignment="1" applyProtection="1">
      <alignment horizontal="left"/>
      <protection locked="0" hidden="1"/>
    </xf>
    <xf numFmtId="0" fontId="9" fillId="8" borderId="16" xfId="0" applyFont="1" applyFill="1" applyBorder="1" applyProtection="1">
      <protection locked="0" hidden="1"/>
    </xf>
    <xf numFmtId="0" fontId="9" fillId="8" borderId="15" xfId="0" applyFont="1" applyFill="1" applyBorder="1" applyProtection="1">
      <protection locked="0" hidden="1"/>
    </xf>
    <xf numFmtId="0" fontId="14" fillId="8" borderId="0" xfId="0" applyFont="1" applyFill="1" applyAlignment="1" applyProtection="1">
      <alignment wrapText="1"/>
      <protection locked="0" hidden="1"/>
    </xf>
    <xf numFmtId="0" fontId="13" fillId="8" borderId="0" xfId="0" applyFont="1" applyFill="1" applyAlignment="1" applyProtection="1">
      <alignment horizontal="left" vertical="center" wrapText="1"/>
      <protection locked="0" hidden="1"/>
    </xf>
    <xf numFmtId="0" fontId="14" fillId="8" borderId="0" xfId="0" applyFont="1" applyFill="1" applyAlignment="1" applyProtection="1">
      <alignment horizontal="center" wrapText="1"/>
      <protection locked="0" hidden="1"/>
    </xf>
    <xf numFmtId="0" fontId="14" fillId="8" borderId="0" xfId="0" applyFont="1" applyFill="1" applyAlignment="1" applyProtection="1">
      <alignment horizontal="center" vertical="center" wrapText="1"/>
      <protection locked="0" hidden="1"/>
    </xf>
    <xf numFmtId="0" fontId="12" fillId="8" borderId="0" xfId="0" applyFont="1" applyFill="1" applyProtection="1">
      <protection locked="0" hidden="1"/>
    </xf>
    <xf numFmtId="0" fontId="7" fillId="8" borderId="0" xfId="11" applyFill="1" applyBorder="1" applyProtection="1">
      <protection locked="0" hidden="1"/>
    </xf>
    <xf numFmtId="0" fontId="9" fillId="8" borderId="17" xfId="0" applyFont="1" applyFill="1" applyBorder="1" applyProtection="1">
      <protection locked="0" hidden="1"/>
    </xf>
    <xf numFmtId="0" fontId="9" fillId="8" borderId="18" xfId="0" applyFont="1" applyFill="1" applyBorder="1" applyProtection="1">
      <protection locked="0" hidden="1"/>
    </xf>
    <xf numFmtId="0" fontId="9" fillId="8" borderId="18" xfId="0" applyFont="1" applyFill="1" applyBorder="1" applyAlignment="1" applyProtection="1">
      <alignment horizontal="center"/>
      <protection locked="0" hidden="1"/>
    </xf>
    <xf numFmtId="0" fontId="9" fillId="8" borderId="19" xfId="0" applyFont="1" applyFill="1" applyBorder="1" applyProtection="1">
      <protection locked="0" hidden="1"/>
    </xf>
    <xf numFmtId="0" fontId="48" fillId="0" borderId="5" xfId="1" applyNumberFormat="1" applyFont="1" applyFill="1" applyBorder="1" applyAlignment="1" applyProtection="1">
      <alignment horizontal="center" vertical="center"/>
      <protection locked="0" hidden="1"/>
    </xf>
    <xf numFmtId="172" fontId="9" fillId="4" borderId="0" xfId="0" applyNumberFormat="1" applyFont="1" applyFill="1" applyAlignment="1" applyProtection="1">
      <alignment horizontal="right"/>
      <protection locked="0"/>
    </xf>
    <xf numFmtId="0" fontId="33" fillId="0" borderId="12" xfId="0" applyFont="1" applyBorder="1" applyAlignment="1" applyProtection="1">
      <alignment vertical="center"/>
      <protection locked="0" hidden="1"/>
    </xf>
    <xf numFmtId="0" fontId="32" fillId="0" borderId="13" xfId="0" applyFont="1" applyBorder="1" applyAlignment="1" applyProtection="1">
      <alignment horizontal="center" vertical="center"/>
      <protection locked="0" hidden="1"/>
    </xf>
    <xf numFmtId="0" fontId="32" fillId="0" borderId="14" xfId="0" applyFont="1" applyBorder="1" applyAlignment="1" applyProtection="1">
      <alignment horizontal="center" vertical="center"/>
      <protection locked="0" hidden="1"/>
    </xf>
    <xf numFmtId="0" fontId="33" fillId="0" borderId="15" xfId="0" applyFont="1" applyBorder="1" applyAlignment="1" applyProtection="1">
      <alignment vertical="center"/>
      <protection locked="0" hidden="1"/>
    </xf>
    <xf numFmtId="0" fontId="36" fillId="0" borderId="0" xfId="0" applyFont="1" applyAlignment="1" applyProtection="1">
      <alignment horizontal="center" vertical="center"/>
      <protection locked="0" hidden="1"/>
    </xf>
    <xf numFmtId="0" fontId="32" fillId="0" borderId="16" xfId="0" applyFont="1" applyBorder="1" applyAlignment="1" applyProtection="1">
      <alignment horizontal="center" vertical="center"/>
      <protection locked="0" hidden="1"/>
    </xf>
    <xf numFmtId="0" fontId="32" fillId="3" borderId="0" xfId="0" applyFont="1" applyFill="1" applyAlignment="1" applyProtection="1">
      <alignment vertical="center"/>
      <protection locked="0" hidden="1"/>
    </xf>
    <xf numFmtId="168" fontId="32" fillId="0" borderId="16" xfId="2" applyNumberFormat="1" applyFont="1" applyFill="1" applyBorder="1" applyAlignment="1" applyProtection="1">
      <alignment horizontal="center" vertical="center"/>
      <protection locked="0" hidden="1"/>
    </xf>
    <xf numFmtId="0" fontId="33" fillId="0" borderId="0" xfId="0" applyFont="1" applyAlignment="1" applyProtection="1">
      <alignment vertical="center"/>
      <protection locked="0" hidden="1"/>
    </xf>
    <xf numFmtId="168" fontId="33" fillId="0" borderId="16" xfId="2" applyNumberFormat="1" applyFont="1" applyFill="1" applyBorder="1" applyAlignment="1" applyProtection="1">
      <alignment horizontal="center" vertical="center"/>
      <protection locked="0" hidden="1"/>
    </xf>
    <xf numFmtId="168" fontId="32" fillId="6" borderId="0" xfId="0" applyNumberFormat="1" applyFont="1" applyFill="1" applyAlignment="1" applyProtection="1">
      <alignment horizontal="center" vertical="center"/>
      <protection locked="0" hidden="1"/>
    </xf>
    <xf numFmtId="0" fontId="33" fillId="0" borderId="17" xfId="0" applyFont="1" applyBorder="1" applyAlignment="1" applyProtection="1">
      <alignment vertical="center"/>
      <protection locked="0" hidden="1"/>
    </xf>
    <xf numFmtId="0" fontId="33" fillId="0" borderId="18" xfId="0" applyFont="1" applyBorder="1" applyAlignment="1" applyProtection="1">
      <alignment vertical="center"/>
      <protection locked="0" hidden="1"/>
    </xf>
    <xf numFmtId="0" fontId="33" fillId="0" borderId="18" xfId="0" applyFont="1" applyBorder="1" applyAlignment="1" applyProtection="1">
      <alignment horizontal="center" vertical="center"/>
      <protection locked="0" hidden="1"/>
    </xf>
    <xf numFmtId="0" fontId="33" fillId="0" borderId="19" xfId="0" applyFont="1" applyBorder="1" applyAlignment="1" applyProtection="1">
      <alignment horizontal="center" vertical="center"/>
      <protection locked="0" hidden="1"/>
    </xf>
    <xf numFmtId="0" fontId="33" fillId="2" borderId="12" xfId="0" applyFont="1" applyFill="1" applyBorder="1" applyAlignment="1" applyProtection="1">
      <alignment vertical="center"/>
      <protection locked="0" hidden="1"/>
    </xf>
    <xf numFmtId="0" fontId="33" fillId="2" borderId="13" xfId="0" applyFont="1" applyFill="1" applyBorder="1" applyAlignment="1" applyProtection="1">
      <alignment vertical="center"/>
      <protection locked="0" hidden="1"/>
    </xf>
    <xf numFmtId="0" fontId="33" fillId="2" borderId="13" xfId="0" applyFont="1" applyFill="1" applyBorder="1" applyAlignment="1" applyProtection="1">
      <alignment horizontal="center" vertical="center"/>
      <protection locked="0" hidden="1"/>
    </xf>
    <xf numFmtId="0" fontId="32" fillId="2" borderId="14" xfId="0" applyFont="1" applyFill="1" applyBorder="1" applyAlignment="1" applyProtection="1">
      <alignment horizontal="center" vertical="center"/>
      <protection locked="0" hidden="1"/>
    </xf>
    <xf numFmtId="0" fontId="33" fillId="0" borderId="16" xfId="0" applyFont="1" applyBorder="1" applyAlignment="1" applyProtection="1">
      <alignment horizontal="center" vertical="center" wrapText="1"/>
      <protection locked="0" hidden="1"/>
    </xf>
    <xf numFmtId="168" fontId="33" fillId="0" borderId="16" xfId="2" applyNumberFormat="1" applyFont="1" applyFill="1" applyBorder="1" applyAlignment="1" applyProtection="1">
      <alignment horizontal="center" vertical="center" wrapText="1"/>
      <protection locked="0" hidden="1"/>
    </xf>
    <xf numFmtId="0" fontId="33" fillId="2" borderId="17" xfId="0" applyFont="1" applyFill="1" applyBorder="1" applyAlignment="1" applyProtection="1">
      <alignment vertical="center"/>
      <protection locked="0" hidden="1"/>
    </xf>
    <xf numFmtId="0" fontId="33" fillId="2" borderId="18" xfId="0" applyFont="1" applyFill="1" applyBorder="1" applyAlignment="1" applyProtection="1">
      <alignment vertical="center"/>
      <protection locked="0" hidden="1"/>
    </xf>
    <xf numFmtId="0" fontId="33" fillId="2" borderId="18" xfId="0" applyFont="1" applyFill="1" applyBorder="1" applyAlignment="1" applyProtection="1">
      <alignment horizontal="center" vertical="center"/>
      <protection locked="0" hidden="1"/>
    </xf>
    <xf numFmtId="0" fontId="33" fillId="2" borderId="19" xfId="0" applyFont="1" applyFill="1" applyBorder="1" applyAlignment="1" applyProtection="1">
      <alignment horizontal="center" vertical="center"/>
      <protection locked="0" hidden="1"/>
    </xf>
    <xf numFmtId="0" fontId="33" fillId="2" borderId="14" xfId="0" applyFont="1" applyFill="1" applyBorder="1" applyAlignment="1" applyProtection="1">
      <alignment vertical="center"/>
      <protection locked="0" hidden="1"/>
    </xf>
    <xf numFmtId="0" fontId="33" fillId="2" borderId="15" xfId="0" applyFont="1" applyFill="1" applyBorder="1" applyAlignment="1" applyProtection="1">
      <alignment vertical="center"/>
      <protection locked="0" hidden="1"/>
    </xf>
    <xf numFmtId="0" fontId="33" fillId="2" borderId="16" xfId="0" applyFont="1" applyFill="1" applyBorder="1" applyAlignment="1" applyProtection="1">
      <alignment vertical="center"/>
      <protection locked="0" hidden="1"/>
    </xf>
    <xf numFmtId="0" fontId="38" fillId="2" borderId="18" xfId="0" applyFont="1" applyFill="1" applyBorder="1" applyAlignment="1" applyProtection="1">
      <alignment vertical="center"/>
      <protection locked="0" hidden="1"/>
    </xf>
    <xf numFmtId="0" fontId="33" fillId="2" borderId="19" xfId="0" applyFont="1" applyFill="1" applyBorder="1" applyAlignment="1" applyProtection="1">
      <alignment vertical="center"/>
      <protection locked="0" hidden="1"/>
    </xf>
    <xf numFmtId="0" fontId="48" fillId="0" borderId="0" xfId="0" applyFont="1" applyAlignment="1" applyProtection="1">
      <alignment horizontal="center" vertical="center"/>
      <protection locked="0" hidden="1"/>
    </xf>
    <xf numFmtId="0" fontId="33" fillId="0" borderId="0" xfId="0" applyFont="1" applyAlignment="1" applyProtection="1">
      <alignment vertical="center" wrapText="1"/>
      <protection locked="0" hidden="1"/>
    </xf>
    <xf numFmtId="0" fontId="32" fillId="0" borderId="12" xfId="0" applyFont="1" applyBorder="1" applyAlignment="1" applyProtection="1">
      <alignment horizontal="center" vertical="center"/>
      <protection locked="0" hidden="1"/>
    </xf>
    <xf numFmtId="0" fontId="33" fillId="0" borderId="13" xfId="0" applyFont="1" applyBorder="1" applyAlignment="1" applyProtection="1">
      <alignment vertical="center"/>
      <protection locked="0" hidden="1"/>
    </xf>
    <xf numFmtId="0" fontId="33" fillId="0" borderId="14" xfId="0" applyFont="1" applyBorder="1" applyAlignment="1" applyProtection="1">
      <alignment vertical="center"/>
      <protection locked="0" hidden="1"/>
    </xf>
    <xf numFmtId="0" fontId="34" fillId="0" borderId="0" xfId="0" applyFont="1" applyAlignment="1" applyProtection="1">
      <alignment horizontal="center" vertical="center"/>
      <protection locked="0" hidden="1"/>
    </xf>
    <xf numFmtId="0" fontId="33" fillId="0" borderId="16" xfId="0" applyFont="1" applyBorder="1" applyAlignment="1" applyProtection="1">
      <alignment vertical="center"/>
      <protection locked="0" hidden="1"/>
    </xf>
    <xf numFmtId="0" fontId="33" fillId="0" borderId="0" xfId="0" applyFont="1" applyAlignment="1" applyProtection="1">
      <alignment horizontal="left" vertical="center"/>
      <protection locked="0" hidden="1"/>
    </xf>
    <xf numFmtId="172" fontId="33" fillId="0" borderId="0" xfId="0" applyNumberFormat="1" applyFont="1" applyAlignment="1" applyProtection="1">
      <alignment vertical="center"/>
      <protection locked="0" hidden="1"/>
    </xf>
    <xf numFmtId="178" fontId="33" fillId="0" borderId="0" xfId="0" applyNumberFormat="1" applyFont="1" applyAlignment="1" applyProtection="1">
      <alignment vertical="center"/>
      <protection locked="0" hidden="1"/>
    </xf>
    <xf numFmtId="0" fontId="33" fillId="3" borderId="0" xfId="0" applyFont="1" applyFill="1" applyAlignment="1" applyProtection="1">
      <alignment horizontal="left" vertical="center"/>
      <protection locked="0" hidden="1"/>
    </xf>
    <xf numFmtId="172" fontId="33" fillId="3" borderId="0" xfId="0" applyNumberFormat="1" applyFont="1" applyFill="1" applyAlignment="1" applyProtection="1">
      <alignment vertical="center"/>
      <protection locked="0" hidden="1"/>
    </xf>
    <xf numFmtId="178" fontId="33" fillId="3" borderId="0" xfId="0" applyNumberFormat="1" applyFont="1" applyFill="1" applyAlignment="1" applyProtection="1">
      <alignment vertical="center"/>
      <protection locked="0" hidden="1"/>
    </xf>
    <xf numFmtId="175" fontId="33" fillId="3" borderId="0" xfId="0" applyNumberFormat="1" applyFont="1" applyFill="1" applyAlignment="1" applyProtection="1">
      <alignment vertical="center"/>
      <protection locked="0" hidden="1"/>
    </xf>
    <xf numFmtId="179" fontId="33" fillId="3" borderId="0" xfId="0" applyNumberFormat="1" applyFont="1" applyFill="1" applyAlignment="1" applyProtection="1">
      <alignment vertical="center"/>
      <protection locked="0" hidden="1"/>
    </xf>
    <xf numFmtId="175" fontId="33" fillId="0" borderId="0" xfId="0" applyNumberFormat="1" applyFont="1" applyAlignment="1" applyProtection="1">
      <alignment vertical="center"/>
      <protection locked="0" hidden="1"/>
    </xf>
    <xf numFmtId="179" fontId="33" fillId="0" borderId="0" xfId="0" applyNumberFormat="1" applyFont="1" applyAlignment="1" applyProtection="1">
      <alignment vertical="center"/>
      <protection locked="0" hidden="1"/>
    </xf>
    <xf numFmtId="0" fontId="32" fillId="0" borderId="0" xfId="0" applyFont="1" applyAlignment="1" applyProtection="1">
      <alignment horizontal="left" vertical="center"/>
      <protection locked="0" hidden="1"/>
    </xf>
    <xf numFmtId="172" fontId="32" fillId="2" borderId="18" xfId="1" applyNumberFormat="1" applyFont="1" applyFill="1" applyBorder="1" applyAlignment="1" applyProtection="1">
      <alignment horizontal="right" vertical="center"/>
      <protection locked="0" hidden="1"/>
    </xf>
    <xf numFmtId="0" fontId="31" fillId="2" borderId="18" xfId="0" applyFont="1" applyFill="1" applyBorder="1" applyAlignment="1" applyProtection="1">
      <alignment vertical="center"/>
      <protection locked="0" hidden="1"/>
    </xf>
    <xf numFmtId="0" fontId="33" fillId="0" borderId="19" xfId="0" applyFont="1" applyBorder="1" applyAlignment="1" applyProtection="1">
      <alignment vertical="center"/>
      <protection locked="0" hidden="1"/>
    </xf>
    <xf numFmtId="172" fontId="32" fillId="0" borderId="13" xfId="1" applyNumberFormat="1" applyFont="1" applyFill="1" applyBorder="1" applyAlignment="1" applyProtection="1">
      <alignment horizontal="right" vertical="center"/>
      <protection locked="0" hidden="1"/>
    </xf>
    <xf numFmtId="0" fontId="31" fillId="0" borderId="13" xfId="0" applyFont="1" applyBorder="1" applyAlignment="1" applyProtection="1">
      <alignment vertical="center"/>
      <protection locked="0" hidden="1"/>
    </xf>
    <xf numFmtId="0" fontId="32" fillId="0" borderId="0" xfId="0" applyFont="1" applyAlignment="1" applyProtection="1">
      <alignment vertical="center"/>
      <protection locked="0" hidden="1"/>
    </xf>
    <xf numFmtId="0" fontId="31" fillId="7" borderId="0" xfId="0" applyFont="1" applyFill="1" applyAlignment="1" applyProtection="1">
      <alignment vertical="center"/>
      <protection locked="0" hidden="1"/>
    </xf>
    <xf numFmtId="0" fontId="33" fillId="4" borderId="0" xfId="0" applyFont="1" applyFill="1" applyAlignment="1" applyProtection="1">
      <alignment horizontal="left" vertical="center"/>
      <protection locked="0" hidden="1"/>
    </xf>
    <xf numFmtId="0" fontId="33" fillId="0" borderId="0" xfId="0" applyFont="1" applyAlignment="1" applyProtection="1">
      <alignment horizontal="left" vertical="center" indent="2"/>
      <protection locked="0" hidden="1"/>
    </xf>
    <xf numFmtId="0" fontId="33" fillId="4" borderId="0" xfId="0" applyFont="1" applyFill="1" applyAlignment="1" applyProtection="1">
      <alignment vertical="center"/>
      <protection locked="0" hidden="1"/>
    </xf>
    <xf numFmtId="175" fontId="9" fillId="0" borderId="0" xfId="0" applyNumberFormat="1" applyFont="1" applyProtection="1">
      <protection locked="0"/>
    </xf>
    <xf numFmtId="164" fontId="9" fillId="0" borderId="0" xfId="1" applyFont="1" applyProtection="1">
      <protection locked="0"/>
    </xf>
    <xf numFmtId="186" fontId="9" fillId="0" borderId="0" xfId="0" applyNumberFormat="1" applyFont="1" applyProtection="1">
      <protection locked="0"/>
    </xf>
    <xf numFmtId="175" fontId="9" fillId="0" borderId="0" xfId="1" applyNumberFormat="1" applyFont="1" applyFill="1" applyAlignment="1" applyProtection="1">
      <alignment horizontal="right"/>
      <protection locked="0"/>
    </xf>
    <xf numFmtId="164" fontId="9" fillId="0" borderId="0" xfId="1" applyFont="1" applyFill="1" applyProtection="1">
      <protection locked="0"/>
    </xf>
    <xf numFmtId="174" fontId="9" fillId="0" borderId="0" xfId="0" applyNumberFormat="1" applyFont="1" applyProtection="1">
      <protection locked="0"/>
    </xf>
    <xf numFmtId="171" fontId="9" fillId="3" borderId="0" xfId="0" applyNumberFormat="1" applyFont="1" applyFill="1" applyProtection="1">
      <protection locked="0"/>
    </xf>
    <xf numFmtId="0" fontId="26" fillId="0" borderId="9" xfId="0" applyFont="1" applyBorder="1" applyAlignment="1" applyProtection="1">
      <alignment horizontal="left" vertical="center" wrapText="1"/>
      <protection locked="0" hidden="1"/>
    </xf>
    <xf numFmtId="167" fontId="26" fillId="0" borderId="9" xfId="0" applyNumberFormat="1" applyFont="1" applyBorder="1" applyAlignment="1" applyProtection="1">
      <alignment horizontal="right" vertical="center" wrapText="1"/>
      <protection locked="0"/>
    </xf>
    <xf numFmtId="0" fontId="27" fillId="0" borderId="0" xfId="0" applyFont="1" applyAlignment="1" applyProtection="1">
      <alignment horizontal="left" vertical="center" indent="7"/>
      <protection locked="0" hidden="1"/>
    </xf>
    <xf numFmtId="0" fontId="27" fillId="0" borderId="0" xfId="0" applyFont="1" applyAlignment="1" applyProtection="1">
      <alignment horizontal="left" vertical="center" indent="3"/>
      <protection locked="0" hidden="1"/>
    </xf>
    <xf numFmtId="0" fontId="27" fillId="0" borderId="0" xfId="0" applyFont="1" applyAlignment="1" applyProtection="1">
      <alignment horizontal="left" vertical="center" indent="9"/>
      <protection locked="0" hidden="1"/>
    </xf>
    <xf numFmtId="168" fontId="21" fillId="0" borderId="0" xfId="2" applyNumberFormat="1" applyFont="1" applyFill="1" applyAlignment="1" applyProtection="1">
      <alignment horizontal="right"/>
      <protection locked="0"/>
    </xf>
    <xf numFmtId="185" fontId="9" fillId="0" borderId="0" xfId="2" applyNumberFormat="1" applyFont="1" applyFill="1" applyBorder="1" applyAlignment="1" applyProtection="1">
      <alignment horizontal="right"/>
      <protection locked="0"/>
    </xf>
    <xf numFmtId="172" fontId="9" fillId="3" borderId="9" xfId="1" applyNumberFormat="1" applyFont="1" applyFill="1" applyBorder="1" applyProtection="1">
      <protection locked="0"/>
    </xf>
    <xf numFmtId="168" fontId="9" fillId="3" borderId="9" xfId="2" applyNumberFormat="1" applyFont="1" applyFill="1" applyBorder="1" applyAlignment="1" applyProtection="1">
      <alignment horizontal="right"/>
      <protection locked="0"/>
    </xf>
    <xf numFmtId="165" fontId="9" fillId="3" borderId="0" xfId="1" applyNumberFormat="1" applyFont="1" applyFill="1" applyBorder="1" applyAlignment="1" applyProtection="1">
      <alignment horizontal="left" vertical="center" wrapText="1" indent="2"/>
      <protection locked="0" hidden="1"/>
    </xf>
    <xf numFmtId="185" fontId="9" fillId="3" borderId="0" xfId="2" applyNumberFormat="1" applyFont="1" applyFill="1" applyBorder="1" applyAlignment="1" applyProtection="1">
      <alignment horizontal="right"/>
      <protection locked="0"/>
    </xf>
    <xf numFmtId="185" fontId="51" fillId="4" borderId="0" xfId="0" applyNumberFormat="1" applyFont="1" applyFill="1" applyAlignment="1" applyProtection="1">
      <alignment horizontal="right" vertical="center"/>
      <protection locked="0"/>
    </xf>
    <xf numFmtId="185" fontId="9"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vertical="center" wrapText="1"/>
      <protection locked="0"/>
    </xf>
    <xf numFmtId="168" fontId="25" fillId="4" borderId="0" xfId="2" applyNumberFormat="1" applyFont="1" applyFill="1" applyBorder="1" applyAlignment="1" applyProtection="1">
      <alignment horizontal="right"/>
      <protection locked="0"/>
    </xf>
    <xf numFmtId="168" fontId="25" fillId="4" borderId="0" xfId="2" applyNumberFormat="1" applyFont="1" applyFill="1" applyAlignment="1" applyProtection="1">
      <alignment horizontal="right"/>
      <protection locked="0"/>
    </xf>
    <xf numFmtId="168" fontId="25" fillId="4" borderId="0" xfId="2" applyNumberFormat="1" applyFont="1" applyFill="1" applyAlignment="1" applyProtection="1">
      <alignment horizontal="right" vertical="center"/>
      <protection locked="0"/>
    </xf>
    <xf numFmtId="183" fontId="25" fillId="4" borderId="9" xfId="2" applyNumberFormat="1" applyFont="1" applyFill="1" applyBorder="1" applyAlignment="1" applyProtection="1">
      <alignment vertical="center"/>
      <protection locked="0"/>
    </xf>
    <xf numFmtId="183" fontId="25" fillId="4" borderId="0" xfId="2" applyNumberFormat="1" applyFont="1" applyFill="1" applyBorder="1" applyAlignment="1" applyProtection="1">
      <alignment vertical="center"/>
      <protection locked="0"/>
    </xf>
    <xf numFmtId="183" fontId="25" fillId="4" borderId="0" xfId="2" applyNumberFormat="1" applyFont="1" applyFill="1" applyBorder="1" applyAlignment="1" applyProtection="1">
      <alignment horizontal="right" vertical="center"/>
      <protection locked="0"/>
    </xf>
    <xf numFmtId="183" fontId="25" fillId="4" borderId="9" xfId="2" applyNumberFormat="1" applyFont="1" applyFill="1" applyBorder="1" applyAlignment="1" applyProtection="1">
      <alignment horizontal="right" vertical="center"/>
      <protection locked="0"/>
    </xf>
    <xf numFmtId="0" fontId="25" fillId="0" borderId="0" xfId="2" applyNumberFormat="1" applyFont="1" applyFill="1" applyBorder="1" applyAlignment="1" applyProtection="1">
      <alignment horizontal="right" vertical="center"/>
      <protection locked="0"/>
    </xf>
    <xf numFmtId="167" fontId="26" fillId="0" borderId="0" xfId="0" applyNumberFormat="1" applyFont="1" applyAlignment="1" applyProtection="1">
      <alignment horizontal="right" vertical="center" wrapText="1"/>
      <protection locked="0"/>
    </xf>
    <xf numFmtId="168" fontId="9" fillId="0" borderId="20" xfId="2" applyNumberFormat="1" applyFont="1" applyFill="1" applyBorder="1" applyAlignment="1" applyProtection="1">
      <alignment horizontal="right"/>
      <protection locked="0"/>
    </xf>
    <xf numFmtId="168" fontId="25" fillId="0" borderId="9" xfId="2" applyNumberFormat="1" applyFont="1" applyFill="1" applyBorder="1" applyAlignment="1" applyProtection="1">
      <alignment horizontal="right" vertical="center"/>
      <protection locked="0"/>
    </xf>
    <xf numFmtId="0" fontId="27" fillId="0" borderId="0" xfId="0" applyFont="1" applyAlignment="1" applyProtection="1">
      <alignment horizontal="left" vertical="center" indent="6"/>
      <protection locked="0" hidden="1"/>
    </xf>
    <xf numFmtId="0" fontId="21" fillId="0" borderId="9" xfId="0" applyFont="1" applyBorder="1" applyAlignment="1" applyProtection="1">
      <alignment horizontal="left"/>
      <protection locked="0" hidden="1"/>
    </xf>
    <xf numFmtId="0" fontId="9" fillId="0" borderId="9" xfId="0" applyFont="1" applyBorder="1" applyAlignment="1" applyProtection="1">
      <alignment horizontal="left" indent="1"/>
      <protection locked="0" hidden="1"/>
    </xf>
    <xf numFmtId="172" fontId="9" fillId="0" borderId="9" xfId="0" applyNumberFormat="1" applyFont="1" applyBorder="1" applyProtection="1">
      <protection locked="0"/>
    </xf>
    <xf numFmtId="168" fontId="9" fillId="0" borderId="9" xfId="0" applyNumberFormat="1" applyFont="1" applyBorder="1" applyProtection="1">
      <protection locked="0"/>
    </xf>
    <xf numFmtId="185" fontId="26" fillId="0" borderId="9" xfId="2" applyNumberFormat="1" applyFont="1" applyFill="1" applyBorder="1" applyAlignment="1" applyProtection="1">
      <alignment horizontal="right" vertical="center"/>
      <protection locked="0"/>
    </xf>
    <xf numFmtId="0" fontId="26" fillId="0" borderId="0" xfId="0" applyFont="1" applyAlignment="1" applyProtection="1">
      <alignment horizontal="left" vertical="center" wrapText="1"/>
      <protection locked="0" hidden="1"/>
    </xf>
    <xf numFmtId="0" fontId="26" fillId="3" borderId="9" xfId="0" applyFont="1" applyFill="1" applyBorder="1" applyAlignment="1" applyProtection="1">
      <alignment horizontal="left" vertical="center" wrapText="1"/>
      <protection locked="0" hidden="1"/>
    </xf>
    <xf numFmtId="167" fontId="26" fillId="3" borderId="9" xfId="0" applyNumberFormat="1" applyFont="1" applyFill="1" applyBorder="1" applyAlignment="1" applyProtection="1">
      <alignment horizontal="right" vertical="center" wrapText="1"/>
      <protection locked="0"/>
    </xf>
    <xf numFmtId="167" fontId="26" fillId="3" borderId="0" xfId="0" applyNumberFormat="1" applyFont="1" applyFill="1" applyAlignment="1" applyProtection="1">
      <alignment horizontal="right" vertical="center" wrapText="1"/>
      <protection locked="0"/>
    </xf>
    <xf numFmtId="168" fontId="26" fillId="3" borderId="0" xfId="2" applyNumberFormat="1" applyFont="1" applyFill="1" applyBorder="1" applyAlignment="1" applyProtection="1">
      <alignment horizontal="right" vertical="center" wrapText="1"/>
      <protection locked="0"/>
    </xf>
    <xf numFmtId="168" fontId="26" fillId="0" borderId="10" xfId="2" applyNumberFormat="1" applyFont="1" applyFill="1" applyBorder="1" applyAlignment="1" applyProtection="1">
      <alignment horizontal="right" vertical="center" wrapText="1"/>
      <protection locked="0"/>
    </xf>
    <xf numFmtId="187" fontId="25" fillId="0" borderId="10" xfId="0" applyNumberFormat="1" applyFont="1" applyBorder="1" applyAlignment="1" applyProtection="1">
      <alignment horizontal="right" vertical="center" wrapText="1"/>
      <protection locked="0"/>
    </xf>
    <xf numFmtId="187" fontId="25" fillId="3" borderId="0" xfId="0" applyNumberFormat="1" applyFont="1" applyFill="1" applyAlignment="1" applyProtection="1">
      <alignment horizontal="right" vertical="center" wrapText="1"/>
      <protection locked="0"/>
    </xf>
    <xf numFmtId="187" fontId="25" fillId="0" borderId="0" xfId="0" applyNumberFormat="1" applyFont="1" applyAlignment="1" applyProtection="1">
      <alignment horizontal="right" vertical="center" wrapText="1"/>
      <protection locked="0"/>
    </xf>
    <xf numFmtId="168" fontId="25" fillId="0" borderId="10" xfId="2" applyNumberFormat="1" applyFont="1" applyFill="1" applyBorder="1" applyAlignment="1" applyProtection="1">
      <alignment horizontal="right" vertical="center" wrapText="1"/>
      <protection locked="0"/>
    </xf>
    <xf numFmtId="0" fontId="48" fillId="2" borderId="0" xfId="1" applyNumberFormat="1" applyFont="1" applyFill="1" applyBorder="1" applyAlignment="1" applyProtection="1">
      <alignment horizontal="center" vertical="center"/>
      <protection locked="0" hidden="1"/>
    </xf>
    <xf numFmtId="1" fontId="22" fillId="2" borderId="0" xfId="1" applyNumberFormat="1" applyFont="1" applyFill="1" applyBorder="1" applyAlignment="1" applyProtection="1">
      <alignment horizontal="right" vertical="center"/>
      <protection locked="0"/>
    </xf>
    <xf numFmtId="168" fontId="9" fillId="2" borderId="0" xfId="2" applyNumberFormat="1" applyFont="1" applyFill="1" applyBorder="1" applyAlignment="1" applyProtection="1">
      <alignment horizontal="right" vertical="center" wrapText="1"/>
      <protection locked="0"/>
    </xf>
    <xf numFmtId="174" fontId="9" fillId="2" borderId="0" xfId="2" applyNumberFormat="1" applyFont="1" applyFill="1" applyBorder="1" applyAlignment="1" applyProtection="1">
      <alignment horizontal="right" vertical="center" wrapText="1"/>
      <protection locked="0"/>
    </xf>
    <xf numFmtId="0" fontId="9" fillId="2" borderId="0" xfId="0" applyFont="1" applyFill="1" applyAlignment="1" applyProtection="1">
      <alignment horizontal="right"/>
      <protection locked="0"/>
    </xf>
    <xf numFmtId="0" fontId="26" fillId="2" borderId="0" xfId="0" applyFont="1" applyFill="1" applyAlignment="1" applyProtection="1">
      <alignment horizontal="left" vertical="center"/>
      <protection locked="0"/>
    </xf>
    <xf numFmtId="168" fontId="9" fillId="2" borderId="0" xfId="2" applyNumberFormat="1" applyFont="1" applyFill="1" applyBorder="1" applyAlignment="1" applyProtection="1">
      <alignment horizontal="right"/>
      <protection locked="0"/>
    </xf>
    <xf numFmtId="168" fontId="9" fillId="2" borderId="0" xfId="0" applyNumberFormat="1" applyFont="1" applyFill="1" applyAlignment="1" applyProtection="1">
      <alignment horizontal="right"/>
      <protection locked="0"/>
    </xf>
    <xf numFmtId="165" fontId="9" fillId="0" borderId="0" xfId="1" applyNumberFormat="1" applyFont="1" applyFill="1" applyBorder="1" applyAlignment="1" applyProtection="1">
      <alignment horizontal="right"/>
      <protection locked="0"/>
    </xf>
    <xf numFmtId="0" fontId="27" fillId="0" borderId="0" xfId="0" applyFont="1" applyAlignment="1" applyProtection="1">
      <alignment horizontal="left" indent="5"/>
      <protection locked="0" hidden="1"/>
    </xf>
    <xf numFmtId="165" fontId="9" fillId="3" borderId="0" xfId="1" applyNumberFormat="1" applyFont="1" applyFill="1" applyAlignment="1" applyProtection="1">
      <alignment horizontal="right"/>
      <protection locked="0"/>
    </xf>
    <xf numFmtId="0" fontId="30" fillId="3" borderId="0" xfId="0" applyFont="1" applyFill="1" applyAlignment="1" applyProtection="1">
      <alignment horizontal="left" indent="5"/>
      <protection locked="0" hidden="1"/>
    </xf>
    <xf numFmtId="170" fontId="9" fillId="3" borderId="0" xfId="1" applyNumberFormat="1" applyFont="1" applyFill="1" applyBorder="1" applyAlignment="1" applyProtection="1">
      <alignment horizontal="right" wrapText="1"/>
      <protection locked="0"/>
    </xf>
    <xf numFmtId="168" fontId="9" fillId="3" borderId="0" xfId="1" applyNumberFormat="1" applyFont="1" applyFill="1" applyBorder="1" applyAlignment="1" applyProtection="1">
      <alignment horizontal="right" wrapText="1"/>
      <protection locked="0"/>
    </xf>
    <xf numFmtId="168" fontId="9" fillId="3" borderId="0" xfId="2" applyNumberFormat="1" applyFont="1" applyFill="1" applyBorder="1" applyAlignment="1" applyProtection="1">
      <alignment horizontal="right" wrapText="1"/>
      <protection locked="0"/>
    </xf>
    <xf numFmtId="174" fontId="9" fillId="3" borderId="0" xfId="2" applyNumberFormat="1" applyFont="1" applyFill="1" applyBorder="1" applyAlignment="1" applyProtection="1">
      <alignment horizontal="right" wrapText="1"/>
      <protection locked="0"/>
    </xf>
    <xf numFmtId="0" fontId="54" fillId="0" borderId="9" xfId="11" applyNumberFormat="1" applyFont="1" applyFill="1" applyBorder="1" applyAlignment="1" applyProtection="1">
      <alignment horizontal="left" vertical="center" wrapText="1"/>
      <protection locked="0" hidden="1"/>
    </xf>
    <xf numFmtId="164" fontId="33" fillId="0" borderId="0" xfId="0" applyNumberFormat="1" applyFont="1" applyAlignment="1" applyProtection="1">
      <alignment vertical="center"/>
      <protection locked="0" hidden="1"/>
    </xf>
    <xf numFmtId="164" fontId="31" fillId="5" borderId="0" xfId="0" applyNumberFormat="1" applyFont="1" applyFill="1" applyAlignment="1" applyProtection="1">
      <alignment vertical="center"/>
      <protection locked="0" hidden="1"/>
    </xf>
    <xf numFmtId="164" fontId="33" fillId="3" borderId="0" xfId="0" applyNumberFormat="1" applyFont="1" applyFill="1" applyAlignment="1" applyProtection="1">
      <alignment vertical="center"/>
      <protection locked="0" hidden="1"/>
    </xf>
    <xf numFmtId="164" fontId="32" fillId="0" borderId="6" xfId="1" applyFont="1" applyFill="1" applyBorder="1" applyAlignment="1" applyProtection="1">
      <alignment horizontal="right" vertical="center"/>
      <protection locked="0" hidden="1"/>
    </xf>
    <xf numFmtId="164" fontId="16" fillId="5" borderId="6" xfId="1" applyFont="1" applyFill="1" applyBorder="1" applyAlignment="1" applyProtection="1">
      <alignment horizontal="right" vertical="center"/>
      <protection locked="0" hidden="1"/>
    </xf>
    <xf numFmtId="164" fontId="32" fillId="3" borderId="6" xfId="1" applyFont="1" applyFill="1" applyBorder="1" applyAlignment="1" applyProtection="1">
      <alignment horizontal="right" vertical="center"/>
      <protection locked="0" hidden="1"/>
    </xf>
    <xf numFmtId="164" fontId="32" fillId="0" borderId="0" xfId="1" applyFont="1" applyFill="1" applyBorder="1" applyAlignment="1" applyProtection="1">
      <alignment horizontal="right" vertical="center"/>
      <protection locked="0" hidden="1"/>
    </xf>
    <xf numFmtId="164" fontId="16" fillId="5" borderId="0" xfId="1" applyFont="1" applyFill="1" applyBorder="1" applyAlignment="1" applyProtection="1">
      <alignment horizontal="right" vertical="center"/>
      <protection locked="0" hidden="1"/>
    </xf>
    <xf numFmtId="175" fontId="33" fillId="4" borderId="0" xfId="0" applyNumberFormat="1" applyFont="1" applyFill="1" applyAlignment="1" applyProtection="1">
      <alignment vertical="center"/>
      <protection locked="0" hidden="1"/>
    </xf>
    <xf numFmtId="175" fontId="31" fillId="7" borderId="0" xfId="0" applyNumberFormat="1" applyFont="1" applyFill="1" applyAlignment="1" applyProtection="1">
      <alignment vertical="center"/>
      <protection locked="0" hidden="1"/>
    </xf>
    <xf numFmtId="179" fontId="33" fillId="0" borderId="0" xfId="0" applyNumberFormat="1" applyFont="1" applyAlignment="1" applyProtection="1">
      <alignment horizontal="right" vertical="center"/>
      <protection locked="0" hidden="1"/>
    </xf>
    <xf numFmtId="0" fontId="27" fillId="0" borderId="0" xfId="0" applyFont="1" applyAlignment="1" applyProtection="1">
      <alignment horizontal="left" indent="2"/>
      <protection locked="0" hidden="1"/>
    </xf>
    <xf numFmtId="9" fontId="25" fillId="0" borderId="9" xfId="2" applyFont="1" applyFill="1" applyBorder="1" applyAlignment="1" applyProtection="1">
      <alignment horizontal="right"/>
      <protection locked="0"/>
    </xf>
    <xf numFmtId="0" fontId="27" fillId="3" borderId="0" xfId="0" applyFont="1" applyFill="1" applyAlignment="1" applyProtection="1">
      <alignment horizontal="left" indent="2"/>
      <protection locked="0" hidden="1"/>
    </xf>
    <xf numFmtId="172" fontId="25" fillId="3" borderId="0" xfId="2" applyNumberFormat="1" applyFont="1" applyFill="1" applyBorder="1" applyAlignment="1" applyProtection="1">
      <alignment horizontal="right" vertical="center"/>
      <protection locked="0"/>
    </xf>
    <xf numFmtId="9" fontId="25" fillId="3" borderId="0" xfId="2" applyFont="1" applyFill="1" applyBorder="1" applyAlignment="1" applyProtection="1">
      <alignment horizontal="right" vertical="center"/>
      <protection locked="0"/>
    </xf>
    <xf numFmtId="0" fontId="25" fillId="3" borderId="0" xfId="0" applyFont="1" applyFill="1" applyAlignment="1" applyProtection="1">
      <alignment horizontal="left"/>
      <protection locked="0" hidden="1"/>
    </xf>
    <xf numFmtId="185" fontId="57" fillId="0" borderId="10" xfId="0" applyNumberFormat="1" applyFont="1" applyBorder="1" applyAlignment="1" applyProtection="1">
      <alignment horizontal="right" vertical="center"/>
      <protection locked="0"/>
    </xf>
    <xf numFmtId="170" fontId="9" fillId="0" borderId="0" xfId="0" applyNumberFormat="1" applyFont="1" applyProtection="1">
      <protection locked="0"/>
    </xf>
    <xf numFmtId="172" fontId="9" fillId="0" borderId="9" xfId="1" applyNumberFormat="1" applyFont="1" applyFill="1" applyBorder="1" applyProtection="1">
      <protection locked="0"/>
    </xf>
    <xf numFmtId="168" fontId="9" fillId="0" borderId="9" xfId="2" applyNumberFormat="1" applyFont="1" applyFill="1" applyBorder="1" applyProtection="1">
      <protection locked="0"/>
    </xf>
    <xf numFmtId="185" fontId="9" fillId="0" borderId="9" xfId="2" applyNumberFormat="1" applyFont="1" applyFill="1" applyBorder="1" applyAlignment="1" applyProtection="1">
      <alignment horizontal="right"/>
      <protection locked="0"/>
    </xf>
    <xf numFmtId="172" fontId="25" fillId="0" borderId="0" xfId="0" applyNumberFormat="1" applyFont="1" applyAlignment="1" applyProtection="1">
      <alignment horizontal="right" vertical="center" wrapText="1"/>
      <protection locked="0"/>
    </xf>
    <xf numFmtId="168" fontId="9" fillId="3" borderId="0" xfId="2" applyNumberFormat="1" applyFont="1" applyFill="1" applyBorder="1" applyProtection="1">
      <protection locked="0"/>
    </xf>
    <xf numFmtId="172" fontId="25" fillId="3" borderId="9" xfId="0" applyNumberFormat="1" applyFont="1" applyFill="1" applyBorder="1" applyAlignment="1" applyProtection="1">
      <alignment horizontal="right" vertical="center" wrapText="1"/>
      <protection locked="0"/>
    </xf>
    <xf numFmtId="168" fontId="25" fillId="3" borderId="9" xfId="2" applyNumberFormat="1" applyFont="1" applyFill="1" applyBorder="1" applyAlignment="1" applyProtection="1">
      <alignment horizontal="right" vertical="center" wrapText="1"/>
      <protection locked="0"/>
    </xf>
    <xf numFmtId="0" fontId="19" fillId="8" borderId="0" xfId="0" applyFont="1" applyFill="1" applyAlignment="1" applyProtection="1">
      <alignment horizontal="center" vertical="center"/>
      <protection locked="0" hidden="1"/>
    </xf>
    <xf numFmtId="0" fontId="9" fillId="0" borderId="0" xfId="0" applyFont="1" applyAlignment="1" applyProtection="1">
      <alignment horizontal="left" wrapText="1"/>
      <protection locked="0" hidden="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center" vertical="center"/>
      <protection locked="0"/>
    </xf>
    <xf numFmtId="0" fontId="49" fillId="2" borderId="0" xfId="0" applyFont="1" applyFill="1" applyAlignment="1" applyProtection="1">
      <alignment horizontal="center" vertical="center"/>
      <protection locked="0" hidden="1"/>
    </xf>
    <xf numFmtId="0" fontId="9" fillId="2" borderId="0" xfId="0" applyFont="1" applyFill="1" applyAlignment="1" applyProtection="1">
      <alignment horizontal="left" vertical="top" wrapText="1"/>
      <protection locked="0" hidden="1"/>
    </xf>
    <xf numFmtId="0" fontId="9" fillId="2" borderId="16" xfId="0" applyFont="1" applyFill="1" applyBorder="1" applyAlignment="1" applyProtection="1">
      <alignment horizontal="left" vertical="top" wrapText="1"/>
      <protection locked="0" hidden="1"/>
    </xf>
    <xf numFmtId="0" fontId="33" fillId="3" borderId="0" xfId="0" applyFont="1" applyFill="1" applyAlignment="1" applyProtection="1">
      <alignment horizontal="center" vertical="center" wrapText="1"/>
      <protection locked="0" hidden="1"/>
    </xf>
    <xf numFmtId="0" fontId="37" fillId="0" borderId="13" xfId="0" applyFont="1" applyBorder="1" applyAlignment="1" applyProtection="1">
      <alignment horizontal="center" vertical="center"/>
      <protection locked="0" hidden="1"/>
    </xf>
    <xf numFmtId="0" fontId="33" fillId="2" borderId="0" xfId="0" applyFont="1" applyFill="1" applyAlignment="1" applyProtection="1">
      <alignment horizontal="left" wrapText="1"/>
      <protection locked="0" hidden="1"/>
    </xf>
    <xf numFmtId="0" fontId="33" fillId="2" borderId="16" xfId="0" applyFont="1" applyFill="1" applyBorder="1" applyAlignment="1" applyProtection="1">
      <alignment horizontal="left" wrapText="1"/>
      <protection locked="0" hidden="1"/>
    </xf>
  </cellXfs>
  <cellStyles count="12">
    <cellStyle name="Comma" xfId="1" builtinId="3"/>
    <cellStyle name="Estilo 2" xfId="8" xr:uid="{00000000-0005-0000-0000-000000000000}"/>
    <cellStyle name="Hyperlink" xfId="11" builtinId="8"/>
    <cellStyle name="Normal" xfId="0" builtinId="0"/>
    <cellStyle name="Normal 11" xfId="5" xr:uid="{00000000-0005-0000-0000-000002000000}"/>
    <cellStyle name="Normal 2" xfId="9" xr:uid="{00000000-0005-0000-0000-000003000000}"/>
    <cellStyle name="Normal 22" xfId="10" xr:uid="{2EEDC521-205B-2040-ACE3-A03EF593B3D5}"/>
    <cellStyle name="Normal 6 2 2" xfId="4" xr:uid="{00000000-0005-0000-0000-000004000000}"/>
    <cellStyle name="Percent" xfId="2" builtinId="5"/>
    <cellStyle name="Vírgula 3" xfId="7" xr:uid="{00000000-0005-0000-0000-000007000000}"/>
    <cellStyle name="Vírgula 4" xfId="3" xr:uid="{00000000-0005-0000-0000-000008000000}"/>
    <cellStyle name="Vírgula 7" xfId="6" xr:uid="{00000000-0005-0000-0000-000009000000}"/>
  </cellStyles>
  <dxfs count="0"/>
  <tableStyles count="0" defaultTableStyle="TableStyleMedium2" defaultPivotStyle="PivotStyleLight16"/>
  <colors>
    <mruColors>
      <color rgb="FFEC7100"/>
      <color rgb="FFF2F2F2"/>
      <color rgb="FFE1E2E1"/>
      <color rgb="FFD9D9D9"/>
      <color rgb="FFFFE9D0"/>
      <color rgb="FFFBE6CB"/>
      <color rgb="FF72350C"/>
      <color rgb="FFFBE5CB"/>
      <color rgb="FFEA7100"/>
      <color rgb="FFEB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0.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1.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ummary | Sum&#225;rio'!A1"/><Relationship Id="rId1" Type="http://schemas.openxmlformats.org/officeDocument/2006/relationships/image" Target="../media/image5.jpeg"/><Relationship Id="rId4" Type="http://schemas.openxmlformats.org/officeDocument/2006/relationships/image" Target="../media/image4.svg"/></Relationships>
</file>

<file path=xl/drawings/_rels/drawing2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Summary | Sum&#225;rio'!A1"/></Relationships>
</file>

<file path=xl/drawings/drawing1.xml><?xml version="1.0" encoding="utf-8"?>
<xdr:wsDr xmlns:xdr="http://schemas.openxmlformats.org/drawingml/2006/spreadsheetDrawing" xmlns:a="http://schemas.openxmlformats.org/drawingml/2006/main">
  <xdr:twoCellAnchor>
    <xdr:from>
      <xdr:col>4</xdr:col>
      <xdr:colOff>1239024</xdr:colOff>
      <xdr:row>7</xdr:row>
      <xdr:rowOff>139391</xdr:rowOff>
    </xdr:from>
    <xdr:to>
      <xdr:col>7</xdr:col>
      <xdr:colOff>3199340</xdr:colOff>
      <xdr:row>7</xdr:row>
      <xdr:rowOff>596591</xdr:rowOff>
    </xdr:to>
    <xdr:sp macro="" textlink="">
      <xdr:nvSpPr>
        <xdr:cNvPr id="7" name="Rounded Rectangle 5">
          <a:extLst>
            <a:ext uri="{FF2B5EF4-FFF2-40B4-BE49-F238E27FC236}">
              <a16:creationId xmlns:a16="http://schemas.microsoft.com/office/drawing/2014/main" id="{00000000-0008-0000-0100-000007000000}"/>
            </a:ext>
          </a:extLst>
        </xdr:cNvPr>
        <xdr:cNvSpPr/>
      </xdr:nvSpPr>
      <xdr:spPr>
        <a:xfrm>
          <a:off x="5171927" y="1627886"/>
          <a:ext cx="3803865" cy="457200"/>
        </a:xfrm>
        <a:prstGeom prst="roundRect">
          <a:avLst>
            <a:gd name="adj" fmla="val 26105"/>
          </a:avLst>
        </a:prstGeom>
        <a:solidFill>
          <a:srgbClr val="EA7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chemeClr val="bg1"/>
              </a:solidFill>
              <a:latin typeface="Calibri" panose="020F0502020204030204" pitchFamily="34" charset="0"/>
              <a:cs typeface="Calibri" panose="020F0502020204030204" pitchFamily="34" charset="0"/>
            </a:rPr>
            <a:t>Inter&amp;Co</a:t>
          </a:r>
        </a:p>
      </xdr:txBody>
    </xdr:sp>
    <xdr:clientData/>
  </xdr:twoCellAnchor>
  <xdr:twoCellAnchor>
    <xdr:from>
      <xdr:col>8</xdr:col>
      <xdr:colOff>30976</xdr:colOff>
      <xdr:row>7</xdr:row>
      <xdr:rowOff>139390</xdr:rowOff>
    </xdr:from>
    <xdr:to>
      <xdr:col>10</xdr:col>
      <xdr:colOff>3447685</xdr:colOff>
      <xdr:row>7</xdr:row>
      <xdr:rowOff>596590</xdr:rowOff>
    </xdr:to>
    <xdr:sp macro="" textlink="Names!BI1">
      <xdr:nvSpPr>
        <xdr:cNvPr id="8" name="Rounded Rectangle 6">
          <a:extLst>
            <a:ext uri="{FF2B5EF4-FFF2-40B4-BE49-F238E27FC236}">
              <a16:creationId xmlns:a16="http://schemas.microsoft.com/office/drawing/2014/main" id="{00000000-0008-0000-0100-000008000000}"/>
            </a:ext>
          </a:extLst>
        </xdr:cNvPr>
        <xdr:cNvSpPr/>
      </xdr:nvSpPr>
      <xdr:spPr>
        <a:xfrm>
          <a:off x="9262374" y="1627885"/>
          <a:ext cx="3799074" cy="457200"/>
        </a:xfrm>
        <a:prstGeom prst="roundRect">
          <a:avLst>
            <a:gd name="adj" fmla="val 32079"/>
          </a:avLst>
        </a:prstGeom>
        <a:solidFill>
          <a:srgbClr val="FFCA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04166D6-72A5-9E43-B582-0186843AB261}" type="TxLink">
            <a:rPr lang="en-US" sz="1800" b="1" i="0" u="none" strike="noStrike">
              <a:solidFill>
                <a:schemeClr val="tx1"/>
              </a:solidFill>
              <a:latin typeface="Calibri" panose="020F0502020204030204" pitchFamily="34" charset="0"/>
              <a:cs typeface="Calibri" panose="020F0502020204030204" pitchFamily="34" charset="0"/>
            </a:rPr>
            <a:pPr algn="ctr"/>
            <a:t>Operational Data</a:t>
          </a:fld>
          <a:endParaRPr lang="en-US" sz="1800" b="1">
            <a:solidFill>
              <a:schemeClr val="tx1"/>
            </a:solidFill>
            <a:latin typeface="Calibri" panose="020F0502020204030204" pitchFamily="34" charset="0"/>
            <a:cs typeface="Calibri" panose="020F0502020204030204" pitchFamily="34" charset="0"/>
          </a:endParaRPr>
        </a:p>
      </xdr:txBody>
    </xdr:sp>
    <xdr:clientData/>
  </xdr:twoCellAnchor>
  <xdr:twoCellAnchor>
    <xdr:from>
      <xdr:col>8</xdr:col>
      <xdr:colOff>61804</xdr:colOff>
      <xdr:row>19</xdr:row>
      <xdr:rowOff>177122</xdr:rowOff>
    </xdr:from>
    <xdr:to>
      <xdr:col>10</xdr:col>
      <xdr:colOff>3478513</xdr:colOff>
      <xdr:row>21</xdr:row>
      <xdr:rowOff>231639</xdr:rowOff>
    </xdr:to>
    <xdr:sp macro="" textlink="Names!BI2">
      <xdr:nvSpPr>
        <xdr:cNvPr id="4" name="Rounded Rectangle 6">
          <a:extLst>
            <a:ext uri="{FF2B5EF4-FFF2-40B4-BE49-F238E27FC236}">
              <a16:creationId xmlns:a16="http://schemas.microsoft.com/office/drawing/2014/main" id="{00000000-0008-0000-0100-000004000000}"/>
            </a:ext>
          </a:extLst>
        </xdr:cNvPr>
        <xdr:cNvSpPr/>
      </xdr:nvSpPr>
      <xdr:spPr>
        <a:xfrm>
          <a:off x="9293202" y="4683574"/>
          <a:ext cx="3799074" cy="450538"/>
        </a:xfrm>
        <a:prstGeom prst="roundRect">
          <a:avLst>
            <a:gd name="adj" fmla="val 34845"/>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33C4277-FB5B-444D-8487-FA67393E39B5}" type="TxLink">
            <a:rPr lang="en-US" sz="2000" b="1" i="0" u="none" strike="noStrike">
              <a:solidFill>
                <a:srgbClr val="000000"/>
              </a:solidFill>
              <a:latin typeface="Calibri"/>
              <a:cs typeface="Calibri"/>
            </a:rPr>
            <a:pPr algn="ctr"/>
            <a:t>Others</a:t>
          </a:fld>
          <a:endParaRPr lang="en-US" sz="2000" b="1">
            <a:solidFill>
              <a:schemeClr val="tx1"/>
            </a:solidFill>
            <a:latin typeface="Calibri" panose="020F0502020204030204" pitchFamily="34" charset="0"/>
            <a:cs typeface="Calibri" panose="020F0502020204030204" pitchFamily="34" charset="0"/>
          </a:endParaRPr>
        </a:p>
      </xdr:txBody>
    </xdr:sp>
    <xdr:clientData/>
  </xdr:twoCellAnchor>
  <xdr:twoCellAnchor editAs="oneCell">
    <xdr:from>
      <xdr:col>7</xdr:col>
      <xdr:colOff>1779814</xdr:colOff>
      <xdr:row>2</xdr:row>
      <xdr:rowOff>54572</xdr:rowOff>
    </xdr:from>
    <xdr:to>
      <xdr:col>10</xdr:col>
      <xdr:colOff>1221014</xdr:colOff>
      <xdr:row>3</xdr:row>
      <xdr:rowOff>279416</xdr:rowOff>
    </xdr:to>
    <xdr:pic>
      <xdr:nvPicPr>
        <xdr:cNvPr id="24" name="Picture 23">
          <a:extLst>
            <a:ext uri="{FF2B5EF4-FFF2-40B4-BE49-F238E27FC236}">
              <a16:creationId xmlns:a16="http://schemas.microsoft.com/office/drawing/2014/main" id="{F3E7C130-12D5-8789-A5E1-7B11D1622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9368" y="315376"/>
          <a:ext cx="3285217" cy="509912"/>
        </a:xfrm>
        <a:prstGeom prst="rect">
          <a:avLst/>
        </a:prstGeom>
      </xdr:spPr>
    </xdr:pic>
    <xdr:clientData/>
  </xdr:twoCellAnchor>
  <xdr:twoCellAnchor editAs="oneCell">
    <xdr:from>
      <xdr:col>1</xdr:col>
      <xdr:colOff>0</xdr:colOff>
      <xdr:row>8</xdr:row>
      <xdr:rowOff>81936</xdr:rowOff>
    </xdr:from>
    <xdr:to>
      <xdr:col>4</xdr:col>
      <xdr:colOff>1136077</xdr:colOff>
      <xdr:row>33</xdr:row>
      <xdr:rowOff>28272</xdr:rowOff>
    </xdr:to>
    <xdr:pic>
      <xdr:nvPicPr>
        <xdr:cNvPr id="2" name="Image 8" descr=" ">
          <a:extLst>
            <a:ext uri="{FF2B5EF4-FFF2-40B4-BE49-F238E27FC236}">
              <a16:creationId xmlns:a16="http://schemas.microsoft.com/office/drawing/2014/main" id="{C3134EAE-0EEC-AD40-B3B6-B5089A42BF28}"/>
            </a:ext>
          </a:extLst>
        </xdr:cNvPr>
        <xdr:cNvPicPr>
          <a:picLocks noChangeAspect="1"/>
        </xdr:cNvPicPr>
      </xdr:nvPicPr>
      <xdr:blipFill>
        <a:blip xmlns:r="http://schemas.openxmlformats.org/officeDocument/2006/relationships" r:embed="rId2"/>
        <a:stretch>
          <a:fillRect/>
        </a:stretch>
      </xdr:blipFill>
      <xdr:spPr>
        <a:xfrm>
          <a:off x="259462" y="2171291"/>
          <a:ext cx="4809518" cy="48919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266700</xdr:colOff>
      <xdr:row>0</xdr:row>
      <xdr:rowOff>88900</xdr:rowOff>
    </xdr:from>
    <xdr:to>
      <xdr:col>16</xdr:col>
      <xdr:colOff>313592</xdr:colOff>
      <xdr:row>2</xdr:row>
      <xdr:rowOff>44653</xdr:rowOff>
    </xdr:to>
    <xdr:grpSp>
      <xdr:nvGrpSpPr>
        <xdr:cNvPr id="2" name="Group 1">
          <a:extLst>
            <a:ext uri="{FF2B5EF4-FFF2-40B4-BE49-F238E27FC236}">
              <a16:creationId xmlns:a16="http://schemas.microsoft.com/office/drawing/2014/main" id="{948A8473-6824-E811-D85A-9A548DAFA38C}"/>
            </a:ext>
          </a:extLst>
        </xdr:cNvPr>
        <xdr:cNvGrpSpPr/>
      </xdr:nvGrpSpPr>
      <xdr:grpSpPr>
        <a:xfrm>
          <a:off x="15176500" y="88900"/>
          <a:ext cx="1697892" cy="285953"/>
          <a:chOff x="13982700" y="889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3982700" y="895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4071926" y="88900"/>
            <a:ext cx="258937" cy="26491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0</xdr:colOff>
      <xdr:row>1</xdr:row>
      <xdr:rowOff>689</xdr:rowOff>
    </xdr:from>
    <xdr:to>
      <xdr:col>31</xdr:col>
      <xdr:colOff>46892</xdr:colOff>
      <xdr:row>2</xdr:row>
      <xdr:rowOff>120853</xdr:rowOff>
    </xdr:to>
    <xdr:sp macro="" textlink="Names!BG2">
      <xdr:nvSpPr>
        <xdr:cNvPr id="6" name="Rounded 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29</xdr:col>
      <xdr:colOff>89226</xdr:colOff>
      <xdr:row>1</xdr:row>
      <xdr:rowOff>0</xdr:rowOff>
    </xdr:from>
    <xdr:to>
      <xdr:col>29</xdr:col>
      <xdr:colOff>348163</xdr:colOff>
      <xdr:row>2</xdr:row>
      <xdr:rowOff>99817</xdr:rowOff>
    </xdr:to>
    <xdr:pic>
      <xdr:nvPicPr>
        <xdr:cNvPr id="7"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679F8DD5-63F3-23EC-6D97-5467E4F1396C}"/>
            </a:ext>
          </a:extLst>
        </xdr:cNvPr>
        <xdr:cNvGrpSpPr/>
      </xdr:nvGrpSpPr>
      <xdr:grpSpPr>
        <a:xfrm>
          <a:off x="26682700" y="165100"/>
          <a:ext cx="1697892" cy="285953"/>
          <a:chOff x="20320000" y="165100"/>
          <a:chExt cx="1697892" cy="285953"/>
        </a:xfrm>
      </xdr:grpSpPr>
      <xdr:sp macro="" textlink="Names!BG2">
        <xdr:nvSpPr>
          <xdr:cNvPr id="10" name="Rounded 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1"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5" name="Group 4">
          <a:extLst>
            <a:ext uri="{FF2B5EF4-FFF2-40B4-BE49-F238E27FC236}">
              <a16:creationId xmlns:a16="http://schemas.microsoft.com/office/drawing/2014/main" id="{4A3D49E7-1E55-B171-17C9-FC9596DF9C0D}"/>
            </a:ext>
          </a:extLst>
        </xdr:cNvPr>
        <xdr:cNvGrpSpPr/>
      </xdr:nvGrpSpPr>
      <xdr:grpSpPr>
        <a:xfrm>
          <a:off x="26758900" y="165100"/>
          <a:ext cx="1697892" cy="285953"/>
          <a:chOff x="178689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78689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58126" y="165100"/>
            <a:ext cx="258937" cy="26491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0</xdr:colOff>
      <xdr:row>1</xdr:row>
      <xdr:rowOff>689</xdr:rowOff>
    </xdr:from>
    <xdr:to>
      <xdr:col>31</xdr:col>
      <xdr:colOff>46892</xdr:colOff>
      <xdr:row>2</xdr:row>
      <xdr:rowOff>120853</xdr:rowOff>
    </xdr:to>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29</xdr:col>
      <xdr:colOff>89226</xdr:colOff>
      <xdr:row>1</xdr:row>
      <xdr:rowOff>0</xdr:rowOff>
    </xdr:from>
    <xdr:to>
      <xdr:col>29</xdr:col>
      <xdr:colOff>348163</xdr:colOff>
      <xdr:row>2</xdr:row>
      <xdr:rowOff>99817</xdr:rowOff>
    </xdr:to>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3" name="Group 2">
          <a:extLst>
            <a:ext uri="{FF2B5EF4-FFF2-40B4-BE49-F238E27FC236}">
              <a16:creationId xmlns:a16="http://schemas.microsoft.com/office/drawing/2014/main" id="{0C723D28-58AE-6E76-5DD0-F484CB9ACF33}"/>
            </a:ext>
          </a:extLst>
        </xdr:cNvPr>
        <xdr:cNvGrpSpPr/>
      </xdr:nvGrpSpPr>
      <xdr:grpSpPr>
        <a:xfrm>
          <a:off x="267589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3" name="Group 2">
          <a:extLst>
            <a:ext uri="{FF2B5EF4-FFF2-40B4-BE49-F238E27FC236}">
              <a16:creationId xmlns:a16="http://schemas.microsoft.com/office/drawing/2014/main" id="{B121FB15-71CC-DEA7-AA16-EDCC28DB889C}"/>
            </a:ext>
          </a:extLst>
        </xdr:cNvPr>
        <xdr:cNvGrpSpPr/>
      </xdr:nvGrpSpPr>
      <xdr:grpSpPr>
        <a:xfrm>
          <a:off x="267589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265CE1C3-B331-63E6-63D6-2C46E066F549}"/>
            </a:ext>
          </a:extLst>
        </xdr:cNvPr>
        <xdr:cNvGrpSpPr/>
      </xdr:nvGrpSpPr>
      <xdr:grpSpPr>
        <a:xfrm>
          <a:off x="26758900" y="165100"/>
          <a:ext cx="1697892" cy="285953"/>
          <a:chOff x="20320000" y="165100"/>
          <a:chExt cx="1697892" cy="285953"/>
        </a:xfrm>
      </xdr:grpSpPr>
      <xdr:sp macro="" textlink="Names!BG2">
        <xdr:nvSpPr>
          <xdr:cNvPr id="5" name="Rounded Rectangle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6"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3" name="Group 2">
          <a:extLst>
            <a:ext uri="{FF2B5EF4-FFF2-40B4-BE49-F238E27FC236}">
              <a16:creationId xmlns:a16="http://schemas.microsoft.com/office/drawing/2014/main" id="{CDB15A3B-59CE-F22B-5778-4E355F64813A}"/>
            </a:ext>
          </a:extLst>
        </xdr:cNvPr>
        <xdr:cNvGrpSpPr/>
      </xdr:nvGrpSpPr>
      <xdr:grpSpPr>
        <a:xfrm>
          <a:off x="267589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885CC066-D0B7-2356-2E74-318DCFF98DA8}"/>
            </a:ext>
          </a:extLst>
        </xdr:cNvPr>
        <xdr:cNvGrpSpPr/>
      </xdr:nvGrpSpPr>
      <xdr:grpSpPr>
        <a:xfrm>
          <a:off x="267589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7F318109-BAEA-1236-840C-9CD89BDA6920}"/>
            </a:ext>
          </a:extLst>
        </xdr:cNvPr>
        <xdr:cNvGrpSpPr/>
      </xdr:nvGrpSpPr>
      <xdr:grpSpPr>
        <a:xfrm>
          <a:off x="26835100" y="165100"/>
          <a:ext cx="16978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3" name="Group 2">
          <a:extLst>
            <a:ext uri="{FF2B5EF4-FFF2-40B4-BE49-F238E27FC236}">
              <a16:creationId xmlns:a16="http://schemas.microsoft.com/office/drawing/2014/main" id="{BE1BF364-ABE7-D4BE-B9E3-F12BB310787F}"/>
            </a:ext>
          </a:extLst>
        </xdr:cNvPr>
        <xdr:cNvGrpSpPr/>
      </xdr:nvGrpSpPr>
      <xdr:grpSpPr>
        <a:xfrm>
          <a:off x="26835100" y="165100"/>
          <a:ext cx="2485292" cy="285953"/>
          <a:chOff x="20320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1</xdr:row>
      <xdr:rowOff>0</xdr:rowOff>
    </xdr:from>
    <xdr:to>
      <xdr:col>31</xdr:col>
      <xdr:colOff>46892</xdr:colOff>
      <xdr:row>2</xdr:row>
      <xdr:rowOff>120853</xdr:rowOff>
    </xdr:to>
    <xdr:grpSp>
      <xdr:nvGrpSpPr>
        <xdr:cNvPr id="2" name="Group 1">
          <a:extLst>
            <a:ext uri="{FF2B5EF4-FFF2-40B4-BE49-F238E27FC236}">
              <a16:creationId xmlns:a16="http://schemas.microsoft.com/office/drawing/2014/main" id="{EB849EDF-963F-6509-9A5D-AA823D778E2F}"/>
            </a:ext>
          </a:extLst>
        </xdr:cNvPr>
        <xdr:cNvGrpSpPr/>
      </xdr:nvGrpSpPr>
      <xdr:grpSpPr>
        <a:xfrm>
          <a:off x="26835100" y="165100"/>
          <a:ext cx="1697892" cy="285953"/>
          <a:chOff x="20320000" y="165100"/>
          <a:chExt cx="1697892" cy="285953"/>
        </a:xfrm>
      </xdr:grpSpPr>
      <xdr:sp macro="" textlink="Names!BG2">
        <xdr:nvSpPr>
          <xdr:cNvPr id="7" name="Rounded Rectangle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20320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8"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409226" y="165100"/>
            <a:ext cx="258937" cy="264917"/>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3" name="Group 2">
          <a:extLst>
            <a:ext uri="{FF2B5EF4-FFF2-40B4-BE49-F238E27FC236}">
              <a16:creationId xmlns:a16="http://schemas.microsoft.com/office/drawing/2014/main" id="{A241AE2E-2B0C-574C-AA72-A4A5467107AD}"/>
            </a:ext>
          </a:extLst>
        </xdr:cNvPr>
        <xdr:cNvGrpSpPr/>
      </xdr:nvGrpSpPr>
      <xdr:grpSpPr>
        <a:xfrm>
          <a:off x="23253700" y="165100"/>
          <a:ext cx="1697892" cy="285953"/>
          <a:chOff x="178562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78562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45426" y="165100"/>
            <a:ext cx="258937" cy="264917"/>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3" name="Group 2">
          <a:extLst>
            <a:ext uri="{FF2B5EF4-FFF2-40B4-BE49-F238E27FC236}">
              <a16:creationId xmlns:a16="http://schemas.microsoft.com/office/drawing/2014/main" id="{D600BE1E-9B4D-23D0-16B6-6F72C8DDD5FE}"/>
            </a:ext>
          </a:extLst>
        </xdr:cNvPr>
        <xdr:cNvGrpSpPr/>
      </xdr:nvGrpSpPr>
      <xdr:grpSpPr>
        <a:xfrm>
          <a:off x="232410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2" name="Group 1">
          <a:extLst>
            <a:ext uri="{FF2B5EF4-FFF2-40B4-BE49-F238E27FC236}">
              <a16:creationId xmlns:a16="http://schemas.microsoft.com/office/drawing/2014/main" id="{C5010395-7F73-A238-F650-882F6AD3094D}"/>
            </a:ext>
          </a:extLst>
        </xdr:cNvPr>
        <xdr:cNvGrpSpPr/>
      </xdr:nvGrpSpPr>
      <xdr:grpSpPr>
        <a:xfrm>
          <a:off x="22415500" y="165100"/>
          <a:ext cx="1697892" cy="285953"/>
          <a:chOff x="170180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70180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107226" y="165100"/>
            <a:ext cx="258937" cy="264917"/>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24</xdr:col>
      <xdr:colOff>0</xdr:colOff>
      <xdr:row>1</xdr:row>
      <xdr:rowOff>689</xdr:rowOff>
    </xdr:from>
    <xdr:to>
      <xdr:col>26</xdr:col>
      <xdr:colOff>46892</xdr:colOff>
      <xdr:row>2</xdr:row>
      <xdr:rowOff>120853</xdr:rowOff>
    </xdr:to>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clientData/>
  </xdr:twoCellAnchor>
  <xdr:twoCellAnchor>
    <xdr:from>
      <xdr:col>24</xdr:col>
      <xdr:colOff>89226</xdr:colOff>
      <xdr:row>1</xdr:row>
      <xdr:rowOff>0</xdr:rowOff>
    </xdr:from>
    <xdr:to>
      <xdr:col>24</xdr:col>
      <xdr:colOff>348163</xdr:colOff>
      <xdr:row>2</xdr:row>
      <xdr:rowOff>99817</xdr:rowOff>
    </xdr:to>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0</xdr:colOff>
      <xdr:row>1</xdr:row>
      <xdr:rowOff>0</xdr:rowOff>
    </xdr:from>
    <xdr:to>
      <xdr:col>26</xdr:col>
      <xdr:colOff>46892</xdr:colOff>
      <xdr:row>2</xdr:row>
      <xdr:rowOff>120853</xdr:rowOff>
    </xdr:to>
    <xdr:grpSp>
      <xdr:nvGrpSpPr>
        <xdr:cNvPr id="2" name="Group 1">
          <a:extLst>
            <a:ext uri="{FF2B5EF4-FFF2-40B4-BE49-F238E27FC236}">
              <a16:creationId xmlns:a16="http://schemas.microsoft.com/office/drawing/2014/main" id="{9260F10E-E378-FB80-5CF3-AB54D7C00257}"/>
            </a:ext>
          </a:extLst>
        </xdr:cNvPr>
        <xdr:cNvGrpSpPr/>
      </xdr:nvGrpSpPr>
      <xdr:grpSpPr>
        <a:xfrm>
          <a:off x="23241000" y="165100"/>
          <a:ext cx="1697892" cy="285953"/>
          <a:chOff x="17843500" y="165100"/>
          <a:chExt cx="1697892" cy="285953"/>
        </a:xfrm>
      </xdr:grpSpPr>
      <xdr:sp macro="" textlink="Names!BG2">
        <xdr:nvSpPr>
          <xdr:cNvPr id="4" name="Rounded Rectangle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5"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0</xdr:colOff>
      <xdr:row>1</xdr:row>
      <xdr:rowOff>0</xdr:rowOff>
    </xdr:from>
    <xdr:to>
      <xdr:col>25</xdr:col>
      <xdr:colOff>46892</xdr:colOff>
      <xdr:row>2</xdr:row>
      <xdr:rowOff>120853</xdr:rowOff>
    </xdr:to>
    <xdr:grpSp>
      <xdr:nvGrpSpPr>
        <xdr:cNvPr id="2" name="Group 1">
          <a:extLst>
            <a:ext uri="{FF2B5EF4-FFF2-40B4-BE49-F238E27FC236}">
              <a16:creationId xmlns:a16="http://schemas.microsoft.com/office/drawing/2014/main" id="{14BF3CFA-F63F-D243-BCFB-4ACEDBFEFD66}"/>
            </a:ext>
          </a:extLst>
        </xdr:cNvPr>
        <xdr:cNvGrpSpPr/>
      </xdr:nvGrpSpPr>
      <xdr:grpSpPr>
        <a:xfrm>
          <a:off x="31089600" y="165100"/>
          <a:ext cx="1697892" cy="285953"/>
          <a:chOff x="17843500" y="165100"/>
          <a:chExt cx="1697892" cy="285953"/>
        </a:xfrm>
      </xdr:grpSpPr>
      <xdr:sp macro="" textlink="Names!BG2">
        <xdr:nvSpPr>
          <xdr:cNvPr id="3" name="Rounded Rectangle 2">
            <a:hlinkClick xmlns:r="http://schemas.openxmlformats.org/officeDocument/2006/relationships" r:id="rId1"/>
            <a:extLst>
              <a:ext uri="{FF2B5EF4-FFF2-40B4-BE49-F238E27FC236}">
                <a16:creationId xmlns:a16="http://schemas.microsoft.com/office/drawing/2014/main" id="{876514F6-E457-2A12-FD02-F4A86E21EAE5}"/>
              </a:ext>
            </a:extLst>
          </xdr:cNvPr>
          <xdr:cNvSpPr/>
        </xdr:nvSpPr>
        <xdr:spPr>
          <a:xfrm>
            <a:off x="17843500" y="165789"/>
            <a:ext cx="1697892" cy="285264"/>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A5F06A07-5F0C-F478-8A07-DD027350915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7932726" y="165100"/>
            <a:ext cx="258937" cy="26491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571471</xdr:colOff>
      <xdr:row>69</xdr:row>
      <xdr:rowOff>131773</xdr:rowOff>
    </xdr:from>
    <xdr:to>
      <xdr:col>15</xdr:col>
      <xdr:colOff>0</xdr:colOff>
      <xdr:row>127</xdr:row>
      <xdr:rowOff>20393</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1083262" y="9912669"/>
          <a:ext cx="10514526" cy="9783246"/>
        </a:xfrm>
        <a:prstGeom prst="roundRect">
          <a:avLst>
            <a:gd name="adj" fmla="val 2191"/>
          </a:avLst>
        </a:prstGeom>
        <a:noFill/>
        <a:ln w="31750">
          <a:solidFill>
            <a:srgbClr val="FF79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546686</xdr:colOff>
      <xdr:row>2</xdr:row>
      <xdr:rowOff>112751</xdr:rowOff>
    </xdr:from>
    <xdr:to>
      <xdr:col>20</xdr:col>
      <xdr:colOff>53559</xdr:colOff>
      <xdr:row>4</xdr:row>
      <xdr:rowOff>20740</xdr:rowOff>
    </xdr:to>
    <xdr:grpSp>
      <xdr:nvGrpSpPr>
        <xdr:cNvPr id="3" name="Group 2">
          <a:extLst>
            <a:ext uri="{FF2B5EF4-FFF2-40B4-BE49-F238E27FC236}">
              <a16:creationId xmlns:a16="http://schemas.microsoft.com/office/drawing/2014/main" id="{AAB57A62-6309-807B-193E-157CC383DF28}"/>
            </a:ext>
          </a:extLst>
        </xdr:cNvPr>
        <xdr:cNvGrpSpPr/>
      </xdr:nvGrpSpPr>
      <xdr:grpSpPr>
        <a:xfrm>
          <a:off x="17861019" y="409084"/>
          <a:ext cx="1849318" cy="303100"/>
          <a:chOff x="20616333" y="342900"/>
          <a:chExt cx="1816426" cy="290187"/>
        </a:xfrm>
      </xdr:grpSpPr>
      <xdr:sp macro="" textlink="Names!BG2">
        <xdr:nvSpPr>
          <xdr:cNvPr id="21" name="Rounded Rectangle 20">
            <a:hlinkClick xmlns:r="http://schemas.openxmlformats.org/officeDocument/2006/relationships" r:id="rId1"/>
            <a:extLst>
              <a:ext uri="{FF2B5EF4-FFF2-40B4-BE49-F238E27FC236}">
                <a16:creationId xmlns:a16="http://schemas.microsoft.com/office/drawing/2014/main" id="{00000000-0008-0000-1400-000015000000}"/>
              </a:ext>
            </a:extLst>
          </xdr:cNvPr>
          <xdr:cNvSpPr/>
        </xdr:nvSpPr>
        <xdr:spPr>
          <a:xfrm>
            <a:off x="20616333" y="343599"/>
            <a:ext cx="1816426" cy="289488"/>
          </a:xfrm>
          <a:prstGeom prst="roundRect">
            <a:avLst/>
          </a:prstGeom>
          <a:solidFill>
            <a:srgbClr val="EB71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22"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0711788" y="342900"/>
            <a:ext cx="277014" cy="268840"/>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35109</xdr:colOff>
      <xdr:row>3</xdr:row>
      <xdr:rowOff>127000</xdr:rowOff>
    </xdr:from>
    <xdr:to>
      <xdr:col>14</xdr:col>
      <xdr:colOff>749300</xdr:colOff>
      <xdr:row>33</xdr:row>
      <xdr:rowOff>101600</xdr:rowOff>
    </xdr:to>
    <xdr:sp macro="" textlink="">
      <xdr:nvSpPr>
        <xdr:cNvPr id="2" name="CaixaDeTexto 6">
          <a:extLst>
            <a:ext uri="{FF2B5EF4-FFF2-40B4-BE49-F238E27FC236}">
              <a16:creationId xmlns:a16="http://schemas.microsoft.com/office/drawing/2014/main" id="{00000000-0008-0000-1500-000002000000}"/>
            </a:ext>
          </a:extLst>
        </xdr:cNvPr>
        <xdr:cNvSpPr txBox="1"/>
      </xdr:nvSpPr>
      <xdr:spPr>
        <a:xfrm>
          <a:off x="4988109" y="698500"/>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algn="just"/>
          <a:r>
            <a:rPr lang="pt-BR" sz="1100" dirty="0">
              <a:latin typeface="Arial" panose="020B0604020202020204" pitchFamily="34" charset="0"/>
              <a:ea typeface="Inter Light BETA" panose="020B0402030000000004" pitchFamily="34" charset="0"/>
              <a:cs typeface="Arial" panose="020B0604020202020204" pitchFamily="34" charset="0"/>
            </a:rPr>
            <a:t>Os números de nossas principais métricas (Unit </a:t>
          </a:r>
          <a:r>
            <a:rPr lang="pt-BR" sz="1100" dirty="0" err="1">
              <a:latin typeface="Arial" panose="020B0604020202020204" pitchFamily="34" charset="0"/>
              <a:ea typeface="Inter Light BETA" panose="020B0402030000000004" pitchFamily="34" charset="0"/>
              <a:cs typeface="Arial" panose="020B0604020202020204" pitchFamily="34" charset="0"/>
            </a:rPr>
            <a:t>Economics</a:t>
          </a:r>
          <a:r>
            <a:rPr lang="pt-BR" sz="1100" dirty="0">
              <a:latin typeface="Arial" panose="020B0604020202020204" pitchFamily="34" charset="0"/>
              <a:ea typeface="Inter Light BETA" panose="020B0402030000000004" pitchFamily="34" charset="0"/>
              <a:cs typeface="Arial" panose="020B0604020202020204" pitchFamily="34" charset="0"/>
            </a:rPr>
            <a:t>), que incluem usuários ativos, como receita média por cliente ativo (ARPAC) e custo para servir (CTS), são calculados usando os dados internos da Inter. Embora acreditemos que essas métricas sejam baseadas em estimativas razoáveis, existem desafios inerentes à medição do uso de nossos negócios. Além disso, buscamos continuamente melhorar nossas estimativas, que podem mudar devido a melhorias ou mudanças na metodologia, nos processos de cálculo dessas métricas e, de tempos em tempos, podemos descobrir imprecisões e fazer ajustes para melhorar a precisão, incluindo ajustes que podem resultar no recálculo de nossas métricas históricas.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b="1" dirty="0">
              <a:solidFill>
                <a:srgbClr val="FF7A00"/>
              </a:solidFill>
              <a:latin typeface="Arial" panose="020B0604020202020204" pitchFamily="34" charset="0"/>
              <a:ea typeface="Inter Light BETA" panose="020B0402030000000004" pitchFamily="34" charset="0"/>
              <a:cs typeface="Arial" panose="020B0604020202020204" pitchFamily="34" charset="0"/>
            </a:rPr>
            <a:t>Sobre Medidas Financeiras Não-IFRS </a:t>
          </a:r>
        </a:p>
        <a:p>
          <a:pPr algn="just"/>
          <a:r>
            <a:rPr lang="pt-BR" sz="1100" b="1" dirty="0">
              <a:latin typeface="Arial" panose="020B0604020202020204" pitchFamily="34" charset="0"/>
              <a:ea typeface="Inter Light BETA" panose="020B0402030000000004" pitchFamily="34" charset="0"/>
              <a:cs typeface="Arial" panose="020B0604020202020204" pitchFamily="34" charset="0"/>
            </a:rPr>
            <a:t> </a:t>
          </a:r>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Para complementar as medidas financeiras apresentadas neste comunicado de imprensa e na teleconferência, apresentação ou webcast relacionados de acordo com o IFRS, 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também apresenta medidas não IFRS de desempenho financeiro, conforme destacado ao longo dos documentos. As Medidas Financeiras não IFRS incluem, entre outras: Resultado Líquido Ajustado, Custo de Serviço,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Índice de Eficiência, Originação, NPL &gt; 90 dias, NPL 15 a 90 dias, NPL e Formação da Fase 3, </a:t>
          </a:r>
          <a:r>
            <a:rPr lang="pt-BR" sz="1100" dirty="0" err="1">
              <a:latin typeface="Arial" panose="020B0604020202020204" pitchFamily="34" charset="0"/>
              <a:ea typeface="Inter Light BETA" panose="020B0402030000000004" pitchFamily="34" charset="0"/>
              <a:cs typeface="Arial" panose="020B0604020202020204" pitchFamily="34" charset="0"/>
            </a:rPr>
            <a:t>Cost</a:t>
          </a:r>
          <a:r>
            <a:rPr lang="pt-BR" sz="1100" dirty="0">
              <a:latin typeface="Arial" panose="020B0604020202020204" pitchFamily="34" charset="0"/>
              <a:ea typeface="Inter Light BETA" panose="020B0402030000000004" pitchFamily="34" charset="0"/>
              <a:cs typeface="Arial" panose="020B0604020202020204" pitchFamily="34" charset="0"/>
            </a:rPr>
            <a:t> </a:t>
          </a:r>
          <a:r>
            <a:rPr lang="pt-BR" sz="1100" dirty="0" err="1">
              <a:latin typeface="Arial" panose="020B0604020202020204" pitchFamily="34" charset="0"/>
              <a:ea typeface="Inter Light BETA" panose="020B0402030000000004" pitchFamily="34" charset="0"/>
              <a:cs typeface="Arial" panose="020B0604020202020204" pitchFamily="34" charset="0"/>
            </a:rPr>
            <a:t>of</a:t>
          </a:r>
          <a:r>
            <a:rPr lang="pt-BR" sz="1100" dirty="0">
              <a:latin typeface="Arial" panose="020B0604020202020204" pitchFamily="34" charset="0"/>
              <a:ea typeface="Inter Light BETA" panose="020B0402030000000004" pitchFamily="34" charset="0"/>
              <a:cs typeface="Arial" panose="020B0604020202020204" pitchFamily="34" charset="0"/>
            </a:rPr>
            <a:t> Risk, índice de Cobertura,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Custo de </a:t>
          </a:r>
          <a:r>
            <a:rPr lang="pt-BR" sz="1100" dirty="0" err="1">
              <a:latin typeface="Arial" panose="020B0604020202020204" pitchFamily="34" charset="0"/>
              <a:ea typeface="Inter Light BETA" panose="020B0402030000000004" pitchFamily="34" charset="0"/>
              <a:cs typeface="Arial" panose="020B0604020202020204" pitchFamily="34" charset="0"/>
            </a:rPr>
            <a:t>Funding</a:t>
          </a:r>
          <a:r>
            <a:rPr lang="pt-BR" sz="1100" dirty="0">
              <a:latin typeface="Arial" panose="020B0604020202020204" pitchFamily="34" charset="0"/>
              <a:ea typeface="Inter Light BETA" panose="020B0402030000000004" pitchFamily="34" charset="0"/>
              <a:cs typeface="Arial" panose="020B0604020202020204" pitchFamily="34" charset="0"/>
            </a:rPr>
            <a:t>, Volume Bruto de Mercadorias (GMV), Prêmios, Entradas Líquidas, Depósitos e Investimentos de Serviços Globais, </a:t>
          </a:r>
          <a:r>
            <a:rPr lang="pt-BR" sz="1100" dirty="0" err="1">
              <a:latin typeface="Arial" panose="020B0604020202020204" pitchFamily="34" charset="0"/>
              <a:ea typeface="Inter Light BETA" panose="020B0402030000000004" pitchFamily="34" charset="0"/>
              <a:cs typeface="Arial" panose="020B0604020202020204" pitchFamily="34" charset="0"/>
            </a:rPr>
            <a:t>Fee</a:t>
          </a:r>
          <a:r>
            <a:rPr lang="pt-BR" sz="1100" dirty="0">
              <a:latin typeface="Arial" panose="020B0604020202020204" pitchFamily="34" charset="0"/>
              <a:ea typeface="Inter Light BETA" panose="020B0402030000000004" pitchFamily="34" charset="0"/>
              <a:cs typeface="Arial" panose="020B0604020202020204" pitchFamily="34" charset="0"/>
            </a:rPr>
            <a:t> Income </a:t>
          </a:r>
          <a:r>
            <a:rPr lang="pt-BR" sz="1100" dirty="0" err="1">
              <a:latin typeface="Arial" panose="020B0604020202020204" pitchFamily="34" charset="0"/>
              <a:ea typeface="Inter Light BETA" panose="020B0402030000000004" pitchFamily="34" charset="0"/>
              <a:cs typeface="Arial" panose="020B0604020202020204" pitchFamily="34" charset="0"/>
            </a:rPr>
            <a:t>Ratio</a:t>
          </a:r>
          <a:r>
            <a:rPr lang="pt-BR" sz="1100" dirty="0">
              <a:latin typeface="Arial" panose="020B0604020202020204" pitchFamily="34" charset="0"/>
              <a:ea typeface="Inter Light BETA" panose="020B0402030000000004" pitchFamily="34" charset="0"/>
              <a:cs typeface="Arial" panose="020B0604020202020204" pitchFamily="34" charset="0"/>
            </a:rPr>
            <a:t>,  Custo de Aquisição de Clientes, Cartões + PIX TPV, ARPAC Bruto, ARPAC Líquido, NIM Marginal 1.0, NIM Marginal 2.0, Margem de Juros Líquida IEP + Non-int. CC Recebíveis (1.0), Margem Líquida de Juros IEP (2.0), </a:t>
          </a:r>
          <a:r>
            <a:rPr lang="pt-BR" sz="1100" dirty="0" err="1">
              <a:latin typeface="Arial" panose="020B0604020202020204" pitchFamily="34" charset="0"/>
              <a:ea typeface="Inter Light BETA" panose="020B0402030000000004" pitchFamily="34" charset="0"/>
              <a:cs typeface="Arial" panose="020B0604020202020204" pitchFamily="34" charset="0"/>
            </a:rPr>
            <a:t>Custo</a:t>
          </a:r>
          <a:r>
            <a:rPr lang="pt-BR" sz="1100" baseline="0" dirty="0" err="1">
              <a:latin typeface="Arial" panose="020B0604020202020204" pitchFamily="34" charset="0"/>
              <a:ea typeface="Inter Light BETA" panose="020B0402030000000004" pitchFamily="34" charset="0"/>
              <a:cs typeface="Arial" panose="020B0604020202020204" pitchFamily="34" charset="0"/>
            </a:rPr>
            <a:t> de Servir.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Uma "medida financeira não IFRS" refere-se a uma medida numérica da posição histórica ou financeira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que exclui ou inclui montantes que normalmente não são excluídos ou incluídos na medida mais diretamente comparável calculada e apresentada de acordo com o IFRS nas demonstrações financeiras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a:t>
          </a:r>
        </a:p>
        <a:p>
          <a:pPr algn="just"/>
          <a:endParaRPr lang="pt-BR" sz="1100" dirty="0">
            <a:latin typeface="Arial" panose="020B0604020202020204" pitchFamily="34" charset="0"/>
            <a:ea typeface="Inter Light BETA" panose="020B0402030000000004" pitchFamily="34" charset="0"/>
            <a:cs typeface="Arial" panose="020B0604020202020204" pitchFamily="34" charset="0"/>
          </a:endParaRPr>
        </a:p>
        <a:p>
          <a:pPr algn="just"/>
          <a:r>
            <a:rPr lang="pt-BR" sz="1100" dirty="0">
              <a:latin typeface="Arial" panose="020B0604020202020204" pitchFamily="34" charset="0"/>
              <a:ea typeface="Inter Light BETA" panose="020B0402030000000004" pitchFamily="34" charset="0"/>
              <a:cs typeface="Arial" panose="020B0604020202020204" pitchFamily="34" charset="0"/>
            </a:rPr>
            <a:t>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fornece certas medidas não-IFRS como informações adicionais relacionadas aos seus resultados operacionais como complemento aos resultados fornecidos de acordo com o IFRS. As informações financeiras não IFRS aqui apresentadas devem ser consideradas em conjunto com, e não como um substituto ou superior a, as informações financeiras apresentadas de acordo com o IFRS. Existem limitações significativas associadas ao uso de medidas financeiras não IFRS. Além disso, estas medidas podem diferir das informações não IFRS, mesmo quando com títulos semelhantes, utilizadas por outras empresas e, por conseguinte, não devem ser utilizadas para comparar o desempenho da </a:t>
          </a:r>
          <a:r>
            <a:rPr lang="pt-BR" sz="1100" dirty="0" err="1">
              <a:latin typeface="Arial" panose="020B0604020202020204" pitchFamily="34" charset="0"/>
              <a:ea typeface="Inter Light BETA" panose="020B0402030000000004" pitchFamily="34" charset="0"/>
              <a:cs typeface="Arial" panose="020B0604020202020204" pitchFamily="34" charset="0"/>
            </a:rPr>
            <a:t>Inter&amp;Co</a:t>
          </a:r>
          <a:r>
            <a:rPr lang="pt-BR" sz="1100" dirty="0">
              <a:latin typeface="Arial" panose="020B0604020202020204" pitchFamily="34" charset="0"/>
              <a:ea typeface="Inter Light BETA" panose="020B0402030000000004" pitchFamily="34" charset="0"/>
              <a:cs typeface="Arial" panose="020B0604020202020204" pitchFamily="34" charset="0"/>
            </a:rPr>
            <a:t> com o de outras empresas.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Arial" panose="020B0604020202020204" pitchFamily="34" charset="0"/>
            <a:ea typeface="Inter Light BETA" panose="020B0402030000000004" pitchFamily="34" charset="0"/>
            <a:cs typeface="Arial" panose="020B0604020202020204" pitchFamily="34" charset="0"/>
          </a:endParaRPr>
        </a:p>
      </xdr:txBody>
    </xdr:sp>
    <xdr:clientData/>
  </xdr:twoCellAnchor>
  <xdr:twoCellAnchor>
    <xdr:from>
      <xdr:col>0</xdr:col>
      <xdr:colOff>0</xdr:colOff>
      <xdr:row>1</xdr:row>
      <xdr:rowOff>120601</xdr:rowOff>
    </xdr:from>
    <xdr:to>
      <xdr:col>5</xdr:col>
      <xdr:colOff>375697</xdr:colOff>
      <xdr:row>4</xdr:row>
      <xdr:rowOff>180882</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0" y="311101"/>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0</xdr:col>
      <xdr:colOff>180112</xdr:colOff>
      <xdr:row>6</xdr:row>
      <xdr:rowOff>55393</xdr:rowOff>
    </xdr:from>
    <xdr:to>
      <xdr:col>5</xdr:col>
      <xdr:colOff>476688</xdr:colOff>
      <xdr:row>31</xdr:row>
      <xdr:rowOff>36164</xdr:rowOff>
    </xdr:to>
    <xdr:pic>
      <xdr:nvPicPr>
        <xdr:cNvPr id="4" name="Picture 3" descr="A person sitting on an orange chair with a computer&#10;&#10;Description automatically generated with medium confidence">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80112" y="1198393"/>
          <a:ext cx="4424076" cy="4743271"/>
        </a:xfrm>
        <a:prstGeom prst="roundRect">
          <a:avLst/>
        </a:prstGeom>
      </xdr:spPr>
    </xdr:pic>
    <xdr:clientData/>
  </xdr:twoCellAnchor>
  <xdr:twoCellAnchor>
    <xdr:from>
      <xdr:col>21</xdr:col>
      <xdr:colOff>502140</xdr:colOff>
      <xdr:row>4</xdr:row>
      <xdr:rowOff>18689</xdr:rowOff>
    </xdr:from>
    <xdr:to>
      <xdr:col>30</xdr:col>
      <xdr:colOff>446138</xdr:colOff>
      <xdr:row>34</xdr:row>
      <xdr:rowOff>76043</xdr:rowOff>
    </xdr:to>
    <xdr:sp macro="" textlink="">
      <xdr:nvSpPr>
        <xdr:cNvPr id="5" name="CaixaDeTexto 6">
          <a:extLst>
            <a:ext uri="{FF2B5EF4-FFF2-40B4-BE49-F238E27FC236}">
              <a16:creationId xmlns:a16="http://schemas.microsoft.com/office/drawing/2014/main" id="{00000000-0008-0000-1500-000005000000}"/>
            </a:ext>
          </a:extLst>
        </xdr:cNvPr>
        <xdr:cNvSpPr txBox="1"/>
      </xdr:nvSpPr>
      <xdr:spPr>
        <a:xfrm>
          <a:off x="17708592" y="756108"/>
          <a:ext cx="7318191" cy="5588000"/>
        </a:xfrm>
        <a:prstGeom prst="rect">
          <a:avLst/>
        </a:prstGeom>
        <a:noFill/>
      </xdr:spPr>
      <xdr:txBody>
        <a:bodyPr wrap="square" rtlCol="0">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The numbers for our key metrics (Unit Economics), which include active users, as average revenue per active client (ARPAC), cost to serve (CTS), are calculated using Inter’s internal data. Although we believe these metrics are based on reasonable estimates, there are challenges inherent in measuring the use of our business. In addition, we continually seek to improve our estimates, which may change due to improvements or changes in methodology, in processes for calculating these metrics and, from time to time, we may discover inaccuracies and make adjustments to improve accuracy, including adjustments that may result in recalculating our historical metrics.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600" b="1" i="0" u="none" strike="noStrike" kern="1200" cap="none" spc="0" normalizeH="0" baseline="0">
              <a:ln>
                <a:noFill/>
              </a:ln>
              <a:solidFill>
                <a:srgbClr val="FF7A00"/>
              </a:solidFill>
              <a:effectLst/>
              <a:uLnTx/>
              <a:uFillTx/>
              <a:latin typeface="Calibri" panose="020F0502020204030204" pitchFamily="34" charset="0"/>
              <a:ea typeface="Inter Light BETA" panose="020B0402030000000004" pitchFamily="34" charset="0"/>
              <a:cs typeface="Calibri" panose="020F0502020204030204" pitchFamily="34" charset="0"/>
            </a:rPr>
            <a:t>About Non-IFRS Financial Measures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To supplement the financial measures presented in this press release and related conference call, presentation, or webcast in accordance with IFRS, Inter&amp;Co also presents non-IFRS measures of financial performance, as highlighted throughout the documents. The non-IFRS Financial Measures include, among others: Adjusted Net Income, Cost to Serve, Cost of Funding, Efficiency Ratio, Underwriting, NPL &gt; 90 days, NPL 15 to 90 days, NPL and Stage 3 Formation, Cost of Risk, Coverage Ratio, Funding, All-in Cost of Funding, Gross Merchandise Volume (GMV), Premiums, Net Inflows, Global Services Deposits and Investments, Fee Income Ratio, Client Acquisition Cost, Cards+PIX TPV, Gross ARPAC, Net ARPAC, Marginal NIM 1.0, Marginal NIM 2.0, Net Interest Margin IEP + Non-int. CC Receivables (1.0), Net Interest Margin IEP (2.0), Cost-to-Serve.</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A “non-IFRS financial measure” refers to a numerical measure of Inter&amp;Co’s historical or financial position that either excludes or includes amounts that are not normally excluded or included in the most directly comparable measure calculated and presented in accordance with IFRS in Inter&amp;Co’s financial statements.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rPr>
            <a:t>Inter&amp;Co provides certain non-IFRS measures as additional information relating to its operating results as a complement to results provided in accordance with IFRS. The non-IFRS financial information presented herein should be considered together with, and not as a substitute for or superior to, the financial information presented in accordance with IFRS. There are significant limitations associated with the use of non-IFRS financial measures. Further, these measures may differ from the non-IFRS information, even where similarly titled, used by other companies and therefore should not be used to compare Inter&amp;Co’s performance to that of other companies. </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1200" cap="none" spc="0" normalizeH="0" baseline="0">
            <a:ln>
              <a:noFill/>
            </a:ln>
            <a:solidFill>
              <a:prstClr val="black"/>
            </a:solidFill>
            <a:effectLst/>
            <a:uLnTx/>
            <a:uFillTx/>
            <a:latin typeface="Calibri" panose="020F0502020204030204" pitchFamily="34" charset="0"/>
            <a:ea typeface="Inter Light BETA" panose="020B0402030000000004" pitchFamily="34" charset="0"/>
            <a:cs typeface="Calibri" panose="020F0502020204030204" pitchFamily="34" charset="0"/>
          </a:endParaRPr>
        </a:p>
      </xdr:txBody>
    </xdr:sp>
    <xdr:clientData/>
  </xdr:twoCellAnchor>
  <xdr:twoCellAnchor>
    <xdr:from>
      <xdr:col>15</xdr:col>
      <xdr:colOff>430160</xdr:colOff>
      <xdr:row>2</xdr:row>
      <xdr:rowOff>-1</xdr:rowOff>
    </xdr:from>
    <xdr:to>
      <xdr:col>21</xdr:col>
      <xdr:colOff>17228</xdr:colOff>
      <xdr:row>5</xdr:row>
      <xdr:rowOff>78716</xdr:rowOff>
    </xdr:to>
    <xdr:sp macro="" textlink="">
      <xdr:nvSpPr>
        <xdr:cNvPr id="6" name="Rounded Rectangle 5">
          <a:extLst>
            <a:ext uri="{FF2B5EF4-FFF2-40B4-BE49-F238E27FC236}">
              <a16:creationId xmlns:a16="http://schemas.microsoft.com/office/drawing/2014/main" id="{00000000-0008-0000-1500-000006000000}"/>
            </a:ext>
          </a:extLst>
        </xdr:cNvPr>
        <xdr:cNvSpPr/>
      </xdr:nvSpPr>
      <xdr:spPr>
        <a:xfrm>
          <a:off x="12720483" y="368709"/>
          <a:ext cx="4503197" cy="631781"/>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lvl="0">
            <a:defRPr lang="pt-BR"/>
          </a:defPPr>
          <a:lvl1pPr marL="0" lvl="0" algn="l" defTabSz="914400" rtl="0" eaLnBrk="1" latinLnBrk="0" hangingPunct="1">
            <a:defRPr sz="1800" kern="1200">
              <a:solidFill>
                <a:schemeClr val="lt1"/>
              </a:solidFill>
              <a:latin typeface="+mn-lt"/>
              <a:ea typeface="+mn-ea"/>
              <a:cs typeface="+mn-cs"/>
            </a:defRPr>
          </a:lvl1pPr>
          <a:lvl2pPr marL="457200" lvl="1" algn="l" defTabSz="914400" rtl="0" eaLnBrk="1" latinLnBrk="0" hangingPunct="1">
            <a:defRPr sz="1800" kern="1200">
              <a:solidFill>
                <a:schemeClr val="lt1"/>
              </a:solidFill>
              <a:latin typeface="+mn-lt"/>
              <a:ea typeface="+mn-ea"/>
              <a:cs typeface="+mn-cs"/>
            </a:defRPr>
          </a:lvl2pPr>
          <a:lvl3pPr marL="914400" lvl="2" algn="l" defTabSz="914400" rtl="0" eaLnBrk="1" latinLnBrk="0" hangingPunct="1">
            <a:defRPr sz="1800" kern="1200">
              <a:solidFill>
                <a:schemeClr val="lt1"/>
              </a:solidFill>
              <a:latin typeface="+mn-lt"/>
              <a:ea typeface="+mn-ea"/>
              <a:cs typeface="+mn-cs"/>
            </a:defRPr>
          </a:lvl3pPr>
          <a:lvl4pPr marL="1371600" lvl="3" algn="l" defTabSz="914400" rtl="0" eaLnBrk="1" latinLnBrk="0" hangingPunct="1">
            <a:defRPr sz="1800" kern="1200">
              <a:solidFill>
                <a:schemeClr val="lt1"/>
              </a:solidFill>
              <a:latin typeface="+mn-lt"/>
              <a:ea typeface="+mn-ea"/>
              <a:cs typeface="+mn-cs"/>
            </a:defRPr>
          </a:lvl4pPr>
          <a:lvl5pPr marL="1828800" lvl="4" algn="l" defTabSz="914400" rtl="0" eaLnBrk="1" latinLnBrk="0" hangingPunct="1">
            <a:defRPr sz="1800" kern="1200">
              <a:solidFill>
                <a:schemeClr val="lt1"/>
              </a:solidFill>
              <a:latin typeface="+mn-lt"/>
              <a:ea typeface="+mn-ea"/>
              <a:cs typeface="+mn-cs"/>
            </a:defRPr>
          </a:lvl5pPr>
          <a:lvl6pPr marL="2286000" lvl="5" algn="l" defTabSz="914400" rtl="0" eaLnBrk="1" latinLnBrk="0" hangingPunct="1">
            <a:defRPr sz="1800" kern="1200">
              <a:solidFill>
                <a:schemeClr val="lt1"/>
              </a:solidFill>
              <a:latin typeface="+mn-lt"/>
              <a:ea typeface="+mn-ea"/>
              <a:cs typeface="+mn-cs"/>
            </a:defRPr>
          </a:lvl6pPr>
          <a:lvl7pPr marL="2743200" lvl="6" algn="l" defTabSz="914400" rtl="0" eaLnBrk="1" latinLnBrk="0" hangingPunct="1">
            <a:defRPr sz="1800" kern="1200">
              <a:solidFill>
                <a:schemeClr val="lt1"/>
              </a:solidFill>
              <a:latin typeface="+mn-lt"/>
              <a:ea typeface="+mn-ea"/>
              <a:cs typeface="+mn-cs"/>
            </a:defRPr>
          </a:lvl7pPr>
          <a:lvl8pPr marL="3200400" lvl="7" algn="l" defTabSz="914400" rtl="0" eaLnBrk="1" latinLnBrk="0" hangingPunct="1">
            <a:defRPr sz="1800" kern="1200">
              <a:solidFill>
                <a:schemeClr val="lt1"/>
              </a:solidFill>
              <a:latin typeface="+mn-lt"/>
              <a:ea typeface="+mn-ea"/>
              <a:cs typeface="+mn-cs"/>
            </a:defRPr>
          </a:lvl8pPr>
          <a:lvl9pPr marL="3657600" lvl="8" algn="l" defTabSz="914400" rtl="0" eaLnBrk="1" latinLnBrk="0" hangingPunct="1">
            <a:defRPr sz="1800" kern="1200">
              <a:solidFill>
                <a:schemeClr val="lt1"/>
              </a:solidFill>
              <a:latin typeface="+mn-lt"/>
              <a:ea typeface="+mn-ea"/>
              <a:cs typeface="+mn-cs"/>
            </a:defRPr>
          </a:lvl9pPr>
        </a:lstStyle>
        <a:p>
          <a:pPr algn="r"/>
          <a:r>
            <a:rPr lang="en-US" sz="4000" b="1">
              <a:solidFill>
                <a:srgbClr val="FF7A00"/>
              </a:solidFill>
              <a:latin typeface="Calibri" panose="020F0502020204030204" pitchFamily="34" charset="0"/>
              <a:cs typeface="Calibri" panose="020F0502020204030204" pitchFamily="34" charset="0"/>
            </a:rPr>
            <a:t>Disclaimer</a:t>
          </a:r>
        </a:p>
      </xdr:txBody>
    </xdr:sp>
    <xdr:clientData/>
  </xdr:twoCellAnchor>
  <xdr:twoCellAnchor editAs="oneCell">
    <xdr:from>
      <xdr:col>15</xdr:col>
      <xdr:colOff>610272</xdr:colOff>
      <xdr:row>6</xdr:row>
      <xdr:rowOff>149872</xdr:rowOff>
    </xdr:from>
    <xdr:to>
      <xdr:col>21</xdr:col>
      <xdr:colOff>118219</xdr:colOff>
      <xdr:row>32</xdr:row>
      <xdr:rowOff>99917</xdr:rowOff>
    </xdr:to>
    <xdr:pic>
      <xdr:nvPicPr>
        <xdr:cNvPr id="7" name="Picture 6" descr="A person sitting on an orange chair with a computer&#10;&#10;Description automatically generated with medium confidence">
          <a:extLst>
            <a:ext uri="{FF2B5EF4-FFF2-40B4-BE49-F238E27FC236}">
              <a16:creationId xmlns:a16="http://schemas.microsoft.com/office/drawing/2014/main" id="{00000000-0008-0000-1500-000007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900595" y="1256001"/>
          <a:ext cx="4424076" cy="4743271"/>
        </a:xfrm>
        <a:prstGeom prst="roundRect">
          <a:avLst/>
        </a:prstGeom>
      </xdr:spPr>
    </xdr:pic>
    <xdr:clientData/>
  </xdr:twoCellAnchor>
  <xdr:twoCellAnchor>
    <xdr:from>
      <xdr:col>31</xdr:col>
      <xdr:colOff>0</xdr:colOff>
      <xdr:row>1</xdr:row>
      <xdr:rowOff>0</xdr:rowOff>
    </xdr:from>
    <xdr:to>
      <xdr:col>33</xdr:col>
      <xdr:colOff>46892</xdr:colOff>
      <xdr:row>2</xdr:row>
      <xdr:rowOff>140108</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25590500" y="190500"/>
          <a:ext cx="1697892" cy="330608"/>
          <a:chOff x="9503508" y="419387"/>
          <a:chExt cx="1697892" cy="285953"/>
        </a:xfrm>
      </xdr:grpSpPr>
      <xdr:sp macro="" textlink="Names!BG2">
        <xdr:nvSpPr>
          <xdr:cNvPr id="9" name="Rounded Rectangle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10" name="Gráfico 4" descr="Seta de linha: retorno na horizontal com preenchimento sólido">
            <a:hlinkClick xmlns:r="http://schemas.openxmlformats.org/officeDocument/2006/relationships" r:id="rId2"/>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9592734" y="419387"/>
            <a:ext cx="258937" cy="264917"/>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177800</xdr:colOff>
      <xdr:row>0</xdr:row>
      <xdr:rowOff>50800</xdr:rowOff>
    </xdr:from>
    <xdr:to>
      <xdr:col>6</xdr:col>
      <xdr:colOff>780505</xdr:colOff>
      <xdr:row>2</xdr:row>
      <xdr:rowOff>78712</xdr:rowOff>
    </xdr:to>
    <xdr:sp macro="" textlink="">
      <xdr:nvSpPr>
        <xdr:cNvPr id="11" name="Content Placeholder 1">
          <a:extLst>
            <a:ext uri="{FF2B5EF4-FFF2-40B4-BE49-F238E27FC236}">
              <a16:creationId xmlns:a16="http://schemas.microsoft.com/office/drawing/2014/main" id="{00000000-0008-0000-1600-00000B000000}"/>
            </a:ext>
          </a:extLst>
        </xdr:cNvPr>
        <xdr:cNvSpPr txBox="1">
          <a:spLocks/>
        </xdr:cNvSpPr>
      </xdr:nvSpPr>
      <xdr:spPr>
        <a:xfrm>
          <a:off x="177800" y="50800"/>
          <a:ext cx="5631905"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operational definitions</a:t>
          </a:r>
        </a:p>
      </xdr:txBody>
    </xdr:sp>
    <xdr:clientData/>
  </xdr:twoCellAnchor>
  <xdr:twoCellAnchor>
    <xdr:from>
      <xdr:col>0</xdr:col>
      <xdr:colOff>177800</xdr:colOff>
      <xdr:row>48</xdr:row>
      <xdr:rowOff>187926</xdr:rowOff>
    </xdr:from>
    <xdr:to>
      <xdr:col>9</xdr:col>
      <xdr:colOff>152762</xdr:colOff>
      <xdr:row>51</xdr:row>
      <xdr:rowOff>12638</xdr:rowOff>
    </xdr:to>
    <xdr:sp macro="" textlink="">
      <xdr:nvSpPr>
        <xdr:cNvPr id="13" name="Content Placeholder 1">
          <a:extLst>
            <a:ext uri="{FF2B5EF4-FFF2-40B4-BE49-F238E27FC236}">
              <a16:creationId xmlns:a16="http://schemas.microsoft.com/office/drawing/2014/main" id="{00000000-0008-0000-1600-00000D000000}"/>
            </a:ext>
          </a:extLst>
        </xdr:cNvPr>
        <xdr:cNvSpPr txBox="1">
          <a:spLocks/>
        </xdr:cNvSpPr>
      </xdr:nvSpPr>
      <xdr:spPr>
        <a:xfrm>
          <a:off x="177800" y="6893526"/>
          <a:ext cx="7518762" cy="43431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Glossary</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of financial measures reconciliation</a:t>
          </a:r>
        </a:p>
      </xdr:txBody>
    </xdr:sp>
    <xdr:clientData/>
  </xdr:twoCellAnchor>
  <xdr:twoCellAnchor>
    <xdr:from>
      <xdr:col>8</xdr:col>
      <xdr:colOff>189154</xdr:colOff>
      <xdr:row>0</xdr:row>
      <xdr:rowOff>92364</xdr:rowOff>
    </xdr:from>
    <xdr:to>
      <xdr:col>15</xdr:col>
      <xdr:colOff>309259</xdr:colOff>
      <xdr:row>2</xdr:row>
      <xdr:rowOff>94876</xdr:rowOff>
    </xdr:to>
    <xdr:sp macro="" textlink="">
      <xdr:nvSpPr>
        <xdr:cNvPr id="16" name="Content Placeholder 1">
          <a:extLst>
            <a:ext uri="{FF2B5EF4-FFF2-40B4-BE49-F238E27FC236}">
              <a16:creationId xmlns:a16="http://schemas.microsoft.com/office/drawing/2014/main" id="{00000000-0008-0000-1600-000010000000}"/>
            </a:ext>
          </a:extLst>
        </xdr:cNvPr>
        <xdr:cNvSpPr txBox="1">
          <a:spLocks/>
        </xdr:cNvSpPr>
      </xdr:nvSpPr>
      <xdr:spPr>
        <a:xfrm>
          <a:off x="6885518" y="92364"/>
          <a:ext cx="5979423" cy="406603"/>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definições operacionais </a:t>
          </a:r>
        </a:p>
      </xdr:txBody>
    </xdr:sp>
    <xdr:clientData/>
  </xdr:twoCellAnchor>
  <xdr:twoCellAnchor>
    <xdr:from>
      <xdr:col>8</xdr:col>
      <xdr:colOff>189154</xdr:colOff>
      <xdr:row>48</xdr:row>
      <xdr:rowOff>187927</xdr:rowOff>
    </xdr:from>
    <xdr:to>
      <xdr:col>17</xdr:col>
      <xdr:colOff>820458</xdr:colOff>
      <xdr:row>50</xdr:row>
      <xdr:rowOff>190438</xdr:rowOff>
    </xdr:to>
    <xdr:sp macro="" textlink="">
      <xdr:nvSpPr>
        <xdr:cNvPr id="18" name="Content Placeholder 1">
          <a:extLst>
            <a:ext uri="{FF2B5EF4-FFF2-40B4-BE49-F238E27FC236}">
              <a16:creationId xmlns:a16="http://schemas.microsoft.com/office/drawing/2014/main" id="{00000000-0008-0000-1600-000012000000}"/>
            </a:ext>
          </a:extLst>
        </xdr:cNvPr>
        <xdr:cNvSpPr txBox="1">
          <a:spLocks/>
        </xdr:cNvSpPr>
      </xdr:nvSpPr>
      <xdr:spPr>
        <a:xfrm>
          <a:off x="6885518" y="9886109"/>
          <a:ext cx="8164713" cy="406602"/>
        </a:xfrm>
        <a:prstGeom prst="rect">
          <a:avLst/>
        </a:prstGeom>
      </xdr:spPr>
      <xdr:txBody>
        <a:bodyPr vert="horz" wrap="square" lIns="0" tIns="0" rIns="0" bIns="0" rtlCol="0" anchor="ctr">
          <a:noAutofit/>
        </a:bodyPr>
        <a:lstStyle>
          <a:defPPr lvl="0">
            <a:defRPr lang="pt-BR"/>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90000"/>
            </a:lnSpc>
            <a:spcBef>
              <a:spcPts val="1000"/>
            </a:spcBef>
            <a:spcAft>
              <a:spcPts val="0"/>
            </a:spcAft>
            <a:buClrTx/>
            <a:buSzTx/>
            <a:buFont typeface="Arial" panose="020B0604020202020204" pitchFamily="34" charset="0"/>
            <a:buNone/>
            <a:tabLst/>
            <a:defRPr/>
          </a:pPr>
          <a:r>
            <a:rPr lang="pt-BR" sz="2200">
              <a:solidFill>
                <a:srgbClr val="FF7B02"/>
              </a:solidFill>
              <a:latin typeface="Calibri" panose="020F0502020204030204" pitchFamily="34" charset="0"/>
              <a:cs typeface="Calibri" panose="020F0502020204030204" pitchFamily="34" charset="0"/>
            </a:rPr>
            <a:t>Glossário</a:t>
          </a:r>
          <a:r>
            <a:rPr kumimoji="0" lang="pt-BR" sz="2400" b="1" i="0" u="none" strike="noStrike" kern="0" cap="none" spc="0" normalizeH="0" baseline="0">
              <a:ln>
                <a:noFill/>
              </a:ln>
              <a:solidFill>
                <a:srgbClr val="FF7A00"/>
              </a:solidFill>
              <a:effectLst/>
              <a:uLnTx/>
              <a:uFillTx/>
              <a:latin typeface="Calibri" panose="020F0502020204030204" pitchFamily="34" charset="0"/>
              <a:ea typeface="+mn-ea"/>
              <a:cs typeface="Calibri" panose="020F0502020204030204" pitchFamily="34" charset="0"/>
            </a:rPr>
            <a:t> </a:t>
          </a:r>
          <a:r>
            <a:rPr lang="pt-BR" sz="2200" b="0">
              <a:solidFill>
                <a:srgbClr val="000000"/>
              </a:solidFill>
              <a:latin typeface="Calibri" panose="020F0502020204030204" pitchFamily="34" charset="0"/>
              <a:cs typeface="Calibri" panose="020F0502020204030204" pitchFamily="34" charset="0"/>
            </a:rPr>
            <a:t>de conciliação de indicadores financeiros</a:t>
          </a:r>
        </a:p>
      </xdr:txBody>
    </xdr:sp>
    <xdr:clientData/>
  </xdr:twoCellAnchor>
  <xdr:twoCellAnchor>
    <xdr:from>
      <xdr:col>16</xdr:col>
      <xdr:colOff>36946</xdr:colOff>
      <xdr:row>0</xdr:row>
      <xdr:rowOff>118918</xdr:rowOff>
    </xdr:from>
    <xdr:to>
      <xdr:col>18</xdr:col>
      <xdr:colOff>83838</xdr:colOff>
      <xdr:row>2</xdr:row>
      <xdr:rowOff>56684</xdr:rowOff>
    </xdr:to>
    <xdr:grpSp>
      <xdr:nvGrpSpPr>
        <xdr:cNvPr id="32" name="Group 31">
          <a:extLst>
            <a:ext uri="{FF2B5EF4-FFF2-40B4-BE49-F238E27FC236}">
              <a16:creationId xmlns:a16="http://schemas.microsoft.com/office/drawing/2014/main" id="{00000000-0008-0000-1600-000020000000}"/>
            </a:ext>
          </a:extLst>
        </xdr:cNvPr>
        <xdr:cNvGrpSpPr/>
      </xdr:nvGrpSpPr>
      <xdr:grpSpPr>
        <a:xfrm>
          <a:off x="13244946" y="118918"/>
          <a:ext cx="1697892" cy="318766"/>
          <a:chOff x="9503508" y="419387"/>
          <a:chExt cx="1697892" cy="285953"/>
        </a:xfrm>
      </xdr:grpSpPr>
      <xdr:sp macro="" textlink="Names!BG2">
        <xdr:nvSpPr>
          <xdr:cNvPr id="33" name="Rounded Rectangle 32">
            <a:hlinkClick xmlns:r="http://schemas.openxmlformats.org/officeDocument/2006/relationships" r:id="rId1"/>
            <a:extLst>
              <a:ext uri="{FF2B5EF4-FFF2-40B4-BE49-F238E27FC236}">
                <a16:creationId xmlns:a16="http://schemas.microsoft.com/office/drawing/2014/main" id="{00000000-0008-0000-1600-000021000000}"/>
              </a:ext>
            </a:extLst>
          </xdr:cNvPr>
          <xdr:cNvSpPr/>
        </xdr:nvSpPr>
        <xdr:spPr>
          <a:xfrm>
            <a:off x="9503508" y="420076"/>
            <a:ext cx="1697892" cy="285264"/>
          </a:xfrm>
          <a:prstGeom prst="roundRect">
            <a:avLst/>
          </a:prstGeom>
          <a:solidFill>
            <a:srgbClr val="FE78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2F8A604F-875A-1E47-A32D-C4FBF7F058CF}" type="TxLink">
              <a:rPr lang="en-US" sz="1100" b="1" i="0" u="none" strike="noStrike">
                <a:solidFill>
                  <a:schemeClr val="bg1"/>
                </a:solidFill>
                <a:latin typeface="Calibri"/>
                <a:cs typeface="Calibri"/>
              </a:rPr>
              <a:pPr algn="ctr"/>
              <a:t>    Back to summary</a:t>
            </a:fld>
            <a:endParaRPr lang="en-US" sz="1100" b="1">
              <a:solidFill>
                <a:schemeClr val="bg1"/>
              </a:solidFill>
            </a:endParaRPr>
          </a:p>
        </xdr:txBody>
      </xdr:sp>
      <xdr:pic>
        <xdr:nvPicPr>
          <xdr:cNvPr id="34" name="Gráfico 4" descr="Seta de linha: retorno na horizontal com preenchimento sólido">
            <a:hlinkClick xmlns:r="http://schemas.openxmlformats.org/officeDocument/2006/relationships" r:id="rId1"/>
            <a:extLst>
              <a:ext uri="{FF2B5EF4-FFF2-40B4-BE49-F238E27FC236}">
                <a16:creationId xmlns:a16="http://schemas.microsoft.com/office/drawing/2014/main" id="{00000000-0008-0000-1600-00002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9592734" y="419387"/>
            <a:ext cx="258937" cy="264917"/>
          </a:xfrm>
          <a:prstGeom prst="rect">
            <a:avLst/>
          </a:prstGeom>
        </xdr:spPr>
      </xdr:pic>
    </xdr:grpSp>
    <xdr:clientData/>
  </xdr:twoCellAnchor>
  <xdr:twoCellAnchor>
    <xdr:from>
      <xdr:col>0</xdr:col>
      <xdr:colOff>188149</xdr:colOff>
      <xdr:row>4</xdr:row>
      <xdr:rowOff>0</xdr:rowOff>
    </xdr:from>
    <xdr:to>
      <xdr:col>7</xdr:col>
      <xdr:colOff>76483</xdr:colOff>
      <xdr:row>29</xdr:row>
      <xdr:rowOff>65128</xdr:rowOff>
    </xdr:to>
    <mc:AlternateContent xmlns:mc="http://schemas.openxmlformats.org/markup-compatibility/2006" xmlns:a14="http://schemas.microsoft.com/office/drawing/2010/main">
      <mc:Choice Requires="a14">
        <xdr:sp macro="" textlink="">
          <xdr:nvSpPr>
            <xdr:cNvPr id="12" name="Retângulo 4">
              <a:extLst>
                <a:ext uri="{FF2B5EF4-FFF2-40B4-BE49-F238E27FC236}">
                  <a16:creationId xmlns:a16="http://schemas.microsoft.com/office/drawing/2014/main" id="{00000000-0008-0000-1600-00000C000000}"/>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clients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den>
                    </m:f>
                    <m:r>
                      <a:rPr lang="pt-BR" sz="900" i="1">
                        <a:latin typeface="Cambria Math" panose="02040503050406030204" pitchFamily="18" charset="0"/>
                        <a:cs typeface="Sora" pitchFamily="2" charset="0"/>
                      </a:rPr>
                      <m:t> </m:t>
                    </m:r>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solidFill>
                              <a:schemeClr val="tx1"/>
                            </a:solidFill>
                            <a:latin typeface="Cambria Math" panose="02040503050406030204" pitchFamily="18" charset="0"/>
                            <a:cs typeface="Sora" pitchFamily="2" charset="0"/>
                          </a:rPr>
                        </m:ctrlPr>
                      </m:fPr>
                      <m:num>
                        <m:r>
                          <m:rPr>
                            <m:sty m:val="p"/>
                          </m:rPr>
                          <a:rPr lang="pt-BR" sz="900" i="0">
                            <a:latin typeface="Cambria Math" panose="02040503050406030204" pitchFamily="18" charset="0"/>
                            <a:cs typeface="Sora" pitchFamily="2" charset="0"/>
                          </a:rPr>
                          <m:t>Number</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of</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active</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clients</m:t>
                        </m:r>
                        <m:r>
                          <a:rPr lang="pt-BR" sz="90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at</m:t>
                        </m:r>
                        <m:r>
                          <a:rPr lang="pt-BR" sz="90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end</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of</m:t>
                        </m:r>
                        <m:r>
                          <a:rPr lang="pt-BR" sz="900" b="0" i="0">
                            <a:latin typeface="Cambria Math" panose="02040503050406030204" pitchFamily="18" charset="0"/>
                            <a:cs typeface="Sora" pitchFamily="2" charset="0"/>
                          </a:rPr>
                          <m:t> </m:t>
                        </m:r>
                        <m:r>
                          <m:rPr>
                            <m:sty m:val="p"/>
                          </m:rPr>
                          <a:rPr lang="pt-BR" sz="900" b="0" i="0">
                            <a:latin typeface="Cambria Math" panose="02040503050406030204" pitchFamily="18" charset="0"/>
                            <a:cs typeface="Sora" pitchFamily="2" charset="0"/>
                          </a:rPr>
                          <m:t>the</m:t>
                        </m:r>
                        <m:r>
                          <a:rPr lang="pt-BR" sz="900" b="0" i="0">
                            <a:latin typeface="Cambria Math" panose="02040503050406030204" pitchFamily="18" charset="0"/>
                            <a:cs typeface="Sora" pitchFamily="2" charset="0"/>
                          </a:rPr>
                          <m:t>  </m:t>
                        </m:r>
                        <m:r>
                          <m:rPr>
                            <m:sty m:val="p"/>
                          </m:rPr>
                          <a:rPr lang="pt-BR" sz="900" i="0">
                            <a:latin typeface="Cambria Math" panose="02040503050406030204" pitchFamily="18" charset="0"/>
                            <a:cs typeface="Sora" pitchFamily="2" charset="0"/>
                          </a:rPr>
                          <m:t>quarter</m:t>
                        </m:r>
                      </m:num>
                      <m:den>
                        <m:r>
                          <m:rPr>
                            <m:sty m:val="p"/>
                          </m:rPr>
                          <a:rPr lang="pt-BR" sz="900">
                            <a:latin typeface="Cambria Math" panose="02040503050406030204" pitchFamily="18" charset="0"/>
                            <a:cs typeface="Sora" pitchFamily="2" charset="0"/>
                          </a:rPr>
                          <m:t>Total</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number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employees</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at</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end</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of</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the</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quarter</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including</m:t>
                        </m:r>
                        <m:r>
                          <a:rPr lang="pt-BR" sz="900">
                            <a:latin typeface="Cambria Math" panose="02040503050406030204" pitchFamily="18" charset="0"/>
                            <a:cs typeface="Sora" pitchFamily="2" charset="0"/>
                          </a:rPr>
                          <m:t> </m:t>
                        </m:r>
                        <m:r>
                          <m:rPr>
                            <m:sty m:val="p"/>
                          </m:rPr>
                          <a:rPr lang="pt-BR" sz="900">
                            <a:latin typeface="Cambria Math" panose="02040503050406030204" pitchFamily="18" charset="0"/>
                            <a:cs typeface="Sora" pitchFamily="2" charset="0"/>
                          </a:rPr>
                          <m:t>interns</m:t>
                        </m:r>
                      </m:den>
                    </m:f>
                  </m:oMath>
                </m:oMathPara>
              </a14:m>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12" name="Retângulo 4">
              <a:extLst>
                <a:ext uri="{FF2B5EF4-FFF2-40B4-BE49-F238E27FC236}">
                  <a16:creationId xmlns:a16="http://schemas.microsoft.com/office/drawing/2014/main" id="{F9DADA9B-998C-8ADD-51C9-5BE87BE52B55}"/>
                </a:ext>
              </a:extLst>
            </xdr:cNvPr>
            <xdr:cNvSpPr/>
          </xdr:nvSpPr>
          <xdr:spPr>
            <a:xfrm>
              <a:off x="188149" y="781538"/>
              <a:ext cx="5587052" cy="4949744"/>
            </a:xfrm>
            <a:prstGeom prst="rect">
              <a:avLst/>
            </a:prstGeom>
          </xdr:spPr>
          <xdr:txBody>
            <a:bodyPr wrap="square">
              <a:no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Activation Rate: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a:t>
              </a:r>
              <a:r>
                <a:rPr lang="pt-BR" sz="900" i="0">
                  <a:latin typeface="Cambria Math" panose="02040503050406030204" pitchFamily="18" charset="0"/>
                  <a:cs typeface="Sora" pitchFamily="2" charset="0"/>
                </a:rPr>
                <a:t> 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clients at the end of the quarter</a:t>
              </a:r>
              <a:r>
                <a:rPr lang="en-US" sz="900" i="0">
                  <a:solidFill>
                    <a:schemeClr val="tx1"/>
                  </a:solidFill>
                  <a:latin typeface="Cambria Math" panose="02040503050406030204" pitchFamily="18" charset="0"/>
                  <a:cs typeface="Sora" pitchFamily="2" charset="0"/>
                </a:rPr>
                <a:t>)</a:t>
              </a:r>
              <a:r>
                <a:rPr lang="pt-BR" sz="900" i="0">
                  <a:solidFill>
                    <a:schemeClr val="tx1"/>
                  </a:solidFill>
                  <a:latin typeface="Cambria Math" panose="02040503050406030204" pitchFamily="18" charset="0"/>
                  <a:cs typeface="Sora" pitchFamily="2" charset="0"/>
                </a:rPr>
                <a:t> </a:t>
              </a:r>
              <a:r>
                <a:rPr lang="pt-BR" sz="900" i="0">
                  <a:latin typeface="Cambria Math" panose="02040503050406030204" pitchFamily="18" charset="0"/>
                  <a:cs typeface="Sora" pitchFamily="2" charset="0"/>
                </a:rPr>
                <a:t> </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a:t>
              </a:r>
            </a:p>
            <a:p>
              <a:pPr algn="just"/>
              <a:r>
                <a:rPr lang="en-US" sz="900">
                  <a:latin typeface="Calibri" panose="020F0502020204030204" pitchFamily="34" charset="0"/>
                  <a:ea typeface="Inter" panose="020B0502030000000004" pitchFamily="34" charset="0"/>
                  <a:cs typeface="Calibri" panose="020F0502020204030204" pitchFamily="34" charset="0"/>
                </a:rPr>
                <a:t>We define an active client  as a customer at any given date that was the source of any amount of revenue for us in the preceding three months, or/and a customer that used products in the preceding three months. For Inter insurance, we calculate the number of active clients for our insurance brokerage vertical as the number of beneficiaries of insurance policies effective as of a particular date. For Inter Invest, we calculate the number of active clients as the number of individual accounts that have invested on our platform over the applicable period. </a:t>
              </a: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Active clients per employee:</a:t>
              </a:r>
            </a:p>
            <a:p>
              <a:endParaRPr lang="en-US" sz="900" b="1">
                <a:latin typeface="Calibri" panose="020F0502020204030204" pitchFamily="34" charset="0"/>
                <a:cs typeface="Calibri" panose="020F0502020204030204" pitchFamily="34" charset="0"/>
              </a:endParaRPr>
            </a:p>
            <a:p>
              <a:pP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Number of active clients </a:t>
              </a:r>
              <a:r>
                <a:rPr lang="pt-BR" sz="900" b="0" i="0">
                  <a:latin typeface="Cambria Math" panose="02040503050406030204" pitchFamily="18" charset="0"/>
                  <a:cs typeface="Sora" pitchFamily="2" charset="0"/>
                </a:rPr>
                <a:t>at</a:t>
              </a:r>
              <a:r>
                <a:rPr lang="pt-BR" sz="900" i="0">
                  <a:latin typeface="Cambria Math" panose="02040503050406030204" pitchFamily="18" charset="0"/>
                  <a:cs typeface="Sora" pitchFamily="2" charset="0"/>
                </a:rPr>
                <a:t> the</a:t>
              </a:r>
              <a:r>
                <a:rPr lang="pt-BR" sz="900" b="0" i="0">
                  <a:latin typeface="Cambria Math" panose="02040503050406030204" pitchFamily="18" charset="0"/>
                  <a:cs typeface="Sora" pitchFamily="2" charset="0"/>
                </a:rPr>
                <a:t> end of the  </a:t>
              </a:r>
              <a:r>
                <a:rPr lang="pt-BR" sz="900" i="0">
                  <a:latin typeface="Cambria Math" panose="02040503050406030204" pitchFamily="18" charset="0"/>
                  <a:cs typeface="Sora" pitchFamily="2" charset="0"/>
                </a:rPr>
                <a:t>quarter</a:t>
              </a:r>
              <a:r>
                <a:rPr lang="en-US" sz="900" i="0">
                  <a:solidFill>
                    <a:schemeClr val="tx1"/>
                  </a:solidFill>
                  <a:latin typeface="Cambria Math" panose="02040503050406030204" pitchFamily="18" charset="0"/>
                  <a:cs typeface="Sora" pitchFamily="2" charset="0"/>
                </a:rPr>
                <a:t>)/(</a:t>
              </a:r>
              <a:r>
                <a:rPr lang="pt-BR" sz="900" i="0">
                  <a:latin typeface="Cambria Math" panose="02040503050406030204" pitchFamily="18" charset="0"/>
                  <a:cs typeface="Sora" pitchFamily="2" charset="0"/>
                </a:rPr>
                <a:t>Total number of employees at the end of the quarter, including interns</a:t>
              </a:r>
              <a:r>
                <a:rPr lang="en-US" sz="900" i="0">
                  <a:solidFill>
                    <a:schemeClr val="tx1"/>
                  </a:solidFill>
                  <a:latin typeface="Cambria Math" panose="02040503050406030204" pitchFamily="18" charset="0"/>
                  <a:cs typeface="Sora" pitchFamily="2" charset="0"/>
                </a:rPr>
                <a:t>)</a:t>
              </a:r>
              <a:endParaRPr lang="en-US" sz="900">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a:t>
              </a:r>
            </a:p>
            <a:p>
              <a:pPr algn="just"/>
              <a:r>
                <a:rPr lang="en-US" sz="900">
                  <a:latin typeface="Calibri" panose="020F0502020204030204" pitchFamily="34" charset="0"/>
                  <a:ea typeface="Inter" panose="020B0502030000000004" pitchFamily="34" charset="0"/>
                  <a:cs typeface="Calibri" panose="020F0502020204030204" pitchFamily="34" charset="0"/>
                </a:rPr>
                <a:t>PIX, debit and credit cards and withdrawal transacted volumes of a given period. PIX is a Central Bank of Brazil solution to bring instant payments among banks and financial institutions in Brazil.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Card+PIX TPV per active client:</a:t>
              </a:r>
            </a:p>
            <a:p>
              <a:pPr algn="just"/>
              <a:r>
                <a:rPr lang="en-US" sz="900">
                  <a:latin typeface="Calibri" panose="020F0502020204030204" pitchFamily="34" charset="0"/>
                  <a:ea typeface="Inter" panose="020B0502030000000004" pitchFamily="34" charset="0"/>
                  <a:cs typeface="Calibri" panose="020F0502020204030204" pitchFamily="34" charset="0"/>
                </a:rPr>
                <a:t>Card+PIX TPV for a given period divided by the number of active clients as of the last day of the period. </a:t>
              </a:r>
            </a:p>
            <a:p>
              <a:pPr algn="just"/>
              <a:endParaRPr lang="en-US" sz="900" b="1">
                <a:latin typeface="Calibri" panose="020F05020202040302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0</xdr:col>
      <xdr:colOff>182608</xdr:colOff>
      <xdr:row>29</xdr:row>
      <xdr:rowOff>63922</xdr:rowOff>
    </xdr:from>
    <xdr:to>
      <xdr:col>6</xdr:col>
      <xdr:colOff>755210</xdr:colOff>
      <xdr:row>49</xdr:row>
      <xdr:rowOff>99933</xdr:rowOff>
    </xdr:to>
    <mc:AlternateContent xmlns:mc="http://schemas.openxmlformats.org/markup-compatibility/2006" xmlns:a14="http://schemas.microsoft.com/office/drawing/2010/main">
      <mc:Choice Requires="a14">
        <xdr:sp macro="" textlink="">
          <xdr:nvSpPr>
            <xdr:cNvPr id="15" name="Retângulo 4">
              <a:extLst>
                <a:ext uri="{FF2B5EF4-FFF2-40B4-BE49-F238E27FC236}">
                  <a16:creationId xmlns:a16="http://schemas.microsoft.com/office/drawing/2014/main" id="{00000000-0008-0000-1600-00000F000000}"/>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gross</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rPr>
                        </m:ctrlPr>
                      </m:fPr>
                      <m:num>
                        <m:r>
                          <m:rPr>
                            <m:sty m:val="p"/>
                          </m:rPr>
                          <a:rPr lang="pt-BR" sz="900">
                            <a:latin typeface="Cambria Math" panose="02040503050406030204" pitchFamily="18" charset="0"/>
                          </a:rPr>
                          <m:t>Inter</m:t>
                        </m:r>
                        <m:r>
                          <a:rPr lang="pt-BR" sz="900">
                            <a:latin typeface="Cambria Math" panose="02040503050406030204" pitchFamily="18" charset="0"/>
                          </a:rPr>
                          <m:t> </m:t>
                        </m:r>
                        <m:r>
                          <m:rPr>
                            <m:sty m:val="p"/>
                          </m:rPr>
                          <a:rPr lang="pt-BR" sz="900">
                            <a:latin typeface="Cambria Math" panose="02040503050406030204" pitchFamily="18" charset="0"/>
                          </a:rPr>
                          <m:t>Shop</m:t>
                        </m:r>
                        <m:r>
                          <a:rPr lang="pt-BR" sz="900">
                            <a:latin typeface="Cambria Math" panose="02040503050406030204" pitchFamily="18" charset="0"/>
                          </a:rPr>
                          <m:t> </m:t>
                        </m:r>
                        <m:r>
                          <m:rPr>
                            <m:sty m:val="p"/>
                          </m:rPr>
                          <a:rPr lang="pt-BR" sz="900">
                            <a:latin typeface="Cambria Math" panose="02040503050406030204" pitchFamily="18" charset="0"/>
                          </a:rPr>
                          <m:t>net</m:t>
                        </m:r>
                        <m:r>
                          <a:rPr lang="pt-BR" sz="900">
                            <a:latin typeface="Cambria Math" panose="02040503050406030204" pitchFamily="18" charset="0"/>
                          </a:rPr>
                          <m:t> </m:t>
                        </m:r>
                        <m:r>
                          <m:rPr>
                            <m:sty m:val="p"/>
                          </m:rPr>
                          <a:rPr lang="pt-BR" sz="900" i="1">
                            <a:latin typeface="Cambria Math" panose="02040503050406030204" pitchFamily="18" charset="0"/>
                          </a:rPr>
                          <m:t>revenue</m:t>
                        </m:r>
                      </m:num>
                      <m:den>
                        <m:r>
                          <m:rPr>
                            <m:sty m:val="p"/>
                          </m:rPr>
                          <a:rPr lang="pt-BR" sz="900">
                            <a:latin typeface="Cambria Math" panose="02040503050406030204" pitchFamily="18" charset="0"/>
                          </a:rPr>
                          <m:t>GMV</m:t>
                        </m:r>
                      </m:den>
                    </m:f>
                  </m:oMath>
                </m:oMathPara>
              </a14:m>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Choice>
      <mc:Fallback xmlns="">
        <xdr:sp macro="" textlink="">
          <xdr:nvSpPr>
            <xdr:cNvPr id="15" name="Retângulo 4">
              <a:extLst>
                <a:ext uri="{FF2B5EF4-FFF2-40B4-BE49-F238E27FC236}">
                  <a16:creationId xmlns:a16="http://schemas.microsoft.com/office/drawing/2014/main" id="{6F5FBE76-732D-2025-5606-83466F1666EC}"/>
                </a:ext>
              </a:extLst>
            </xdr:cNvPr>
            <xdr:cNvSpPr/>
          </xdr:nvSpPr>
          <xdr:spPr>
            <a:xfrm>
              <a:off x="182608" y="5401603"/>
              <a:ext cx="5542167" cy="3717171"/>
            </a:xfrm>
            <a:prstGeom prst="rect">
              <a:avLst/>
            </a:prstGeom>
          </xdr:spPr>
          <xdr:txBody>
            <a:bodyPr wrap="square">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Client acquisition cost (CAC):</a:t>
              </a:r>
            </a:p>
            <a:p>
              <a:pPr algn="just"/>
              <a:r>
                <a:rPr lang="en-US" sz="900">
                  <a:latin typeface="Calibri" panose="020F0502020204030204" pitchFamily="34" charset="0"/>
                  <a:ea typeface="Inter" panose="020B0502030000000004" pitchFamily="34" charset="0"/>
                  <a:cs typeface="Calibri" panose="020F0502020204030204" pitchFamily="34" charset="0"/>
                </a:rPr>
                <a:t>The average cost to add a client to the platform, considering operating expenses for opening an account, such as onboarding personnel, embossing and sending cards and digital marketing expenses with a focus on client acquisition, divided by the number of accounts opened in the quarter. </a:t>
              </a: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merchandise volume (GMV):</a:t>
              </a:r>
            </a:p>
            <a:p>
              <a:pPr algn="just"/>
              <a:r>
                <a:rPr lang="en-US" sz="900">
                  <a:latin typeface="Calibri" panose="020F0502020204030204" pitchFamily="34" charset="0"/>
                  <a:ea typeface="Inter" panose="020B0502030000000004" pitchFamily="34" charset="0"/>
                  <a:cs typeface="Calibri" panose="020F0502020204030204" pitchFamily="34" charset="0"/>
                </a:rPr>
                <a:t>Gross merchandise value, or GMV, for a given period as the total value of all sales made or initiated through our Inter Shop &amp; Commerce Plus platform managed by Inter Shop &amp; Commerce Plus.</a:t>
              </a:r>
            </a:p>
            <a:p>
              <a:pPr algn="just"/>
              <a:endParaRPr lang="en-US" sz="9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gross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Net take rate:</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rPr>
                <a:t>(Inter Shop net revenue)/GMV</a:t>
              </a:r>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177800</xdr:colOff>
      <xdr:row>53</xdr:row>
      <xdr:rowOff>0</xdr:rowOff>
    </xdr:from>
    <xdr:to>
      <xdr:col>7</xdr:col>
      <xdr:colOff>144745</xdr:colOff>
      <xdr:row>85</xdr:row>
      <xdr:rowOff>1180</xdr:rowOff>
    </xdr:to>
    <mc:AlternateContent xmlns:mc="http://schemas.openxmlformats.org/markup-compatibility/2006" xmlns:a14="http://schemas.microsoft.com/office/drawing/2010/main">
      <mc:Choice Requires="a14">
        <xdr:sp macro="" textlink="">
          <xdr:nvSpPr>
            <xdr:cNvPr id="21" name="Retângulo 9">
              <a:extLst>
                <a:ext uri="{FF2B5EF4-FFF2-40B4-BE49-F238E27FC236}">
                  <a16:creationId xmlns:a16="http://schemas.microsoft.com/office/drawing/2014/main" id="{00000000-0008-0000-1600-00001500000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rPr>
                        </m:ctrlPr>
                      </m:fPr>
                      <m:num>
                        <m:r>
                          <m:rPr>
                            <m:sty m:val="p"/>
                          </m:rPr>
                          <a:rPr lang="pt-BR" sz="800">
                            <a:latin typeface="Cambria Math" panose="02040503050406030204" pitchFamily="18" charset="0"/>
                            <a:ea typeface="Cambria Math" panose="02040503050406030204" pitchFamily="18" charset="0"/>
                          </a:rPr>
                          <m:t>Administrative</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expenses</m:t>
                        </m:r>
                        <m:r>
                          <a:rPr lang="pt-BR" sz="800">
                            <a:latin typeface="Cambria Math" panose="02040503050406030204" pitchFamily="18" charset="0"/>
                            <a:ea typeface="Cambria Math" panose="02040503050406030204" pitchFamily="18" charset="0"/>
                          </a:rPr>
                          <m:t>+</m:t>
                        </m:r>
                        <m:r>
                          <m:rPr>
                            <m:sty m:val="p"/>
                          </m:rPr>
                          <a:rPr lang="pt-BR" sz="800">
                            <a:latin typeface="Cambria Math" panose="02040503050406030204" pitchFamily="18" charset="0"/>
                            <a:ea typeface="Cambria Math" panose="02040503050406030204" pitchFamily="18" charset="0"/>
                          </a:rPr>
                          <m:t>Depreciation</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and</m:t>
                        </m:r>
                        <m:r>
                          <a:rPr lang="pt-BR" sz="800">
                            <a:latin typeface="Cambria Math" panose="02040503050406030204" pitchFamily="18" charset="0"/>
                            <a:ea typeface="Cambria Math" panose="02040503050406030204" pitchFamily="18" charset="0"/>
                          </a:rPr>
                          <m:t> </m:t>
                        </m:r>
                        <m:r>
                          <m:rPr>
                            <m:sty m:val="p"/>
                          </m:rPr>
                          <a:rPr lang="pt-BR" sz="800">
                            <a:latin typeface="Cambria Math" panose="02040503050406030204" pitchFamily="18" charset="0"/>
                            <a:ea typeface="Cambria Math" panose="02040503050406030204" pitchFamily="18" charset="0"/>
                          </a:rPr>
                          <m:t>amortization</m:t>
                        </m:r>
                      </m:num>
                      <m:den>
                        <m:r>
                          <m:rPr>
                            <m:sty m:val="p"/>
                          </m:rPr>
                          <a:rPr lang="en-US" sz="800" b="0" i="0">
                            <a:latin typeface="Cambria Math" panose="02040503050406030204" pitchFamily="18" charset="0"/>
                            <a:ea typeface="Cambria Math" panose="02040503050406030204" pitchFamily="18" charset="0"/>
                          </a:rPr>
                          <m:t>Net</m:t>
                        </m:r>
                        <m:r>
                          <a:rPr lang="en-US" sz="800" b="0" i="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Interest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Income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Net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result</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from</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services</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and</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comissions</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Other</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revenue</m:t>
                        </m:r>
                        <m:r>
                          <a:rPr lang="en-US" sz="800">
                            <a:latin typeface="Cambria Math" panose="02040503050406030204" pitchFamily="18" charset="0"/>
                            <a:ea typeface="Cambria Math" panose="02040503050406030204" pitchFamily="18" charset="0"/>
                          </a:rPr>
                          <m:t>−</m:t>
                        </m:r>
                        <m:r>
                          <m:rPr>
                            <m:sty m:val="p"/>
                          </m:rPr>
                          <a:rPr lang="en-US" sz="800">
                            <a:latin typeface="Cambria Math" panose="02040503050406030204" pitchFamily="18" charset="0"/>
                            <a:ea typeface="Cambria Math" panose="02040503050406030204" pitchFamily="18" charset="0"/>
                          </a:rPr>
                          <m:t>Tax</m:t>
                        </m:r>
                        <m:r>
                          <a:rPr lang="en-US" sz="800">
                            <a:latin typeface="Cambria Math" panose="02040503050406030204" pitchFamily="18" charset="0"/>
                            <a:ea typeface="Cambria Math" panose="02040503050406030204" pitchFamily="18" charset="0"/>
                          </a:rPr>
                          <m:t> </m:t>
                        </m:r>
                        <m:r>
                          <m:rPr>
                            <m:sty m:val="p"/>
                          </m:rPr>
                          <a:rPr lang="en-US" sz="800">
                            <a:latin typeface="Cambria Math" panose="02040503050406030204" pitchFamily="18" charset="0"/>
                            <a:ea typeface="Cambria Math" panose="02040503050406030204" pitchFamily="18" charset="0"/>
                          </a:rPr>
                          <m:t>expense</m:t>
                        </m:r>
                      </m:den>
                    </m:f>
                    <m:r>
                      <a:rPr lang="en-US" sz="800" i="1">
                        <a:latin typeface="Cambria Math" panose="02040503050406030204" pitchFamily="18" charset="0"/>
                        <a:ea typeface="Cambria Math" panose="02040503050406030204" pitchFamily="18"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eqArr>
                          <m:eqArrPr>
                            <m:ctrlPr>
                              <a:rPr lang="en-US" sz="800" b="0" i="1">
                                <a:solidFill>
                                  <a:schemeClr val="tx1"/>
                                </a:solidFill>
                                <a:latin typeface="Cambria Math" panose="02040503050406030204" pitchFamily="18" charset="0"/>
                                <a:ea typeface="Cambria Math" panose="02040503050406030204" pitchFamily="18" charset="0"/>
                                <a:cs typeface="Sora" pitchFamily="2" charset="0"/>
                              </a:rPr>
                            </m:ctrlPr>
                          </m:eqArrPr>
                          <m:e>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services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comissions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Cashback</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rewards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e>
                          <m:e>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Income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from</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securities</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and</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derivarives</m:t>
                            </m:r>
                            <m:r>
                              <a:rPr lang="en-US" sz="800" b="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Other</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e>
                        </m:eqAr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ea typeface="Cambria Math" panose="02040503050406030204" pitchFamily="18" charset="0"/>
                            <a:cs typeface="Sora" pitchFamily="2" charset="0"/>
                          </a:rPr>
                        </m:ctrlPr>
                      </m:fPr>
                      <m:num>
                        <m:r>
                          <a:rPr lang="en-US" sz="800" i="0">
                            <a:solidFill>
                              <a:schemeClr val="tx1"/>
                            </a:solidFill>
                            <a:latin typeface="Cambria Math" panose="02040503050406030204" pitchFamily="18" charset="0"/>
                            <a:ea typeface="Cambria Math" panose="02040503050406030204" pitchFamily="18" charset="0"/>
                            <a:cs typeface="Sora" pitchFamily="2" charset="0"/>
                          </a:rPr>
                          <m:t>(</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Revenue</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Interest</m:t>
                        </m:r>
                        <m:r>
                          <a:rPr lang="en-US" sz="800" b="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b="0" i="0">
                            <a:solidFill>
                              <a:schemeClr val="tx1"/>
                            </a:solidFill>
                            <a:latin typeface="Cambria Math" panose="02040503050406030204" pitchFamily="18" charset="0"/>
                            <a:ea typeface="Cambria Math" panose="02040503050406030204" pitchFamily="18" charset="0"/>
                            <a:cs typeface="Sora" pitchFamily="2" charset="0"/>
                          </a:rPr>
                          <m:t>expenses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a:rPr lang="en-US" sz="800" b="0" i="0">
                            <a:solidFill>
                              <a:schemeClr val="tx1"/>
                            </a:solidFill>
                            <a:latin typeface="Cambria Math" panose="02040503050406030204" pitchFamily="18" charset="0"/>
                            <a:ea typeface="Cambria Math" panose="02040503050406030204" pitchFamily="18" charset="0"/>
                            <a:cs typeface="Sora" pitchFamily="2" charset="0"/>
                          </a:rPr>
                          <m:t>3</m:t>
                        </m:r>
                      </m:num>
                      <m:den>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Average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of</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the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last</m:t>
                        </m:r>
                        <m:r>
                          <a:rPr lang="en-US" sz="800" i="0">
                            <a:solidFill>
                              <a:schemeClr val="tx1"/>
                            </a:solidFill>
                            <a:latin typeface="Cambria Math" panose="02040503050406030204" pitchFamily="18" charset="0"/>
                            <a:ea typeface="Cambria Math" panose="02040503050406030204" pitchFamily="18" charset="0"/>
                            <a:cs typeface="Sora" pitchFamily="2" charset="0"/>
                          </a:rPr>
                          <m:t> 2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quarters</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Active</m:t>
                        </m:r>
                        <m:r>
                          <a:rPr lang="en-US" sz="800" i="0">
                            <a:solidFill>
                              <a:schemeClr val="tx1"/>
                            </a:solidFill>
                            <a:latin typeface="Cambria Math" panose="02040503050406030204" pitchFamily="18" charset="0"/>
                            <a:ea typeface="Cambria Math" panose="02040503050406030204" pitchFamily="18" charset="0"/>
                            <a:cs typeface="Sora" pitchFamily="2" charset="0"/>
                          </a:rPr>
                          <m:t> </m:t>
                        </m:r>
                        <m:r>
                          <m:rPr>
                            <m:sty m:val="p"/>
                          </m:rPr>
                          <a:rPr lang="en-US" sz="800" i="0">
                            <a:solidFill>
                              <a:schemeClr val="tx1"/>
                            </a:solidFill>
                            <a:latin typeface="Cambria Math" panose="02040503050406030204" pitchFamily="18" charset="0"/>
                            <a:ea typeface="Cambria Math" panose="02040503050406030204" pitchFamily="18" charset="0"/>
                            <a:cs typeface="Sora" pitchFamily="2" charset="0"/>
                          </a:rPr>
                          <m:t>Clients</m:t>
                        </m:r>
                      </m:den>
                    </m:f>
                  </m:oMath>
                </m:oMathPara>
              </a14:m>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1" name="Retângulo 9">
              <a:extLst>
                <a:ext uri="{FF2B5EF4-FFF2-40B4-BE49-F238E27FC236}">
                  <a16:creationId xmlns:a16="http://schemas.microsoft.com/office/drawing/2014/main" id="{70BBBFDC-97EA-DB78-9935-3D590DAA2910}"/>
                </a:ext>
              </a:extLst>
            </xdr:cNvPr>
            <xdr:cNvSpPr/>
          </xdr:nvSpPr>
          <xdr:spPr>
            <a:xfrm>
              <a:off x="177800" y="9755072"/>
              <a:ext cx="5764771" cy="5891036"/>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Administrative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800" i="0">
                  <a:latin typeface="Cambria Math" panose="02040503050406030204" pitchFamily="18" charset="0"/>
                  <a:ea typeface="Cambria Math" panose="02040503050406030204" pitchFamily="18" charset="0"/>
                </a:rPr>
                <a:t>(</a:t>
              </a:r>
              <a:r>
                <a:rPr lang="pt-BR" sz="800" i="0">
                  <a:latin typeface="Cambria Math" panose="02040503050406030204" pitchFamily="18" charset="0"/>
                  <a:ea typeface="Cambria Math" panose="02040503050406030204" pitchFamily="18" charset="0"/>
                </a:rPr>
                <a:t>Administrative expenses+Depreciation and amortization</a:t>
              </a:r>
              <a:r>
                <a:rPr lang="en-US" sz="800" i="0">
                  <a:latin typeface="Cambria Math" panose="02040503050406030204" pitchFamily="18" charset="0"/>
                  <a:ea typeface="Cambria Math" panose="02040503050406030204" pitchFamily="18" charset="0"/>
                </a:rPr>
                <a:t>)/(</a:t>
              </a:r>
              <a:r>
                <a:rPr lang="en-US" sz="800" b="0" i="0">
                  <a:latin typeface="Cambria Math" panose="02040503050406030204" pitchFamily="18" charset="0"/>
                  <a:ea typeface="Cambria Math" panose="02040503050406030204" pitchFamily="18" charset="0"/>
                </a:rPr>
                <a:t>Net </a:t>
              </a:r>
              <a:r>
                <a:rPr lang="en-US" sz="800" i="0">
                  <a:latin typeface="Cambria Math" panose="02040503050406030204" pitchFamily="18" charset="0"/>
                  <a:ea typeface="Cambria Math" panose="02040503050406030204" pitchFamily="18" charset="0"/>
                </a:rPr>
                <a:t>Interest Income+Net result from services and comissions+Other revenue−Tax expense)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Annualized interest rates:</a:t>
              </a:r>
            </a:p>
            <a:p>
              <a:pPr algn="just"/>
              <a:r>
                <a:rPr lang="en-US" sz="900">
                  <a:latin typeface="Calibri" panose="020F0502020204030204" pitchFamily="34" charset="0"/>
                  <a:ea typeface="Inter" panose="020B0502030000000004" pitchFamily="34" charset="0"/>
                  <a:cs typeface="Calibri" panose="020F0502020204030204" pitchFamily="34" charset="0"/>
                </a:rPr>
                <a:t>Yearly rate calculated by multiplying the quarterly interest by four, over the average portfolio of the last two quarters. All-in loans rate considers Real Estate, Personnal +FGTS, SMBs, Credit Card, excluding non-interest earnings credit card receivables, and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Anticipation of credit card receivables:</a:t>
              </a:r>
            </a:p>
            <a:p>
              <a:pPr algn="just"/>
              <a:r>
                <a:rPr lang="en-US" sz="900">
                  <a:latin typeface="Calibri" panose="020F0502020204030204" pitchFamily="34" charset="0"/>
                  <a:ea typeface="Inter" panose="020B0502030000000004" pitchFamily="34" charset="0"/>
                  <a:cs typeface="Calibri" panose="020F0502020204030204" pitchFamily="34" charset="0"/>
                </a:rPr>
                <a:t>Disclosed in note 9.a of the Financial Statements, line " "Loans to financial institutions”.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lgn="just"/>
              <a:r>
                <a:rPr lang="en-US" sz="900" b="1">
                  <a:latin typeface="Calibri" panose="020F0502020204030204" pitchFamily="34" charset="0"/>
                  <a:cs typeface="Calibri" panose="020F0502020204030204" pitchFamily="34" charset="0"/>
                </a:rPr>
                <a:t>ARPAC gross of interest expenses:</a:t>
              </a:r>
            </a:p>
            <a:p>
              <a:pPr algn="just"/>
              <a:endParaRPr lang="en-US" sz="900">
                <a:latin typeface="Calibri" panose="020F0502020204030204" pitchFamily="34" charset="0"/>
                <a:ea typeface="Inter" panose="020B0502030000000004" pitchFamily="34" charset="0"/>
                <a:cs typeface="Calibri" panose="020F0502020204030204" pitchFamily="34" charset="0"/>
              </a:endParaRPr>
            </a:p>
            <a:p>
              <a:pPr/>
              <a:r>
                <a:rPr lang="en-US" sz="800" b="0" i="0">
                  <a:solidFill>
                    <a:schemeClr val="tx1"/>
                  </a:solidFill>
                  <a:latin typeface="Cambria Math" panose="02040503050406030204" pitchFamily="18" charset="0"/>
                  <a:ea typeface="Cambria Math" panose="02040503050406030204" pitchFamily="18" charset="0"/>
                  <a:cs typeface="Sora" pitchFamily="2" charset="0"/>
                </a:rPr>
                <a:t>█((Interest income+(Revenue from services and comissions −Cashback −Inter rewards)@+ Income from securities and derivarives+Other revenue)÷3)/(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net of interest expenses:</a:t>
              </a:r>
            </a:p>
            <a:p>
              <a:pPr algn="ctr"/>
              <a:br>
                <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rPr>
              </a:br>
              <a:r>
                <a:rPr lang="en-US" sz="800" i="0">
                  <a:solidFill>
                    <a:schemeClr val="tx1"/>
                  </a:solidFill>
                  <a:latin typeface="Cambria Math" panose="02040503050406030204" pitchFamily="18" charset="0"/>
                  <a:ea typeface="Cambria Math" panose="02040503050406030204" pitchFamily="18" charset="0"/>
                  <a:cs typeface="Sora" pitchFamily="2" charset="0"/>
                </a:rPr>
                <a:t>((</a:t>
              </a:r>
              <a:r>
                <a:rPr lang="en-US" sz="800" b="0" i="0">
                  <a:solidFill>
                    <a:schemeClr val="tx1"/>
                  </a:solidFill>
                  <a:latin typeface="Cambria Math" panose="02040503050406030204" pitchFamily="18" charset="0"/>
                  <a:ea typeface="Cambria Math" panose="02040503050406030204" pitchFamily="18" charset="0"/>
                  <a:cs typeface="Sora" pitchFamily="2" charset="0"/>
                </a:rPr>
                <a:t>Revenue −Interest expenses</a:t>
              </a:r>
              <a:r>
                <a:rPr lang="en-US" sz="800" i="0">
                  <a:solidFill>
                    <a:schemeClr val="tx1"/>
                  </a:solidFill>
                  <a:latin typeface="Cambria Math" panose="02040503050406030204" pitchFamily="18" charset="0"/>
                  <a:ea typeface="Cambria Math" panose="02040503050406030204" pitchFamily="18" charset="0"/>
                  <a:cs typeface="Sora" pitchFamily="2" charset="0"/>
                </a:rPr>
                <a:t>)  ÷</a:t>
              </a:r>
              <a:r>
                <a:rPr lang="en-US" sz="800" b="0" i="0">
                  <a:solidFill>
                    <a:schemeClr val="tx1"/>
                  </a:solidFill>
                  <a:latin typeface="Cambria Math" panose="02040503050406030204" pitchFamily="18" charset="0"/>
                  <a:ea typeface="Cambria Math" panose="02040503050406030204" pitchFamily="18" charset="0"/>
                  <a:cs typeface="Sora" pitchFamily="2" charset="0"/>
                </a:rPr>
                <a:t>3)/(</a:t>
              </a:r>
              <a:r>
                <a:rPr lang="en-US" sz="800" i="0">
                  <a:solidFill>
                    <a:schemeClr val="tx1"/>
                  </a:solidFill>
                  <a:latin typeface="Cambria Math" panose="02040503050406030204" pitchFamily="18" charset="0"/>
                  <a:ea typeface="Cambria Math" panose="02040503050406030204" pitchFamily="18" charset="0"/>
                  <a:cs typeface="Sora" pitchFamily="2" charset="0"/>
                </a:rPr>
                <a:t>Average of the last 2 quarters Active Clients)</a:t>
              </a:r>
              <a:endParaRPr lang="en-US" sz="800" b="1">
                <a:solidFill>
                  <a:schemeClr val="tx1"/>
                </a:solidFill>
                <a:latin typeface="Calibri" panose="020F0502020204030204" pitchFamily="34" charset="0"/>
                <a:ea typeface="Cambria Math" panose="02040503050406030204" pitchFamily="18" charset="0"/>
                <a:cs typeface="Calibri" panose="020F0502020204030204" pitchFamily="34" charset="0"/>
              </a:endParaRPr>
            </a:p>
            <a:p>
              <a:pPr algn="ctr"/>
              <a:endParaRPr lang="en-US" sz="8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ARPAC per quarterly cohort:</a:t>
              </a:r>
            </a:p>
            <a:p>
              <a:pPr algn="just"/>
              <a:r>
                <a:rPr lang="en-US" sz="900">
                  <a:latin typeface="Calibri" panose="020F0502020204030204" pitchFamily="34" charset="0"/>
                  <a:ea typeface="Inter" panose="020B0502030000000004" pitchFamily="34" charset="0"/>
                  <a:cs typeface="Calibri" panose="020F0502020204030204" pitchFamily="34" charset="0"/>
                </a:rPr>
                <a:t>Total Gross revenue net of interest expenses in a given cohort divided by the average number of active clients in the current and previous periods1. Cohort is defined as the period in which the client started his relationship with Inter.</a:t>
              </a:r>
              <a:br>
                <a:rPr lang="en-US" sz="900">
                  <a:latin typeface="Calibri" panose="020F0502020204030204" pitchFamily="34" charset="0"/>
                  <a:ea typeface="Inter" panose="020B0502030000000004" pitchFamily="34" charset="0"/>
                  <a:cs typeface="Calibri" panose="020F0502020204030204" pitchFamily="34" charset="0"/>
                </a:rPr>
              </a:br>
              <a:endParaRPr lang="en-US" sz="900">
                <a:latin typeface="Calibri" panose="020F0502020204030204" pitchFamily="34" charset="0"/>
                <a:ea typeface="Inter" panose="020B0502030000000004" pitchFamily="34" charset="0"/>
                <a:cs typeface="Calibri" panose="020F0502020204030204" pitchFamily="34" charset="0"/>
              </a:endParaRPr>
            </a:p>
            <a:p>
              <a:r>
                <a:rPr lang="en-US" sz="900" baseline="30000">
                  <a:latin typeface="Calibri" panose="020F0502020204030204" pitchFamily="34" charset="0"/>
                  <a:ea typeface="Cambria Math" panose="02040503050406030204" pitchFamily="18" charset="0"/>
                  <a:cs typeface="Calibri" panose="020F0502020204030204" pitchFamily="34" charset="0"/>
                </a:rPr>
                <a:t>1 - Average number of active clients in the current and previous periods: For the first period, is used the total number of active clients in the end of the period.</a:t>
              </a: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aseline="300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Assets under custody (AuC):</a:t>
              </a:r>
            </a:p>
            <a:p>
              <a:pPr algn="just"/>
              <a:r>
                <a:rPr lang="en-US" sz="900">
                  <a:latin typeface="Calibri" panose="020F0502020204030204" pitchFamily="34" charset="0"/>
                  <a:ea typeface="Inter" panose="020B0502030000000004" pitchFamily="34" charset="0"/>
                  <a:cs typeface="Calibri" panose="020F0502020204030204" pitchFamily="34" charset="0"/>
                </a:rPr>
                <a:t>We calculate assets under custody, or AUC, at a given date as the market value of all retail clients’ assets invested through our investment platform as of that same date. We believe that AUC, as it reflects the total volume of assets invested in our investment platform without accounting for our operational efficiency, provides us useful insight on the appeal of our platform. We use this metric to monitor the size of our investment platform.</a:t>
              </a:r>
            </a:p>
            <a:p>
              <a:endParaRPr lang="en-US" sz="8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151610</xdr:colOff>
      <xdr:row>86</xdr:row>
      <xdr:rowOff>95088</xdr:rowOff>
    </xdr:from>
    <xdr:to>
      <xdr:col>7</xdr:col>
      <xdr:colOff>119810</xdr:colOff>
      <xdr:row>117</xdr:row>
      <xdr:rowOff>137211</xdr:rowOff>
    </xdr:to>
    <mc:AlternateContent xmlns:mc="http://schemas.openxmlformats.org/markup-compatibility/2006" xmlns:a14="http://schemas.microsoft.com/office/drawing/2010/main">
      <mc:Choice Requires="a14">
        <xdr:sp macro="" textlink="">
          <xdr:nvSpPr>
            <xdr:cNvPr id="22" name="Retângulo 9">
              <a:extLst>
                <a:ext uri="{FF2B5EF4-FFF2-40B4-BE49-F238E27FC236}">
                  <a16:creationId xmlns:a16="http://schemas.microsoft.com/office/drawing/2014/main" id="{00000000-0008-0000-1600-000016000000}"/>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Interest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expenses</m:t>
                        </m:r>
                        <m:r>
                          <a:rPr lang="pt-BR" sz="80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eqArr>
                          <m:eqArrPr>
                            <m:ctrlPr>
                              <a:rPr lang="pt-BR" sz="800" i="1">
                                <a:latin typeface="Cambria Math" panose="02040503050406030204" pitchFamily="18" charset="0"/>
                                <a:ea typeface="Cambria Math" panose="02040503050406030204" pitchFamily="18" charset="0"/>
                                <a:cs typeface="Sora" pitchFamily="2" charset="0"/>
                              </a:rPr>
                            </m:ctrlPr>
                          </m:eqArrPr>
                          <m:e>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Interest</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bearing</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liabilities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demand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time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deposits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savings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creditors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by</m:t>
                            </m:r>
                          </m:e>
                          <m:e>
                            <m:r>
                              <m:rPr>
                                <m:sty m:val="p"/>
                              </m:rPr>
                              <a:rPr lang="pt-BR" sz="800" i="0">
                                <a:latin typeface="Cambria Math" panose="02040503050406030204" pitchFamily="18" charset="0"/>
                                <a:ea typeface="Cambria Math" panose="02040503050406030204" pitchFamily="18" charset="0"/>
                                <a:cs typeface="Sora" pitchFamily="2" charset="0"/>
                              </a:rPr>
                              <m:t>resources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release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securities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issued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securities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sold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under</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agreements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to</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repurchase</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interbank</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deposits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and</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others</m:t>
                            </m:r>
                            <m:r>
                              <a:rPr lang="pt-BR" sz="800" b="0" i="0">
                                <a:latin typeface="Cambria Math" panose="02040503050406030204" pitchFamily="18" charset="0"/>
                                <a:ea typeface="Cambria Math" panose="02040503050406030204" pitchFamily="18" charset="0"/>
                                <a:cs typeface="Sora" pitchFamily="2" charset="0"/>
                              </a:rPr>
                              <m:t>)</m:t>
                            </m:r>
                          </m:e>
                        </m:eqArr>
                      </m:den>
                    </m:f>
                    <m:r>
                      <a:rPr lang="pt-BR" sz="800" b="0" i="1">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i="0">
                            <a:latin typeface="Cambria Math" panose="02040503050406030204" pitchFamily="18" charset="0"/>
                            <a:ea typeface="Cambria Math" panose="02040503050406030204" pitchFamily="18" charset="0"/>
                            <a:cs typeface="Sora" pitchFamily="2" charset="0"/>
                          </a:rPr>
                          <m:t>Average</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of</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last</m:t>
                        </m:r>
                        <m:r>
                          <a:rPr lang="pt-BR" sz="800" i="0">
                            <a:latin typeface="Cambria Math" panose="02040503050406030204" pitchFamily="18" charset="0"/>
                            <a:ea typeface="Cambria Math" panose="02040503050406030204" pitchFamily="18" charset="0"/>
                            <a:cs typeface="Sora" pitchFamily="2" charset="0"/>
                          </a:rPr>
                          <m:t> 2 </m:t>
                        </m:r>
                        <m:r>
                          <m:rPr>
                            <m:sty m:val="p"/>
                          </m:rPr>
                          <a:rPr lang="pt-BR" sz="800" i="0">
                            <a:latin typeface="Cambria Math" panose="02040503050406030204" pitchFamily="18" charset="0"/>
                            <a:ea typeface="Cambria Math" panose="02040503050406030204" pitchFamily="18" charset="0"/>
                            <a:cs typeface="Sora" pitchFamily="2" charset="0"/>
                          </a:rPr>
                          <m:t>quarters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of</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Loans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and</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advances</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to</m:t>
                        </m:r>
                        <m:r>
                          <a:rPr lang="pt-BR" sz="800" i="0">
                            <a:latin typeface="Cambria Math" panose="02040503050406030204" pitchFamily="18" charset="0"/>
                            <a:ea typeface="Cambria Math" panose="02040503050406030204" pitchFamily="18" charset="0"/>
                            <a:cs typeface="Sora" pitchFamily="2" charset="0"/>
                          </a:rPr>
                          <m:t> </m:t>
                        </m:r>
                        <m:r>
                          <m:rPr>
                            <m:sty m:val="p"/>
                          </m:rPr>
                          <a:rPr lang="pt-BR" sz="800" i="0">
                            <a:latin typeface="Cambria Math" panose="02040503050406030204" pitchFamily="18" charset="0"/>
                            <a:ea typeface="Cambria Math" panose="02040503050406030204" pitchFamily="18" charset="0"/>
                            <a:cs typeface="Sora" pitchFamily="2" charset="0"/>
                          </a:rPr>
                          <m:t>customers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anticipation</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receivables</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ea typeface="Cambria Math" panose="02040503050406030204" pitchFamily="18" charset="0"/>
                            <a:cs typeface="Sora" pitchFamily="2" charset="0"/>
                          </a:rPr>
                        </m:ctrlPr>
                      </m:fPr>
                      <m:num>
                        <m:r>
                          <m:rPr>
                            <m:sty m:val="p"/>
                          </m:rPr>
                          <a:rPr lang="en-US" sz="800" i="0">
                            <a:latin typeface="Cambria Math" panose="02040503050406030204" pitchFamily="18" charset="0"/>
                            <a:ea typeface="Cambria Math" panose="02040503050406030204" pitchFamily="18" charset="0"/>
                            <a:cs typeface="Sora" pitchFamily="2" charset="0"/>
                          </a:rPr>
                          <m:t>Impairment</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losses</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on</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financial</m:t>
                        </m:r>
                        <m:r>
                          <a:rPr lang="en-US" sz="800" i="0">
                            <a:latin typeface="Cambria Math" panose="02040503050406030204" pitchFamily="18" charset="0"/>
                            <a:ea typeface="Cambria Math" panose="02040503050406030204" pitchFamily="18" charset="0"/>
                            <a:cs typeface="Sora" pitchFamily="2" charset="0"/>
                          </a:rPr>
                          <m:t> </m:t>
                        </m:r>
                        <m:r>
                          <m:rPr>
                            <m:sty m:val="p"/>
                          </m:rPr>
                          <a:rPr lang="en-US" sz="800" i="0">
                            <a:latin typeface="Cambria Math" panose="02040503050406030204" pitchFamily="18" charset="0"/>
                            <a:ea typeface="Cambria Math" panose="02040503050406030204" pitchFamily="18" charset="0"/>
                            <a:cs typeface="Sora" pitchFamily="2" charset="0"/>
                          </a:rPr>
                          <m:t>assets</m:t>
                        </m:r>
                        <m:r>
                          <a:rPr lang="pt-BR" sz="800" b="0" i="0">
                            <a:latin typeface="Cambria Math" panose="02040503050406030204" pitchFamily="18" charset="0"/>
                            <a:ea typeface="Cambria Math" panose="02040503050406030204" pitchFamily="18" charset="0"/>
                            <a:cs typeface="Sora" pitchFamily="2" charset="0"/>
                          </a:rPr>
                          <m:t> </m:t>
                        </m:r>
                        <m:r>
                          <a:rPr lang="pt-BR" sz="800" i="0">
                            <a:latin typeface="Cambria Math" panose="02040503050406030204" pitchFamily="18" charset="0"/>
                            <a:ea typeface="Cambria Math" panose="02040503050406030204" pitchFamily="18" charset="0"/>
                          </a:rPr>
                          <m:t>× </m:t>
                        </m:r>
                        <m:r>
                          <a:rPr lang="pt-BR" sz="800" i="0">
                            <a:latin typeface="Cambria Math" panose="02040503050406030204" pitchFamily="18" charset="0"/>
                            <a:ea typeface="Cambria Math" panose="02040503050406030204" pitchFamily="18" charset="0"/>
                            <a:cs typeface="Sora" pitchFamily="2" charset="0"/>
                          </a:rPr>
                          <m:t>4</m:t>
                        </m:r>
                      </m:num>
                      <m:den>
                        <m:r>
                          <m:rPr>
                            <m:sty m:val="p"/>
                          </m:rPr>
                          <a:rPr lang="pt-BR" sz="800">
                            <a:latin typeface="Cambria Math" panose="02040503050406030204" pitchFamily="18" charset="0"/>
                            <a:ea typeface="Cambria Math" panose="02040503050406030204" pitchFamily="18" charset="0"/>
                            <a:cs typeface="Sora" pitchFamily="2" charset="0"/>
                          </a:rPr>
                          <m:t>Average</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last</m:t>
                        </m:r>
                        <m:r>
                          <a:rPr lang="pt-BR" sz="800">
                            <a:latin typeface="Cambria Math" panose="02040503050406030204" pitchFamily="18" charset="0"/>
                            <a:ea typeface="Cambria Math" panose="02040503050406030204" pitchFamily="18" charset="0"/>
                            <a:cs typeface="Sora" pitchFamily="2" charset="0"/>
                          </a:rPr>
                          <m:t> 2 </m:t>
                        </m:r>
                        <m:r>
                          <m:rPr>
                            <m:sty m:val="p"/>
                          </m:rPr>
                          <a:rPr lang="pt-BR" sz="800">
                            <a:latin typeface="Cambria Math" panose="02040503050406030204" pitchFamily="18" charset="0"/>
                            <a:ea typeface="Cambria Math" panose="02040503050406030204" pitchFamily="18" charset="0"/>
                            <a:cs typeface="Sora" pitchFamily="2" charset="0"/>
                          </a:rPr>
                          <m:t>quarters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of</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Loans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and</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advances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to</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customers</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excluding</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credit</m:t>
                        </m:r>
                        <m:r>
                          <a:rPr lang="pt-BR" sz="800">
                            <a:latin typeface="Cambria Math" panose="02040503050406030204" pitchFamily="18" charset="0"/>
                            <a:ea typeface="Cambria Math" panose="02040503050406030204" pitchFamily="18" charset="0"/>
                            <a:cs typeface="Sora" pitchFamily="2" charset="0"/>
                          </a:rPr>
                          <m:t> </m:t>
                        </m:r>
                        <m:r>
                          <m:rPr>
                            <m:sty m:val="p"/>
                          </m:rPr>
                          <a:rPr lang="pt-BR" sz="800">
                            <a:latin typeface="Cambria Math" panose="02040503050406030204" pitchFamily="18" charset="0"/>
                            <a:ea typeface="Cambria Math" panose="02040503050406030204" pitchFamily="18" charset="0"/>
                            <a:cs typeface="Sora" pitchFamily="2" charset="0"/>
                          </a:rPr>
                          <m:t>card</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fPr>
                      <m:num>
                        <m:d>
                          <m:dPr>
                            <m:ctrlPr>
                              <a:rPr lang="en-US"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ctrlPr>
                          </m:dPr>
                          <m:e>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Personnel</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Administrative</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Total</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CAC</m:t>
                            </m:r>
                          </m:e>
                        </m:d>
                        <m:r>
                          <a:rPr lang="en-US"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÷3</m:t>
                        </m:r>
                      </m:num>
                      <m:den>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Average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of</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the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last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2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quarters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Active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Clients</m:t>
                        </m:r>
                      </m:den>
                    </m:f>
                    <m:r>
                      <a:rPr lang="pt-BR" sz="800" i="1">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22" name="Retângulo 9">
              <a:extLst>
                <a:ext uri="{FF2B5EF4-FFF2-40B4-BE49-F238E27FC236}">
                  <a16:creationId xmlns:a16="http://schemas.microsoft.com/office/drawing/2014/main" id="{E053E71D-69F7-C852-2686-4DDCCC5EB831}"/>
                </a:ext>
              </a:extLst>
            </xdr:cNvPr>
            <xdr:cNvSpPr/>
          </xdr:nvSpPr>
          <xdr:spPr>
            <a:xfrm>
              <a:off x="151610" y="15924074"/>
              <a:ext cx="5766026" cy="5747920"/>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Card fee revenue:</a:t>
              </a:r>
            </a:p>
            <a:p>
              <a:r>
                <a:rPr lang="en-US" sz="900">
                  <a:latin typeface="Calibri" panose="020F0502020204030204" pitchFamily="34" charset="0"/>
                  <a:ea typeface="Inter" panose="020B0502030000000004" pitchFamily="34" charset="0"/>
                  <a:cs typeface="Calibri" panose="020F0502020204030204" pitchFamily="34" charset="0"/>
                </a:rPr>
                <a:t>It is part of the “Revenue from services and commission” and “Other revenue” on IFRS Income Statement.  </a:t>
              </a:r>
            </a:p>
            <a:p>
              <a:endParaRPr lang="en-US" sz="800">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funding:</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(Interest expenses</a:t>
              </a:r>
              <a:r>
                <a:rPr lang="pt-BR" sz="80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Interest bearing liabilities (demand deposits, time deposits, savings </a:t>
              </a:r>
              <a:r>
                <a:rPr lang="pt-BR" sz="800" b="0" i="0">
                  <a:latin typeface="Cambria Math" panose="02040503050406030204" pitchFamily="18" charset="0"/>
                  <a:ea typeface="Cambria Math" panose="02040503050406030204" pitchFamily="18" charset="0"/>
                  <a:cs typeface="Sora" pitchFamily="2" charset="0"/>
                </a:rPr>
                <a:t>deposits, creditors by@</a:t>
              </a:r>
              <a:r>
                <a:rPr lang="pt-BR" sz="800" i="0">
                  <a:latin typeface="Cambria Math" panose="02040503050406030204" pitchFamily="18" charset="0"/>
                  <a:ea typeface="Cambria Math" panose="02040503050406030204" pitchFamily="18" charset="0"/>
                  <a:cs typeface="Sora" pitchFamily="2" charset="0"/>
                </a:rPr>
                <a:t>resources to release</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cs typeface="Sora" pitchFamily="2" charset="0"/>
                </a:rPr>
                <a:t>securities issued</a:t>
              </a:r>
              <a:r>
                <a:rPr lang="pt-BR" sz="800" b="0" i="0">
                  <a:latin typeface="Cambria Math" panose="02040503050406030204" pitchFamily="18" charset="0"/>
                  <a:ea typeface="Cambria Math" panose="02040503050406030204" pitchFamily="18" charset="0"/>
                  <a:cs typeface="Sora" pitchFamily="2" charset="0"/>
                </a:rPr>
                <a:t>, securities sold under agreements to repurchase, interbank deposits and others))  </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a:t>
              </a:r>
              <a:r>
                <a:rPr lang="pt-BR" sz="800" b="0" i="0">
                  <a:latin typeface="Cambria Math" panose="02040503050406030204" pitchFamily="18" charset="0"/>
                  <a:ea typeface="Cambria Math" panose="02040503050406030204" pitchFamily="18" charset="0"/>
                  <a:cs typeface="Sora" pitchFamily="2" charset="0"/>
                </a:rPr>
                <a:t> of Loans</a:t>
              </a:r>
              <a:r>
                <a:rPr lang="pt-BR" sz="800" i="0">
                  <a:latin typeface="Cambria Math" panose="02040503050406030204" pitchFamily="18" charset="0"/>
                  <a:ea typeface="Cambria Math" panose="02040503050406030204" pitchFamily="18" charset="0"/>
                  <a:cs typeface="Sora" pitchFamily="2" charset="0"/>
                </a:rPr>
                <a:t> and advances to c</a:t>
              </a:r>
              <a:r>
                <a:rPr lang="pt-BR" sz="800" b="0" i="0">
                  <a:latin typeface="Cambria Math" panose="02040503050406030204" pitchFamily="18" charset="0"/>
                  <a:ea typeface="Cambria Math" panose="02040503050406030204" pitchFamily="18" charset="0"/>
                  <a:cs typeface="Sora" pitchFamily="2" charset="0"/>
                </a:rPr>
                <a:t>ustomer</a:t>
              </a:r>
              <a:r>
                <a:rPr lang="pt-BR" sz="800" i="0">
                  <a:latin typeface="Cambria Math" panose="02040503050406030204" pitchFamily="18" charset="0"/>
                  <a:ea typeface="Cambria Math" panose="02040503050406030204" pitchFamily="18" charset="0"/>
                  <a:cs typeface="Sora" pitchFamily="2" charset="0"/>
                </a:rPr>
                <a:t>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anticipation of credit card receivables: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anticipation of credit card receivables</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 of risk excluding credit card:</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800" i="0">
                  <a:latin typeface="Cambria Math" panose="02040503050406030204" pitchFamily="18" charset="0"/>
                  <a:ea typeface="Cambria Math" panose="02040503050406030204" pitchFamily="18" charset="0"/>
                  <a:cs typeface="Sora" pitchFamily="2" charset="0"/>
                </a:rPr>
                <a:t>(Impairment losses on financial assets</a:t>
              </a:r>
              <a:r>
                <a:rPr lang="pt-BR" sz="800" b="0" i="0">
                  <a:latin typeface="Cambria Math" panose="02040503050406030204" pitchFamily="18" charset="0"/>
                  <a:ea typeface="Cambria Math" panose="02040503050406030204" pitchFamily="18" charset="0"/>
                  <a:cs typeface="Sora" pitchFamily="2" charset="0"/>
                </a:rPr>
                <a:t> </a:t>
              </a:r>
              <a:r>
                <a:rPr lang="pt-BR" sz="800" i="0">
                  <a:latin typeface="Cambria Math" panose="02040503050406030204" pitchFamily="18" charset="0"/>
                  <a:ea typeface="Cambria Math" panose="02040503050406030204" pitchFamily="18" charset="0"/>
                </a:rPr>
                <a:t>× </a:t>
              </a:r>
              <a:r>
                <a:rPr lang="pt-BR" sz="800" i="0">
                  <a:latin typeface="Cambria Math" panose="02040503050406030204" pitchFamily="18" charset="0"/>
                  <a:ea typeface="Cambria Math" panose="02040503050406030204" pitchFamily="18" charset="0"/>
                  <a:cs typeface="Sora" pitchFamily="2" charset="0"/>
                </a:rPr>
                <a:t>4</a:t>
              </a:r>
              <a:r>
                <a:rPr lang="en-US" sz="800" i="0">
                  <a:latin typeface="Cambria Math" panose="02040503050406030204" pitchFamily="18" charset="0"/>
                  <a:ea typeface="Cambria Math" panose="02040503050406030204" pitchFamily="18" charset="0"/>
                  <a:cs typeface="Sora" pitchFamily="2" charset="0"/>
                </a:rPr>
                <a:t>)/(</a:t>
              </a:r>
              <a:r>
                <a:rPr lang="pt-BR" sz="800" i="0">
                  <a:latin typeface="Cambria Math" panose="02040503050406030204" pitchFamily="18" charset="0"/>
                  <a:ea typeface="Cambria Math" panose="02040503050406030204" pitchFamily="18" charset="0"/>
                  <a:cs typeface="Sora" pitchFamily="2" charset="0"/>
                </a:rPr>
                <a:t>Average of last 2 quarters of Loans and advances to customers excluding credit card</a:t>
              </a:r>
              <a:r>
                <a:rPr lang="en-US" sz="800" i="0">
                  <a:latin typeface="Cambria Math" panose="02040503050406030204" pitchFamily="18" charset="0"/>
                  <a:ea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Cost-to-serve (CTS):</a:t>
              </a:r>
            </a:p>
            <a:p>
              <a:pPr algn="ctr"/>
              <a:endParaRPr lang="en-US"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((Personnel Expense+Administrative Expenses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Total CAC)</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÷3)/(</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Average of the last 2 quarters Active Clients</a:t>
              </a:r>
              <a:r>
                <a:rPr lang="en-US"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i="1">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7</xdr:col>
      <xdr:colOff>254000</xdr:colOff>
      <xdr:row>0</xdr:row>
      <xdr:rowOff>127258</xdr:rowOff>
    </xdr:from>
    <xdr:to>
      <xdr:col>7</xdr:col>
      <xdr:colOff>254000</xdr:colOff>
      <xdr:row>226</xdr:row>
      <xdr:rowOff>76200</xdr:rowOff>
    </xdr:to>
    <xdr:cxnSp macro="">
      <xdr:nvCxnSpPr>
        <xdr:cNvPr id="29" name="Straight Connector 28">
          <a:extLst>
            <a:ext uri="{FF2B5EF4-FFF2-40B4-BE49-F238E27FC236}">
              <a16:creationId xmlns:a16="http://schemas.microsoft.com/office/drawing/2014/main" id="{00000000-0008-0000-1600-00001D000000}"/>
            </a:ext>
          </a:extLst>
        </xdr:cNvPr>
        <xdr:cNvCxnSpPr>
          <a:cxnSpLocks/>
        </xdr:cNvCxnSpPr>
      </xdr:nvCxnSpPr>
      <xdr:spPr>
        <a:xfrm flipH="1">
          <a:off x="6121400" y="127258"/>
          <a:ext cx="0" cy="45872142"/>
        </a:xfrm>
        <a:prstGeom prst="line">
          <a:avLst/>
        </a:prstGeom>
      </xdr:spPr>
      <xdr:style>
        <a:lnRef idx="1">
          <a:schemeClr val="accent3"/>
        </a:lnRef>
        <a:fillRef idx="0">
          <a:schemeClr val="accent3"/>
        </a:fillRef>
        <a:effectRef idx="0">
          <a:schemeClr val="accent3"/>
        </a:effectRef>
        <a:fontRef idx="minor">
          <a:schemeClr val="tx1"/>
        </a:fontRef>
      </xdr:style>
    </xdr:cxnSp>
    <xdr:clientData/>
  </xdr:twoCellAnchor>
  <xdr:twoCellAnchor>
    <xdr:from>
      <xdr:col>0</xdr:col>
      <xdr:colOff>161844</xdr:colOff>
      <xdr:row>116</xdr:row>
      <xdr:rowOff>169334</xdr:rowOff>
    </xdr:from>
    <xdr:to>
      <xdr:col>7</xdr:col>
      <xdr:colOff>128789</xdr:colOff>
      <xdr:row>146</xdr:row>
      <xdr:rowOff>166606</xdr:rowOff>
    </xdr:to>
    <mc:AlternateContent xmlns:mc="http://schemas.openxmlformats.org/markup-compatibility/2006" xmlns:a14="http://schemas.microsoft.com/office/drawing/2010/main">
      <mc:Choice Requires="a14">
        <xdr:sp macro="" textlink="">
          <xdr:nvSpPr>
            <xdr:cNvPr id="30" name="Retângulo 9">
              <a:extLst>
                <a:ext uri="{FF2B5EF4-FFF2-40B4-BE49-F238E27FC236}">
                  <a16:creationId xmlns:a16="http://schemas.microsoft.com/office/drawing/2014/main" id="{00000000-0008-0000-1600-00001E00000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Provision</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expected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loss</m:t>
                        </m:r>
                      </m:num>
                      <m:den>
                        <m:r>
                          <m:rPr>
                            <m:sty m:val="p"/>
                          </m:rPr>
                          <a:rPr lang="pt-BR" sz="900" b="0" i="0">
                            <a:latin typeface="Cambria Math" panose="02040503050406030204" pitchFamily="18" charset="0"/>
                            <a:ea typeface="Cambria Math" panose="02040503050406030204" pitchFamily="18" charset="0"/>
                          </a:rPr>
                          <m:t>O</m:t>
                        </m:r>
                        <m:r>
                          <m:rPr>
                            <m:sty m:val="p"/>
                          </m:rPr>
                          <a:rPr lang="pt-BR" sz="900" i="0">
                            <a:latin typeface="Cambria Math" panose="02040503050406030204" pitchFamily="18" charset="0"/>
                            <a:ea typeface="Cambria Math" panose="02040503050406030204" pitchFamily="18" charset="0"/>
                          </a:rPr>
                          <m:t>verdue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higher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than</m:t>
                        </m:r>
                        <m:r>
                          <a:rPr lang="pt-BR" sz="90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eqArr>
                          <m:eqArrPr>
                            <m:ctrlPr>
                              <a:rPr lang="pt-BR" sz="900" i="1">
                                <a:latin typeface="Cambria Math" panose="02040503050406030204" pitchFamily="18" charset="0"/>
                                <a:ea typeface="Cambria Math" panose="02040503050406030204" pitchFamily="18" charset="0"/>
                              </a:rPr>
                            </m:ctrlPr>
                          </m:eqArrPr>
                          <m:e>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Personnel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Administrative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expenses</m:t>
                            </m:r>
                            <m:r>
                              <a:rPr lang="pt-BR" sz="900" b="0" i="0">
                                <a:latin typeface="Cambria Math" panose="02040503050406030204" pitchFamily="18" charset="0"/>
                                <a:ea typeface="Cambria Math" panose="02040503050406030204" pitchFamily="18" charset="0"/>
                              </a:rPr>
                              <m:t>+</m:t>
                            </m:r>
                            <m:r>
                              <m:rPr>
                                <m:sty m:val="p"/>
                              </m:rPr>
                              <a:rPr lang="pt-BR" sz="900" b="0" i="0">
                                <a:latin typeface="Cambria Math" panose="02040503050406030204" pitchFamily="18" charset="0"/>
                                <a:ea typeface="Cambria Math" panose="02040503050406030204" pitchFamily="18" charset="0"/>
                              </a:rPr>
                              <m:t>Depreciation</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and</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amortization</m:t>
                            </m:r>
                            <m:r>
                              <a:rPr lang="pt-BR" sz="900" b="0" i="0">
                                <a:latin typeface="Cambria Math" panose="02040503050406030204" pitchFamily="18" charset="0"/>
                                <a:ea typeface="Cambria Math" panose="02040503050406030204" pitchFamily="18" charset="0"/>
                              </a:rPr>
                              <m:t> </m:t>
                            </m:r>
                          </m:e>
                        </m:eqArr>
                      </m:num>
                      <m:den>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Interest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Income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Net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result</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from</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services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and</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comissions</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Other</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revenue</m:t>
                        </m:r>
                        <m:r>
                          <a:rPr lang="pt-BR" sz="900" i="1">
                            <a:latin typeface="Cambria Math" panose="02040503050406030204" pitchFamily="18" charset="0"/>
                            <a:ea typeface="Cambria Math" panose="02040503050406030204" pitchFamily="18" charset="0"/>
                          </a:rPr>
                          <m:t>−</m:t>
                        </m:r>
                        <m:r>
                          <m:rPr>
                            <m:sty m:val="p"/>
                          </m:rPr>
                          <a:rPr lang="pt-BR" sz="900" i="1">
                            <a:latin typeface="Cambria Math" panose="02040503050406030204" pitchFamily="18" charset="0"/>
                            <a:ea typeface="Cambria Math" panose="02040503050406030204" pitchFamily="18" charset="0"/>
                          </a:rPr>
                          <m:t>Tax</m:t>
                        </m:r>
                        <m:r>
                          <a:rPr lang="pt-BR" sz="900" i="1">
                            <a:latin typeface="Cambria Math" panose="02040503050406030204" pitchFamily="18" charset="0"/>
                            <a:ea typeface="Cambria Math" panose="02040503050406030204" pitchFamily="18" charset="0"/>
                          </a:rPr>
                          <m:t> </m:t>
                        </m:r>
                        <m:r>
                          <m:rPr>
                            <m:sty m:val="p"/>
                          </m:rPr>
                          <a:rPr lang="pt-BR" sz="900" i="1">
                            <a:latin typeface="Cambria Math" panose="02040503050406030204" pitchFamily="18" charset="0"/>
                            <a:ea typeface="Cambria Math" panose="02040503050406030204" pitchFamily="18" charset="0"/>
                          </a:rPr>
                          <m:t>expense</m:t>
                        </m:r>
                      </m:den>
                    </m:f>
                    <m:r>
                      <a:rPr lang="pt-BR" sz="900" i="1">
                        <a:latin typeface="Cambria Math" panose="02040503050406030204" pitchFamily="18" charset="0"/>
                        <a:ea typeface="Cambria Math" panose="02040503050406030204" pitchFamily="18" charset="0"/>
                      </a:rPr>
                      <m:t> </m:t>
                    </m:r>
                  </m:oMath>
                </m:oMathPara>
              </a14:m>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Net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services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commissions</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Other</m:t>
                        </m:r>
                        <m: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revenue</m:t>
                        </m:r>
                      </m:num>
                      <m:den>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result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from</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services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and</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comissions</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Other</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revenue</m:t>
                        </m:r>
                        <m:r>
                          <a:rPr lang="pt-BR" sz="900">
                            <a:latin typeface="Cambria Math" panose="02040503050406030204" pitchFamily="18" charset="0"/>
                            <a:ea typeface="Cambria Math" panose="02040503050406030204" pitchFamily="18" charset="0"/>
                          </a:rPr>
                          <m:t>−</m:t>
                        </m:r>
                        <m:r>
                          <m:rPr>
                            <m:sty m:val="p"/>
                          </m:rPr>
                          <a:rPr lang="pt-BR" sz="900">
                            <a:latin typeface="Cambria Math" panose="02040503050406030204" pitchFamily="18" charset="0"/>
                            <a:ea typeface="Cambria Math" panose="02040503050406030204" pitchFamily="18" charset="0"/>
                          </a:rPr>
                          <m:t>Tax</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expense</m:t>
                        </m:r>
                      </m:den>
                    </m:f>
                  </m:oMath>
                </m:oMathPara>
              </a14:m>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Demand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Time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Securities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Issued</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Savings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Deposits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Creditors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by</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Resources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Release</m:t>
                  </m:r>
                </m:oMath>
              </a14:m>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14:m>
                <m:oMathPara xmlns:m="http://schemas.openxmlformats.org/officeDocument/2006/math">
                  <m:oMathParaPr>
                    <m:jc m:val="centerGroup"/>
                  </m:oMathParaPr>
                  <m:oMath xmlns:m="http://schemas.openxmlformats.org/officeDocument/2006/math">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and</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Advance</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Customers</m:t>
                    </m:r>
                    <m:r>
                      <m:rPr>
                        <m:nor/>
                      </m:rPr>
                      <a:rPr lang="pt-BR" sz="900">
                        <a:latin typeface="Calibri" panose="020F0502020204030204" pitchFamily="34" charset="0"/>
                        <a:ea typeface="Inter" panose="020B0502030000000004" pitchFamily="34" charset="0"/>
                        <a:cs typeface="Calibri" panose="020F0502020204030204" pitchFamily="34" charset="0"/>
                      </a:rPr>
                      <m:t> + </m:t>
                    </m:r>
                    <m:r>
                      <m:rPr>
                        <m:nor/>
                      </m:rPr>
                      <a:rPr lang="pt-BR" sz="900">
                        <a:latin typeface="Calibri" panose="020F0502020204030204" pitchFamily="34" charset="0"/>
                        <a:ea typeface="Inter" panose="020B0502030000000004" pitchFamily="34" charset="0"/>
                        <a:cs typeface="Calibri" panose="020F0502020204030204" pitchFamily="34" charset="0"/>
                      </a:rPr>
                      <m:t>Loans</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to</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financial</m:t>
                    </m:r>
                    <m:r>
                      <m:rPr>
                        <m:nor/>
                      </m:rPr>
                      <a:rPr lang="pt-BR" sz="900">
                        <a:latin typeface="Calibri" panose="020F0502020204030204" pitchFamily="34" charset="0"/>
                        <a:ea typeface="Inter" panose="020B0502030000000004" pitchFamily="34" charset="0"/>
                        <a:cs typeface="Calibri" panose="020F0502020204030204" pitchFamily="34" charset="0"/>
                      </a:rPr>
                      <m:t> </m:t>
                    </m:r>
                    <m:r>
                      <m:rPr>
                        <m:nor/>
                      </m:rPr>
                      <a:rPr lang="pt-BR" sz="900">
                        <a:latin typeface="Calibri" panose="020F0502020204030204" pitchFamily="34" charset="0"/>
                        <a:ea typeface="Inter" panose="020B0502030000000004" pitchFamily="34" charset="0"/>
                        <a:cs typeface="Calibri" panose="020F0502020204030204" pitchFamily="34" charset="0"/>
                      </a:rPr>
                      <m:t>institutions</m:t>
                    </m:r>
                    <m:r>
                      <m:rPr>
                        <m:nor/>
                      </m:rPr>
                      <a:rPr lang="pt-BR" sz="900">
                        <a:latin typeface="Calibri" panose="020F0502020204030204" pitchFamily="34" charset="0"/>
                        <a:ea typeface="Inter" panose="020B0502030000000004" pitchFamily="34" charset="0"/>
                        <a:cs typeface="Calibri" panose="020F0502020204030204" pitchFamily="34" charset="0"/>
                      </a:rPr>
                      <m:t>  </m:t>
                    </m:r>
                  </m:oMath>
                </m:oMathPara>
              </a14:m>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a:latin typeface="Cambria Math" panose="02040503050406030204" pitchFamily="18" charset="0"/>
                        <a:ea typeface="Inter" panose="020B0502030000000004" pitchFamily="34" charset="0"/>
                      </a:rPr>
                      <m:t>ARPAC</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g</m:t>
                    </m:r>
                    <m:r>
                      <m:rPr>
                        <m:sty m:val="p"/>
                      </m:rPr>
                      <a:rPr lang="pt-BR" sz="900">
                        <a:latin typeface="Cambria Math" panose="02040503050406030204" pitchFamily="18" charset="0"/>
                        <a:ea typeface="Inter" panose="020B0502030000000004" pitchFamily="34" charset="0"/>
                      </a:rPr>
                      <m:t>ross</m:t>
                    </m:r>
                    <m:r>
                      <a:rPr lang="pt-BR" sz="90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of</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Choice>
      <mc:Fallback xmlns="">
        <xdr:sp macro="" textlink="">
          <xdr:nvSpPr>
            <xdr:cNvPr id="30" name="Retângulo 9">
              <a:extLst>
                <a:ext uri="{FF2B5EF4-FFF2-40B4-BE49-F238E27FC236}">
                  <a16:creationId xmlns:a16="http://schemas.microsoft.com/office/drawing/2014/main" id="{70BBBFDC-97EA-DB78-9935-3D590DAA2910}"/>
                </a:ext>
              </a:extLst>
            </xdr:cNvPr>
            <xdr:cNvSpPr/>
          </xdr:nvSpPr>
          <xdr:spPr>
            <a:xfrm>
              <a:off x="161844" y="21520059"/>
              <a:ext cx="5764771" cy="5519011"/>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Coverage ratio:</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(Provision for expected credit loss)/(</a:t>
              </a:r>
              <a:r>
                <a:rPr lang="pt-BR" sz="900" b="0" i="0">
                  <a:latin typeface="Cambria Math" panose="02040503050406030204" pitchFamily="18" charset="0"/>
                  <a:ea typeface="Cambria Math" panose="02040503050406030204" pitchFamily="18" charset="0"/>
                </a:rPr>
                <a:t>O</a:t>
              </a:r>
              <a:r>
                <a:rPr lang="pt-BR" sz="900" i="0">
                  <a:latin typeface="Cambria Math" panose="02040503050406030204" pitchFamily="18" charset="0"/>
                  <a:ea typeface="Cambria Math" panose="02040503050406030204" pitchFamily="18" charset="0"/>
                </a:rPr>
                <a:t>verdue higher than 90 days)</a:t>
              </a:r>
              <a:endParaRPr lang="en-US" sz="900">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Earning portfolio (IEP):</a:t>
              </a:r>
            </a:p>
            <a:p>
              <a:pPr algn="ctr"/>
              <a:r>
                <a:rPr lang="pt-BR" sz="900">
                  <a:latin typeface="Calibri" panose="020F0502020204030204" pitchFamily="34" charset="0"/>
                  <a:ea typeface="Inter" panose="020B0502030000000004" pitchFamily="34" charset="0"/>
                  <a:cs typeface="Calibri" panose="020F0502020204030204" pitchFamily="34" charset="0"/>
                </a:rPr>
                <a:t>Earnings Portfolio includes “Amounts due from financial institutions” + “Loans and advances to customers” + “Securities” + “Derivatives” from the IFRS Balance Sheet</a:t>
              </a: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 @Personnel expense+Administrative expenses</a:t>
              </a:r>
              <a:r>
                <a:rPr lang="pt-BR" sz="900" b="0" i="0">
                  <a:latin typeface="Cambria Math" panose="02040503050406030204" pitchFamily="18" charset="0"/>
                  <a:ea typeface="Cambria Math" panose="02040503050406030204" pitchFamily="18" charset="0"/>
                </a:rPr>
                <a:t>+Depreciation and amortization )/(</a:t>
              </a:r>
              <a:r>
                <a:rPr lang="pt-BR" sz="900" i="0">
                  <a:latin typeface="Cambria Math" panose="02040503050406030204" pitchFamily="18" charset="0"/>
                  <a:ea typeface="Cambria Math" panose="02040503050406030204" pitchFamily="18" charset="0"/>
                </a:rPr>
                <a:t>Net Interest Income+Net result from services and comissions+ Other revenue−Tax expense)  </a:t>
              </a:r>
              <a:endParaRPr lang="pt-BR" sz="900" i="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a:t>
              </a: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Net result from services and commissions + Other revenue)/(</a:t>
              </a:r>
              <a:r>
                <a:rPr lang="pt-BR" sz="900" i="0">
                  <a:latin typeface="Cambria Math" panose="02040503050406030204" pitchFamily="18" charset="0"/>
                  <a:ea typeface="Cambria Math" panose="02040503050406030204" pitchFamily="18" charset="0"/>
                </a:rPr>
                <a:t>Net Interest Income+Net result from services and comissions+ Other revenue−Tax expense)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Funding:</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Inter" panose="020B0502030000000004" pitchFamily="34" charset="0"/>
                  <a:cs typeface="Calibri" panose="020F0502020204030204" pitchFamily="34" charset="0"/>
                </a:rPr>
                <a:t>"Demand Deposits + Time Deposits + Securities Issued + Savings Deposits + Creditors by Resources to Release</a:t>
              </a:r>
              <a:r>
                <a:rPr lang="en-US" sz="900" i="0">
                  <a:latin typeface="Calibri" panose="020F0502020204030204" pitchFamily="34" charset="0"/>
                  <a:ea typeface="Inter" panose="020B0502030000000004" pitchFamily="34" charset="0"/>
                  <a:cs typeface="Calibri" panose="020F0502020204030204" pitchFamily="34" charset="0"/>
                </a:rPr>
                <a:t>"</a:t>
              </a:r>
              <a:r>
                <a:rPr lang="en-US" sz="900">
                  <a:latin typeface="Calibri" panose="020F0502020204030204" pitchFamily="34" charset="0"/>
                  <a:ea typeface="Inter" panose="020B0502030000000004" pitchFamily="34" charset="0"/>
                  <a:cs typeface="Calibri" panose="020F0502020204030204" pitchFamily="34" charset="0"/>
                </a:rPr>
                <a:t> +</a:t>
              </a:r>
              <a:br>
                <a:rPr lang="en-US" sz="900">
                  <a:latin typeface="Calibri" panose="020F0502020204030204" pitchFamily="34" charset="0"/>
                  <a:ea typeface="Inter" panose="020B0502030000000004" pitchFamily="34" charset="0"/>
                  <a:cs typeface="Calibri" panose="020F0502020204030204" pitchFamily="34" charset="0"/>
                </a:rPr>
              </a:br>
              <a:r>
                <a:rPr lang="en-US" sz="900">
                  <a:latin typeface="Calibri" panose="020F0502020204030204" pitchFamily="34" charset="0"/>
                  <a:ea typeface="Inter" panose="020B0502030000000004" pitchFamily="34" charset="0"/>
                  <a:cs typeface="Calibri" panose="020F0502020204030204" pitchFamily="34" charset="0"/>
                </a:rPr>
                <a:t>Securities sold under agreements to repurchase + Interbank deposits + Borrowing and onlending</a:t>
              </a:r>
            </a:p>
            <a:p>
              <a:endParaRPr lang="en-US" sz="500">
                <a:solidFill>
                  <a:schemeClr val="tx1"/>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loan portfolio:</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just"/>
              <a:r>
                <a:rPr lang="pt-BR" sz="900" i="0">
                  <a:latin typeface="Cambria Math" panose="02040503050406030204" pitchFamily="18" charset="0"/>
                  <a:ea typeface="Inter" panose="020B0502030000000004" pitchFamily="34" charset="0"/>
                  <a:cs typeface="Calibri" panose="020F0502020204030204" pitchFamily="34" charset="0"/>
                </a:rPr>
                <a:t>"Loans and Advance to Customers + Loans to  financial institutions  </a:t>
              </a:r>
              <a:r>
                <a:rPr lang="en-US" sz="900" i="0">
                  <a:latin typeface="Calibri" panose="020F0502020204030204" pitchFamily="34" charset="0"/>
                  <a:ea typeface="Inter" panose="020B0502030000000004" pitchFamily="34" charset="0"/>
                  <a:cs typeface="Calibri" panose="020F0502020204030204" pitchFamily="34" charset="0"/>
                </a:rPr>
                <a:t>"</a:t>
              </a:r>
              <a:endParaRPr lang="en-US" sz="900">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Gross margin per active client gross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g</a:t>
              </a:r>
              <a:r>
                <a:rPr lang="pt-BR" sz="900" i="0">
                  <a:latin typeface="Cambria Math" panose="02040503050406030204" pitchFamily="18" charset="0"/>
                  <a:ea typeface="Inter" panose="020B0502030000000004" pitchFamily="34" charset="0"/>
                </a:rPr>
                <a:t>ross 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xdr:txBody>
        </xdr:sp>
      </mc:Fallback>
    </mc:AlternateContent>
    <xdr:clientData/>
  </xdr:twoCellAnchor>
  <xdr:twoCellAnchor>
    <xdr:from>
      <xdr:col>0</xdr:col>
      <xdr:colOff>177988</xdr:colOff>
      <xdr:row>146</xdr:row>
      <xdr:rowOff>79457</xdr:rowOff>
    </xdr:from>
    <xdr:to>
      <xdr:col>7</xdr:col>
      <xdr:colOff>146188</xdr:colOff>
      <xdr:row>176</xdr:row>
      <xdr:rowOff>128025</xdr:rowOff>
    </xdr:to>
    <mc:AlternateContent xmlns:mc="http://schemas.openxmlformats.org/markup-compatibility/2006" xmlns:a14="http://schemas.microsoft.com/office/drawing/2010/main">
      <mc:Choice Requires="a14">
        <xdr:sp macro="" textlink="">
          <xdr:nvSpPr>
            <xdr:cNvPr id="31" name="Retângulo 9">
              <a:extLst>
                <a:ext uri="{FF2B5EF4-FFF2-40B4-BE49-F238E27FC236}">
                  <a16:creationId xmlns:a16="http://schemas.microsoft.com/office/drawing/2014/main" id="{00000000-0008-0000-1600-00001F000000}"/>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900" i="0">
                        <a:latin typeface="Cambria Math" panose="02040503050406030204" pitchFamily="18" charset="0"/>
                        <a:ea typeface="Inter" panose="020B0502030000000004" pitchFamily="34" charset="0"/>
                      </a:rPr>
                      <m:t>ARPAC</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net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of</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interest</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expenses</m:t>
                    </m:r>
                    <m:r>
                      <a:rPr lang="pt-BR" sz="90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C</m:t>
                    </m:r>
                    <m:r>
                      <m:rPr>
                        <m:sty m:val="p"/>
                      </m:rPr>
                      <a:rPr lang="pt-BR" sz="900" i="0">
                        <a:latin typeface="Cambria Math" panose="02040503050406030204" pitchFamily="18" charset="0"/>
                        <a:ea typeface="Inter" panose="020B0502030000000004" pitchFamily="34" charset="0"/>
                      </a:rPr>
                      <m:t>ost</m:t>
                    </m:r>
                    <m:r>
                      <a:rPr lang="pt-BR" sz="900" b="0" i="0">
                        <a:latin typeface="Cambria Math" panose="02040503050406030204" pitchFamily="18" charset="0"/>
                        <a:ea typeface="Inter" panose="020B0502030000000004" pitchFamily="34" charset="0"/>
                      </a:rPr>
                      <m:t> </m:t>
                    </m:r>
                    <m:r>
                      <m:rPr>
                        <m:sty m:val="p"/>
                      </m:rPr>
                      <a:rPr lang="pt-BR" sz="900" i="0">
                        <a:latin typeface="Cambria Math" panose="02040503050406030204" pitchFamily="18" charset="0"/>
                        <a:ea typeface="Inter" panose="020B0502030000000004" pitchFamily="34" charset="0"/>
                      </a:rPr>
                      <m:t>to</m:t>
                    </m:r>
                    <m:r>
                      <a:rPr lang="pt-BR" sz="900" b="0" i="0">
                        <a:latin typeface="Cambria Math" panose="02040503050406030204" pitchFamily="18" charset="0"/>
                        <a:ea typeface="Inter" panose="020B0502030000000004" pitchFamily="34" charset="0"/>
                      </a:rPr>
                      <m:t> </m:t>
                    </m:r>
                    <m:r>
                      <m:rPr>
                        <m:sty m:val="p"/>
                      </m:rPr>
                      <a:rPr lang="pt-BR" sz="900" b="0" i="0">
                        <a:latin typeface="Cambria Math" panose="02040503050406030204" pitchFamily="18" charset="0"/>
                        <a:ea typeface="Inter" panose="020B0502030000000004" pitchFamily="34" charset="0"/>
                      </a:rPr>
                      <m:t>Serve</m:t>
                    </m:r>
                  </m:oMath>
                </m:oMathPara>
              </a14:m>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Interest</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Expenses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Income</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from</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securities</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and</m:t>
                  </m:r>
                  <m: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derivatives</m:t>
                  </m:r>
                </m:oMath>
              </a14:m>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b="0" i="0">
                            <a:latin typeface="Cambria Math" panose="02040503050406030204" pitchFamily="18" charset="0"/>
                            <a:ea typeface="Cambria Math" panose="02040503050406030204" pitchFamily="18" charset="0"/>
                          </a:rPr>
                          <m:t>Net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interest</m:t>
                        </m:r>
                        <m:r>
                          <a:rPr lang="pt-BR" sz="900" b="0" i="0">
                            <a:latin typeface="Cambria Math" panose="02040503050406030204" pitchFamily="18" charset="0"/>
                            <a:ea typeface="Cambria Math" panose="02040503050406030204" pitchFamily="18" charset="0"/>
                          </a:rPr>
                          <m:t> </m:t>
                        </m:r>
                        <m:r>
                          <m:rPr>
                            <m:sty m:val="p"/>
                          </m:rPr>
                          <a:rPr lang="pt-BR" sz="900" b="0" i="0">
                            <a:latin typeface="Cambria Math" panose="02040503050406030204" pitchFamily="18" charset="0"/>
                            <a:ea typeface="Cambria Math" panose="02040503050406030204" pitchFamily="18" charset="0"/>
                          </a:rPr>
                          <m:t>income</m:t>
                        </m:r>
                        <m:r>
                          <a:rPr lang="pt-BR" sz="900" b="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x</m:t>
                        </m:r>
                        <m:r>
                          <a:rPr lang="pt-BR" sz="900" i="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e>
                          <m:e>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e>
                        </m:eqArr>
                      </m:den>
                    </m:f>
                  </m:oMath>
                </m:oMathPara>
              </a14:m>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a:latin typeface="Cambria Math" panose="02040503050406030204" pitchFamily="18" charset="0"/>
                            <a:ea typeface="Cambria Math" panose="02040503050406030204" pitchFamily="18" charset="0"/>
                          </a:rPr>
                          <m:t>Net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interest</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income</m:t>
                        </m:r>
                        <m:r>
                          <a:rPr lang="pt-BR" sz="900">
                            <a:latin typeface="Cambria Math" panose="02040503050406030204" pitchFamily="18" charset="0"/>
                            <a:ea typeface="Cambria Math" panose="02040503050406030204" pitchFamily="18" charset="0"/>
                          </a:rPr>
                          <m:t> </m:t>
                        </m:r>
                        <m:r>
                          <m:rPr>
                            <m:sty m:val="p"/>
                          </m:rPr>
                          <a:rPr lang="pt-BR" sz="900">
                            <a:latin typeface="Cambria Math" panose="02040503050406030204" pitchFamily="18" charset="0"/>
                            <a:ea typeface="Cambria Math" panose="02040503050406030204" pitchFamily="18" charset="0"/>
                          </a:rPr>
                          <m:t>x</m:t>
                        </m:r>
                        <m:r>
                          <a:rPr lang="pt-BR" sz="900">
                            <a:latin typeface="Cambria Math" panose="02040503050406030204" pitchFamily="18" charset="0"/>
                            <a:ea typeface="Cambria Math" panose="02040503050406030204" pitchFamily="18" charset="0"/>
                          </a:rPr>
                          <m:t> 4</m:t>
                        </m:r>
                      </m:num>
                      <m:den>
                        <m:eqArr>
                          <m:eqArrPr>
                            <m:ctrlPr>
                              <a:rPr lang="pt-BR" sz="900" i="1">
                                <a:latin typeface="Cambria Math" panose="02040503050406030204" pitchFamily="18" charset="0"/>
                                <a:ea typeface="Cambria Math" panose="02040503050406030204" pitchFamily="18" charset="0"/>
                              </a:rPr>
                            </m:ctrlPr>
                          </m:eqArrPr>
                          <m:e>
                            <m:r>
                              <m:rPr>
                                <m:sty m:val="p"/>
                              </m:rPr>
                              <a:rPr lang="pt-BR" sz="900" i="0">
                                <a:latin typeface="Cambria Math" panose="02040503050406030204" pitchFamily="18" charset="0"/>
                                <a:ea typeface="Cambria Math" panose="02040503050406030204" pitchFamily="18" charset="0"/>
                              </a:rPr>
                              <m:t>Average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of</m:t>
                            </m:r>
                            <m:r>
                              <a:rPr lang="pt-BR" sz="900" i="0">
                                <a:latin typeface="Cambria Math" panose="02040503050406030204" pitchFamily="18" charset="0"/>
                                <a:ea typeface="Cambria Math" panose="02040503050406030204" pitchFamily="18" charset="0"/>
                              </a:rPr>
                              <m:t> 2 </m:t>
                            </m:r>
                            <m:r>
                              <m:rPr>
                                <m:sty m:val="p"/>
                              </m:rPr>
                              <a:rPr lang="pt-BR" sz="900" i="0">
                                <a:latin typeface="Cambria Math" panose="02040503050406030204" pitchFamily="18" charset="0"/>
                                <a:ea typeface="Cambria Math" panose="02040503050406030204" pitchFamily="18" charset="0"/>
                              </a:rPr>
                              <m:t>Last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Quarters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Earning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Non</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interest</m:t>
                            </m:r>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Bearing</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Receivables</m:t>
                            </m:r>
                            <m:r>
                              <a:rPr lang="pt-BR" sz="900" i="0">
                                <a:latin typeface="Cambria Math" panose="02040503050406030204" pitchFamily="18" charset="0"/>
                                <a:ea typeface="Cambria Math" panose="02040503050406030204" pitchFamily="18" charset="0"/>
                              </a:rPr>
                              <m:t> </m:t>
                            </m:r>
                          </m:e>
                          <m:e>
                            <m:r>
                              <a:rPr lang="pt-BR" sz="900" i="0">
                                <a:latin typeface="Cambria Math" panose="02040503050406030204" pitchFamily="18" charset="0"/>
                                <a:ea typeface="Cambria Math" panose="02040503050406030204" pitchFamily="18" charset="0"/>
                              </a:rPr>
                              <m:t>(</m:t>
                            </m:r>
                            <m:r>
                              <m:rPr>
                                <m:sty m:val="p"/>
                              </m:rPr>
                              <a:rPr lang="pt-BR" sz="900" i="0">
                                <a:latin typeface="Cambria Math" panose="02040503050406030204" pitchFamily="18" charset="0"/>
                                <a:ea typeface="Cambria Math" panose="02040503050406030204" pitchFamily="18" charset="0"/>
                              </a:rPr>
                              <m:t>Amounts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due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from</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Securities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Derivatives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Net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e>
                          <m:e>
                            <m:r>
                              <m:rPr>
                                <m:sty m:val="p"/>
                              </m:rPr>
                              <a:rPr lang="pt-BR" sz="900" i="0">
                                <a:latin typeface="Cambria Math" panose="02040503050406030204" pitchFamily="18" charset="0"/>
                                <a:ea typeface="Cambria Math" panose="02040503050406030204" pitchFamily="18" charset="0"/>
                              </a:rPr>
                              <m:t>advances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customers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Credit</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card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transactor</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portfolio</m:t>
                            </m:r>
                            <m:r>
                              <a:rPr lang="pt-BR" sz="900" i="0">
                                <a:latin typeface="Cambria Math" panose="02040503050406030204" pitchFamily="18" charset="0"/>
                                <a:ea typeface="Cambria Math" panose="02040503050406030204" pitchFamily="18" charset="0"/>
                              </a:rPr>
                              <m:t>)</m:t>
                            </m:r>
                          </m:e>
                        </m:eqArr>
                      </m:den>
                    </m:f>
                    <m:r>
                      <a:rPr lang="pt-BR" sz="900" i="1">
                        <a:latin typeface="Cambria Math" panose="02040503050406030204" pitchFamily="18" charset="0"/>
                        <a:ea typeface="Cambria Math" panose="02040503050406030204" pitchFamily="18" charset="0"/>
                      </a:rPr>
                      <m:t> </m:t>
                    </m:r>
                  </m:oMath>
                </m:oMathPara>
              </a14:m>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900" i="1">
                            <a:latin typeface="Cambria Math" panose="02040503050406030204" pitchFamily="18" charset="0"/>
                            <a:ea typeface="Cambria Math" panose="02040503050406030204" pitchFamily="18" charset="0"/>
                          </a:rPr>
                        </m:ctrlPr>
                      </m:fPr>
                      <m:num>
                        <m:r>
                          <m:rPr>
                            <m:sty m:val="p"/>
                          </m:rPr>
                          <a:rPr lang="pt-BR" sz="900" i="0">
                            <a:latin typeface="Cambria Math" panose="02040503050406030204" pitchFamily="18" charset="0"/>
                            <a:ea typeface="Cambria Math" panose="02040503050406030204" pitchFamily="18" charset="0"/>
                          </a:rPr>
                          <m:t>Overdue</m:t>
                        </m:r>
                        <m:r>
                          <a:rPr lang="pt-BR" sz="900" i="0">
                            <a:latin typeface="Cambria Math" panose="02040503050406030204" pitchFamily="18" charset="0"/>
                            <a:ea typeface="Cambria Math" panose="02040503050406030204" pitchFamily="18" charset="0"/>
                          </a:rPr>
                          <m:t> 15 </m:t>
                        </m:r>
                        <m:r>
                          <m:rPr>
                            <m:sty m:val="p"/>
                          </m:rPr>
                          <a:rPr lang="pt-BR" sz="900" b="0" i="0">
                            <a:latin typeface="Cambria Math" panose="02040503050406030204" pitchFamily="18" charset="0"/>
                            <a:ea typeface="Cambria Math" panose="02040503050406030204" pitchFamily="18" charset="0"/>
                          </a:rPr>
                          <m:t>to</m:t>
                        </m:r>
                        <m:r>
                          <a:rPr lang="pt-BR" sz="900" b="0" i="0">
                            <a:latin typeface="Cambria Math" panose="02040503050406030204" pitchFamily="18" charset="0"/>
                            <a:ea typeface="Cambria Math" panose="02040503050406030204" pitchFamily="18" charset="0"/>
                          </a:rPr>
                          <m:t> 90 </m:t>
                        </m:r>
                        <m:r>
                          <m:rPr>
                            <m:sty m:val="p"/>
                          </m:rPr>
                          <a:rPr lang="pt-BR" sz="900" i="0">
                            <a:latin typeface="Cambria Math" panose="02040503050406030204" pitchFamily="18" charset="0"/>
                            <a:ea typeface="Cambria Math" panose="02040503050406030204" pitchFamily="18" charset="0"/>
                          </a:rPr>
                          <m:t>days</m:t>
                        </m:r>
                      </m:num>
                      <m:den>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and</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Advance</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Costumers</m:t>
                        </m:r>
                        <m:r>
                          <a:rPr lang="pt-BR" sz="900" i="0">
                            <a:latin typeface="Cambria Math" panose="02040503050406030204" pitchFamily="18" charset="0"/>
                            <a:ea typeface="Cambria Math" panose="02040503050406030204" pitchFamily="18" charset="0"/>
                          </a:rPr>
                          <m:t> + </m:t>
                        </m:r>
                        <m:r>
                          <m:rPr>
                            <m:sty m:val="p"/>
                          </m:rPr>
                          <a:rPr lang="pt-BR" sz="900" i="0">
                            <a:latin typeface="Cambria Math" panose="02040503050406030204" pitchFamily="18" charset="0"/>
                            <a:ea typeface="Cambria Math" panose="02040503050406030204" pitchFamily="18" charset="0"/>
                          </a:rPr>
                          <m:t>Loans</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to</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financial</m:t>
                        </m:r>
                        <m:r>
                          <a:rPr lang="pt-BR" sz="900" i="0">
                            <a:latin typeface="Cambria Math" panose="02040503050406030204" pitchFamily="18" charset="0"/>
                            <a:ea typeface="Cambria Math" panose="02040503050406030204" pitchFamily="18" charset="0"/>
                          </a:rPr>
                          <m:t> </m:t>
                        </m:r>
                        <m:r>
                          <m:rPr>
                            <m:sty m:val="p"/>
                          </m:rPr>
                          <a:rPr lang="pt-BR" sz="900" i="0">
                            <a:latin typeface="Cambria Math" panose="02040503050406030204" pitchFamily="18" charset="0"/>
                            <a:ea typeface="Cambria Math" panose="02040503050406030204" pitchFamily="18" charset="0"/>
                          </a:rPr>
                          <m:t>institutions</m:t>
                        </m:r>
                        <m:r>
                          <a:rPr lang="pt-BR" sz="900" i="0">
                            <a:latin typeface="Cambria Math" panose="02040503050406030204" pitchFamily="18" charset="0"/>
                            <a:ea typeface="Cambria Math" panose="02040503050406030204" pitchFamily="18" charset="0"/>
                          </a:rPr>
                          <m:t>  </m:t>
                        </m:r>
                      </m:den>
                    </m:f>
                    <m:r>
                      <a:rPr lang="pt-BR" sz="900" b="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1" name="Retângulo 9">
              <a:extLst>
                <a:ext uri="{FF2B5EF4-FFF2-40B4-BE49-F238E27FC236}">
                  <a16:creationId xmlns:a16="http://schemas.microsoft.com/office/drawing/2014/main" id="{E053E71D-69F7-C852-2686-4DDCCC5EB831}"/>
                </a:ext>
              </a:extLst>
            </xdr:cNvPr>
            <xdr:cNvSpPr/>
          </xdr:nvSpPr>
          <xdr:spPr>
            <a:xfrm>
              <a:off x="177988" y="26951921"/>
              <a:ext cx="5766026" cy="5570307"/>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Gross margin per active client net of interest expenses:</a:t>
              </a:r>
            </a:p>
            <a:p>
              <a:endParaRPr lang="en-US" sz="900" b="1">
                <a:latin typeface="Calibri" panose="020F0502020204030204" pitchFamily="34" charset="0"/>
                <a:cs typeface="Calibri" panose="020F0502020204030204" pitchFamily="34" charset="0"/>
              </a:endParaRPr>
            </a:p>
            <a:p>
              <a:pPr/>
              <a:r>
                <a:rPr lang="pt-BR" sz="900" i="0">
                  <a:latin typeface="Cambria Math" panose="02040503050406030204" pitchFamily="18" charset="0"/>
                  <a:ea typeface="Inter" panose="020B0502030000000004" pitchFamily="34" charset="0"/>
                </a:rPr>
                <a:t>ARPAC </a:t>
              </a:r>
              <a:r>
                <a:rPr lang="pt-BR" sz="900" b="0" i="0">
                  <a:latin typeface="Cambria Math" panose="02040503050406030204" pitchFamily="18" charset="0"/>
                  <a:ea typeface="Inter" panose="020B0502030000000004" pitchFamily="34" charset="0"/>
                </a:rPr>
                <a:t>net  </a:t>
              </a:r>
              <a:r>
                <a:rPr lang="pt-BR" sz="900" i="0">
                  <a:latin typeface="Cambria Math" panose="02040503050406030204" pitchFamily="18" charset="0"/>
                  <a:ea typeface="Inter" panose="020B0502030000000004" pitchFamily="34" charset="0"/>
                </a:rPr>
                <a:t>of </a:t>
              </a:r>
              <a:r>
                <a:rPr lang="pt-BR" sz="900" b="0" i="0">
                  <a:latin typeface="Cambria Math" panose="02040503050406030204" pitchFamily="18" charset="0"/>
                  <a:ea typeface="Inter" panose="020B0502030000000004" pitchFamily="34" charset="0"/>
                </a:rPr>
                <a:t>interest expenses</a:t>
              </a:r>
              <a:r>
                <a:rPr lang="pt-BR" sz="900" i="0">
                  <a:latin typeface="Cambria Math" panose="02040503050406030204" pitchFamily="18" charset="0"/>
                  <a:ea typeface="Inter" panose="020B0502030000000004" pitchFamily="34" charset="0"/>
                </a:rPr>
                <a:t> –</a:t>
              </a:r>
              <a:r>
                <a:rPr lang="pt-BR" sz="900" b="0" i="0">
                  <a:latin typeface="Cambria Math" panose="02040503050406030204" pitchFamily="18" charset="0"/>
                  <a:ea typeface="Inter" panose="020B0502030000000004" pitchFamily="34" charset="0"/>
                </a:rPr>
                <a:t>C</a:t>
              </a:r>
              <a:r>
                <a:rPr lang="pt-BR" sz="900" i="0">
                  <a:latin typeface="Cambria Math" panose="02040503050406030204" pitchFamily="18" charset="0"/>
                  <a:ea typeface="Inter" panose="020B0502030000000004" pitchFamily="34" charset="0"/>
                </a:rPr>
                <a:t>ost</a:t>
              </a:r>
              <a:r>
                <a:rPr lang="pt-BR" sz="900" b="0" i="0">
                  <a:latin typeface="Cambria Math" panose="02040503050406030204" pitchFamily="18" charset="0"/>
                  <a:ea typeface="Inter" panose="020B0502030000000004" pitchFamily="34" charset="0"/>
                </a:rPr>
                <a:t> </a:t>
              </a:r>
              <a:r>
                <a:rPr lang="pt-BR" sz="900" i="0">
                  <a:latin typeface="Cambria Math" panose="02040503050406030204" pitchFamily="18" charset="0"/>
                  <a:ea typeface="Inter" panose="020B0502030000000004" pitchFamily="34" charset="0"/>
                </a:rPr>
                <a:t>to</a:t>
              </a:r>
              <a:r>
                <a:rPr lang="pt-BR" sz="900" b="0" i="0">
                  <a:latin typeface="Cambria Math" panose="02040503050406030204" pitchFamily="18" charset="0"/>
                  <a:ea typeface="Inter" panose="020B0502030000000004" pitchFamily="34" charset="0"/>
                </a:rPr>
                <a:t> Serve</a:t>
              </a:r>
              <a:endParaRPr lang="pt-BR" sz="900" b="1">
                <a:latin typeface="Calibri" panose="020F0502020204030204" pitchFamily="34" charset="0"/>
                <a:cs typeface="Calibri" panose="020F0502020204030204" pitchFamily="34" charset="0"/>
              </a:endParaRPr>
            </a:p>
            <a:p>
              <a:endParaRPr lang="pt-BR" sz="900" b="1">
                <a:latin typeface="Calibri" panose="020F0502020204030204" pitchFamily="34" charset="0"/>
                <a:cs typeface="Calibri" panose="020F0502020204030204" pitchFamily="34" charset="0"/>
              </a:endParaRPr>
            </a:p>
            <a:p>
              <a:r>
                <a:rPr lang="pt-BR" sz="900" b="1">
                  <a:latin typeface="Calibri" panose="020F0502020204030204" pitchFamily="34" charset="0"/>
                  <a:cs typeface="Calibri" panose="020F0502020204030204" pitchFamily="34" charset="0"/>
                </a:rPr>
                <a:t>Net fee income:</a:t>
              </a:r>
            </a:p>
            <a:p>
              <a:endParaRPr lang="pt-BR" sz="900" b="1">
                <a:latin typeface="Calibri" panose="020F0502020204030204" pitchFamily="34" charset="0"/>
                <a:cs typeface="Calibri" panose="020F0502020204030204" pitchFamily="34" charset="0"/>
              </a:endParaRPr>
            </a:p>
            <a:p>
              <a:pPr algn="ctr"/>
              <a:r>
                <a:rPr lang="pt-BR" sz="900">
                  <a:latin typeface="Calibri" panose="020F0502020204030204" pitchFamily="34" charset="0"/>
                  <a:ea typeface="Inter" panose="020B0502030000000004" pitchFamily="34" charset="0"/>
                  <a:cs typeface="Calibri" panose="020F0502020204030204" pitchFamily="34" charset="0"/>
                </a:rPr>
                <a:t>Net result from services and commissions + Other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interest income: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I</a:t>
              </a:r>
              <a:r>
                <a:rPr lang="pt-BR" sz="9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nterest Income+Interest Expenses+Income from securities and derivatives</a:t>
              </a:r>
              <a:r>
                <a:rPr lang="pt-BR" sz="900" b="1">
                  <a:latin typeface="Calibri" panose="020F0502020204030204" pitchFamily="34" charset="0"/>
                  <a:ea typeface="Cambria Math" panose="02040503050406030204" pitchFamily="18" charset="0"/>
                  <a:cs typeface="Calibri" panose="020F0502020204030204" pitchFamily="34" charset="0"/>
                </a:rPr>
                <a:t> </a:t>
              </a:r>
            </a:p>
            <a:p>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b="1">
                <a:latin typeface="Calibri" panose="020F0502020204030204" pitchFamily="34" charset="0"/>
                <a:ea typeface="Cambria Math" panose="02040503050406030204" pitchFamily="18" charset="0"/>
                <a:cs typeface="Calibri" panose="020F0502020204030204" pitchFamily="34" charset="0"/>
              </a:endParaRPr>
            </a:p>
            <a:p>
              <a:r>
                <a:rPr lang="pt-BR" sz="900" b="1">
                  <a:latin typeface="Calibri" panose="020F0502020204030204" pitchFamily="34" charset="0"/>
                  <a:cs typeface="Calibri" panose="020F0502020204030204" pitchFamily="34" charset="0"/>
                </a:rPr>
                <a:t>Net revenue:</a:t>
              </a:r>
            </a:p>
            <a:p>
              <a:endParaRPr lang="pt-BR"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Net interest income + Net result from services and commissions + Other revenue</a:t>
              </a:r>
              <a:endParaRPr lang="pt-BR" sz="800" b="1">
                <a:latin typeface="Calibri" panose="020F0502020204030204" pitchFamily="34" charset="0"/>
                <a:ea typeface="Cambria Math" panose="02040503050406030204" pitchFamily="18" charset="0"/>
                <a:cs typeface="Calibri" panose="020F0502020204030204" pitchFamily="34" charset="0"/>
              </a:endParaRPr>
            </a:p>
            <a:p>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1.0 – IEP + Non-interest Credit Cards Receivables:</a:t>
              </a:r>
              <a:br>
                <a:rPr lang="en-US" sz="800" b="1">
                  <a:latin typeface="Calibri" panose="020F0502020204030204" pitchFamily="34" charset="0"/>
                  <a:ea typeface="Cambria Math" panose="02040503050406030204" pitchFamily="18" charset="0"/>
                  <a:cs typeface="Calibri" panose="020F0502020204030204" pitchFamily="34" charset="0"/>
                </a:rPr>
              </a:br>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a:t>
              </a:r>
              <a:r>
                <a:rPr lang="pt-BR" sz="900" b="0" i="0">
                  <a:latin typeface="Cambria Math" panose="02040503050406030204" pitchFamily="18" charset="0"/>
                  <a:ea typeface="Cambria Math" panose="02040503050406030204" pitchFamily="18" charset="0"/>
                </a:rPr>
                <a:t>Net interest income </a:t>
              </a:r>
              <a:r>
                <a:rPr lang="pt-BR" sz="900" i="0">
                  <a:latin typeface="Cambria Math" panose="02040503050406030204" pitchFamily="18" charset="0"/>
                  <a:ea typeface="Cambria Math" panose="02040503050406030204" pitchFamily="18" charset="0"/>
                </a:rPr>
                <a:t>x 4)/█(Average of 2 Last Quarters Earning Portfolio (Loans to financial institutions + Securities + @Derivatives + Net loans and advances to customers)</a:t>
              </a:r>
              <a:endParaRPr lang="en-US" sz="900">
                <a:latin typeface="Calibri" panose="020F0502020204030204" pitchFamily="34" charset="0"/>
                <a:ea typeface="Cambria Math" panose="02040503050406030204" pitchFamily="18" charset="0"/>
                <a:cs typeface="Calibri" panose="020F0502020204030204" pitchFamily="34" charset="0"/>
              </a:endParaRPr>
            </a:p>
            <a:p>
              <a:pPr algn="ct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NIM 2.0 – IEP Only:</a:t>
              </a:r>
            </a:p>
            <a:p>
              <a:endParaRPr lang="en-US" sz="800" b="1" i="1">
                <a:latin typeface="Calibri" panose="020F0502020204030204" pitchFamily="34" charset="0"/>
                <a:ea typeface="Cambria Math" panose="02040503050406030204" pitchFamily="18" charset="0"/>
                <a:cs typeface="Calibri" panose="020F0502020204030204" pitchFamily="34" charset="0"/>
              </a:endParaRPr>
            </a:p>
            <a:p>
              <a:pPr algn="ctr"/>
              <a:r>
                <a:rPr lang="pt-BR" sz="900" i="0">
                  <a:latin typeface="Cambria Math" panose="02040503050406030204" pitchFamily="18" charset="0"/>
                  <a:ea typeface="Cambria Math" panose="02040503050406030204" pitchFamily="18" charset="0"/>
                </a:rPr>
                <a:t>(Net interest income x 4)/█(Average of 2 Last Quarters Earning Portfolio − Non−interest−Bearing Credit Cards Receivables @(Amounts due from financial institutions + Securities + Derivatives + Net loans and @advances to customers – Credit card transactor portfolio))  </a:t>
              </a:r>
              <a:endParaRPr lang="en-US" sz="900" b="1" i="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15 to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pt-BR" sz="900" i="0">
                  <a:latin typeface="Cambria Math" panose="02040503050406030204" pitchFamily="18" charset="0"/>
                  <a:ea typeface="Cambria Math" panose="02040503050406030204" pitchFamily="18" charset="0"/>
                </a:rPr>
                <a:t>(Overdue 15 </a:t>
              </a:r>
              <a:r>
                <a:rPr lang="pt-BR" sz="900" b="0" i="0">
                  <a:latin typeface="Cambria Math" panose="02040503050406030204" pitchFamily="18" charset="0"/>
                  <a:ea typeface="Cambria Math" panose="02040503050406030204" pitchFamily="18" charset="0"/>
                </a:rPr>
                <a:t>to 90 </a:t>
              </a:r>
              <a:r>
                <a:rPr lang="pt-BR" sz="900" i="0">
                  <a:latin typeface="Cambria Math" panose="02040503050406030204" pitchFamily="18" charset="0"/>
                  <a:ea typeface="Cambria Math" panose="02040503050406030204" pitchFamily="18" charset="0"/>
                </a:rPr>
                <a:t>days)/(Loans and Advance to Costumers + Loans to  financial institutions  )</a:t>
              </a:r>
              <a:r>
                <a:rPr lang="pt-BR" sz="900" b="0" i="0">
                  <a:latin typeface="Cambria Math" panose="02040503050406030204" pitchFamily="18" charset="0"/>
                  <a:ea typeface="Cambria Math" panose="02040503050406030204" pitchFamily="18" charset="0"/>
                </a:rPr>
                <a:t>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pt-BR"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0</xdr:col>
      <xdr:colOff>245533</xdr:colOff>
      <xdr:row>176</xdr:row>
      <xdr:rowOff>135467</xdr:rowOff>
    </xdr:from>
    <xdr:to>
      <xdr:col>7</xdr:col>
      <xdr:colOff>127000</xdr:colOff>
      <xdr:row>211</xdr:row>
      <xdr:rowOff>107373</xdr:rowOff>
    </xdr:to>
    <mc:AlternateContent xmlns:mc="http://schemas.openxmlformats.org/markup-compatibility/2006" xmlns:a14="http://schemas.microsoft.com/office/drawing/2010/main">
      <mc:Choice Requires="a14">
        <xdr:sp macro="" textlink="">
          <xdr:nvSpPr>
            <xdr:cNvPr id="36" name="Retângulo 9">
              <a:extLst>
                <a:ext uri="{FF2B5EF4-FFF2-40B4-BE49-F238E27FC236}">
                  <a16:creationId xmlns:a16="http://schemas.microsoft.com/office/drawing/2014/main" id="{00000000-0008-0000-1600-00002400000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i="0">
                            <a:latin typeface="Cambria Math" panose="02040503050406030204" pitchFamily="18" charset="0"/>
                            <a:ea typeface="Cambria Math" panose="02040503050406030204" pitchFamily="18" charset="0"/>
                          </a:rPr>
                          <m:t>Overdue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higher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than</m:t>
                        </m:r>
                        <m:r>
                          <a:rPr lang="en-US" sz="900" i="0">
                            <a:latin typeface="Cambria Math" panose="02040503050406030204" pitchFamily="18" charset="0"/>
                            <a:ea typeface="Cambria Math" panose="02040503050406030204" pitchFamily="18" charset="0"/>
                          </a:rPr>
                          <m:t> 90 </m:t>
                        </m:r>
                        <m:r>
                          <m:rPr>
                            <m:sty m:val="p"/>
                          </m:rPr>
                          <a:rPr lang="en-US" sz="900" i="0">
                            <a:latin typeface="Cambria Math" panose="02040503050406030204" pitchFamily="18" charset="0"/>
                            <a:ea typeface="Cambria Math" panose="02040503050406030204" pitchFamily="18" charset="0"/>
                          </a:rPr>
                          <m:t>days</m:t>
                        </m:r>
                      </m:num>
                      <m:den>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and</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Advance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Costumers</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Loans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financial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institutions</m:t>
                        </m:r>
                        <m:r>
                          <a:rPr lang="en-US" sz="900" i="0">
                            <a:latin typeface="Cambria Math" panose="02040503050406030204" pitchFamily="18" charset="0"/>
                            <a:ea typeface="Cambria Math" panose="02040503050406030204" pitchFamily="18" charset="0"/>
                          </a:rPr>
                          <m:t>  </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e>
                          <m:e>
                            <m:r>
                              <m:rPr>
                                <m:sty m:val="p"/>
                              </m:rPr>
                              <a:rPr lang="en-US" sz="900">
                                <a:latin typeface="Cambria Math" panose="02040503050406030204" pitchFamily="18" charset="0"/>
                                <a:ea typeface="Cambria Math" panose="02040503050406030204" pitchFamily="18" charset="0"/>
                              </a:rPr>
                              <m:t>Overdue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higher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than</m:t>
                            </m:r>
                            <m:r>
                              <a:rPr lang="en-US" sz="900">
                                <a:latin typeface="Cambria Math" panose="02040503050406030204" pitchFamily="18" charset="0"/>
                                <a:ea typeface="Cambria Math" panose="02040503050406030204" pitchFamily="18" charset="0"/>
                              </a:rPr>
                              <m:t> 90 </m:t>
                            </m:r>
                            <m:r>
                              <m:rPr>
                                <m:sty m:val="p"/>
                              </m:rPr>
                              <a:rPr lang="en-US" sz="900">
                                <a:latin typeface="Cambria Math" panose="02040503050406030204" pitchFamily="18" charset="0"/>
                                <a:ea typeface="Cambria Math" panose="02040503050406030204" pitchFamily="18" charset="0"/>
                              </a:rPr>
                              <m:t>days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a:rPr lang="en-US" sz="900" i="0">
                                <a:latin typeface="Cambria Math" panose="02040503050406030204" pitchFamily="18" charset="0"/>
                                <a:ea typeface="Cambria Math" panose="02040503050406030204" pitchFamily="18" charset="0"/>
                              </a:rPr>
                              <m:t> </m:t>
                            </m:r>
                          </m:e>
                          <m:e>
                            <m:r>
                              <m:rPr>
                                <m:sty m:val="p"/>
                              </m:rPr>
                              <a:rPr lang="en-US" sz="900" i="0">
                                <a:latin typeface="Cambria Math" panose="02040503050406030204" pitchFamily="18" charset="0"/>
                                <a:ea typeface="Cambria Math" panose="02040503050406030204" pitchFamily="18" charset="0"/>
                              </a:rPr>
                              <m:t>Person</m:t>
                            </m:r>
                            <m:r>
                              <m:rPr>
                                <m:sty m:val="p"/>
                              </m:rPr>
                              <a:rPr lang="en-US" sz="900" b="0" i="0">
                                <a:latin typeface="Cambria Math" panose="02040503050406030204" pitchFamily="18" charset="0"/>
                                <a:ea typeface="Cambria Math" panose="02040503050406030204" pitchFamily="18" charset="0"/>
                              </a:rPr>
                              <m:t>nel</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expense</m:t>
                            </m:r>
                          </m:e>
                        </m:eqArr>
                      </m:num>
                      <m:den>
                        <m:r>
                          <m:rPr>
                            <m:sty m:val="p"/>
                          </m:rPr>
                          <a:rPr lang="en-US" sz="900" b="0" i="0">
                            <a:latin typeface="Cambria Math" panose="02040503050406030204" pitchFamily="18" charset="0"/>
                            <a:ea typeface="Cambria Math" panose="02040503050406030204" pitchFamily="18" charset="0"/>
                          </a:rPr>
                          <m:t>Net</m:t>
                        </m:r>
                        <m:r>
                          <a:rPr lang="en-US" sz="900" b="0" i="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Interest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Income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Net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result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from</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services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and</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comissions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Other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revenue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Tax</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expense</m:t>
                        </m:r>
                      </m:den>
                    </m:f>
                    <m:r>
                      <a:rPr lang="en-US" sz="900" i="1">
                        <a:latin typeface="Cambria Math" panose="02040503050406030204" pitchFamily="18" charset="0"/>
                        <a:ea typeface="Cambria Math" panose="02040503050406030204" pitchFamily="18" charset="0"/>
                      </a:rPr>
                      <m:t> </m:t>
                    </m:r>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Profit</m:t>
                        </m:r>
                        <m:r>
                          <a:rPr lang="en-US" sz="900" i="0">
                            <a:latin typeface="Cambria Math" panose="02040503050406030204" pitchFamily="18" charset="0"/>
                            <a:ea typeface="Cambria Math" panose="02040503050406030204" pitchFamily="18" charset="0"/>
                          </a:rPr>
                          <m:t> / (</m:t>
                        </m:r>
                        <m:r>
                          <m:rPr>
                            <m:sty m:val="p"/>
                          </m:rPr>
                          <a:rPr lang="en-US" sz="900" i="0">
                            <a:latin typeface="Cambria Math" panose="02040503050406030204" pitchFamily="18" charset="0"/>
                            <a:ea typeface="Cambria Math" panose="02040503050406030204" pitchFamily="18" charset="0"/>
                          </a:rPr>
                          <m:t>loss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for</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quarter</m:t>
                        </m:r>
                        <m:r>
                          <a:rPr lang="en-US" sz="900" i="0">
                            <a:latin typeface="Cambria Math" panose="02040503050406030204" pitchFamily="18" charset="0"/>
                            <a:ea typeface="Cambria Math" panose="02040503050406030204" pitchFamily="18" charset="0"/>
                          </a:rPr>
                          <m:t>)× 4</m:t>
                        </m:r>
                      </m:num>
                      <m:den>
                        <m:r>
                          <m:rPr>
                            <m:sty m:val="p"/>
                          </m:rPr>
                          <a:rPr lang="en-US" sz="900" i="0">
                            <a:latin typeface="Cambria Math" panose="02040503050406030204" pitchFamily="18" charset="0"/>
                            <a:ea typeface="Cambria Math" panose="02040503050406030204" pitchFamily="18" charset="0"/>
                          </a:rPr>
                          <m:t>Average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last</m:t>
                        </m:r>
                        <m:r>
                          <a:rPr lang="en-US" sz="900" i="0">
                            <a:latin typeface="Cambria Math" panose="02040503050406030204" pitchFamily="18" charset="0"/>
                            <a:ea typeface="Cambria Math" panose="02040503050406030204" pitchFamily="18" charset="0"/>
                          </a:rPr>
                          <m:t> 2 </m:t>
                        </m:r>
                        <m:r>
                          <m:rPr>
                            <m:sty m:val="p"/>
                          </m:rPr>
                          <a:rPr lang="en-US" sz="900" i="0">
                            <a:latin typeface="Cambria Math" panose="02040503050406030204" pitchFamily="18" charset="0"/>
                            <a:ea typeface="Cambria Math" panose="02040503050406030204" pitchFamily="18" charset="0"/>
                          </a:rPr>
                          <m:t>quarters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of</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total</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shareholder</m:t>
                        </m:r>
                        <m:r>
                          <a:rPr lang="en-US" sz="900" i="0">
                            <a:latin typeface="Cambria Math" panose="02040503050406030204" pitchFamily="18" charset="0"/>
                            <a:ea typeface="Cambria Math" panose="02040503050406030204" pitchFamily="18" charset="0"/>
                          </a:rPr>
                          <m:t>`</m:t>
                        </m:r>
                        <m:r>
                          <m:rPr>
                            <m:sty m:val="p"/>
                          </m:rPr>
                          <a:rPr lang="en-US" sz="900" i="0">
                            <a:latin typeface="Cambria Math" panose="02040503050406030204" pitchFamily="18" charset="0"/>
                            <a:ea typeface="Cambria Math" panose="02040503050406030204" pitchFamily="18" charset="0"/>
                          </a:rPr>
                          <m:t>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equity</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Administrative</m:t>
                  </m:r>
                  <m:r>
                    <a:rPr lang="en-US" sz="900" i="0">
                      <a:latin typeface="Cambria Math" panose="02040503050406030204" pitchFamily="18" charset="0"/>
                      <a:ea typeface="Cambria Math" panose="02040503050406030204" pitchFamily="18" charset="0"/>
                      <a:cs typeface="Sora" pitchFamily="2" charset="0"/>
                    </a:rPr>
                    <m:t> </m:t>
                  </m:r>
                </m:oMath>
              </a14:m>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eqArr>
                          <m:eqArrPr>
                            <m:ctrlPr>
                              <a:rPr lang="en-US" sz="900" i="1">
                                <a:latin typeface="Cambria Math" panose="02040503050406030204" pitchFamily="18" charset="0"/>
                                <a:ea typeface="Cambria Math" panose="02040503050406030204" pitchFamily="18" charset="0"/>
                              </a:rPr>
                            </m:ctrlPr>
                          </m:eqArrPr>
                          <m:e>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Stage</m:t>
                            </m:r>
                            <m:r>
                              <a:rPr lang="en-US" sz="900">
                                <a:latin typeface="Cambria Math" panose="02040503050406030204" pitchFamily="18" charset="0"/>
                                <a:ea typeface="Cambria Math" panose="02040503050406030204" pitchFamily="18" charset="0"/>
                              </a:rPr>
                              <m:t> 3 </m:t>
                            </m:r>
                            <m:r>
                              <m:rPr>
                                <m:sty m:val="p"/>
                              </m:rPr>
                              <a:rPr lang="en-US" sz="900">
                                <a:latin typeface="Cambria Math" panose="02040503050406030204" pitchFamily="18" charset="0"/>
                                <a:ea typeface="Cambria Math" panose="02040503050406030204" pitchFamily="18" charset="0"/>
                              </a:rPr>
                              <m:t>balance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previous</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Write</m:t>
                            </m:r>
                            <m:r>
                              <a:rPr lang="en-US" sz="900">
                                <a:latin typeface="Cambria Math" panose="02040503050406030204" pitchFamily="18" charset="0"/>
                                <a:ea typeface="Cambria Math" panose="02040503050406030204" pitchFamily="18" charset="0"/>
                              </a:rPr>
                              <m:t>−</m:t>
                            </m:r>
                            <m:r>
                              <m:rPr>
                                <m:sty m:val="p"/>
                              </m:rPr>
                              <a:rPr lang="en-US" sz="900">
                                <a:latin typeface="Cambria Math" panose="02040503050406030204" pitchFamily="18" charset="0"/>
                                <a:ea typeface="Cambria Math" panose="02040503050406030204" pitchFamily="18" charset="0"/>
                              </a:rPr>
                              <m:t>off</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change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in</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the</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current</m:t>
                            </m:r>
                            <m:r>
                              <a:rPr lang="en-US" sz="900">
                                <a:latin typeface="Cambria Math" panose="02040503050406030204" pitchFamily="18" charset="0"/>
                                <a:ea typeface="Cambria Math" panose="02040503050406030204" pitchFamily="18" charset="0"/>
                              </a:rPr>
                              <m:t> </m:t>
                            </m:r>
                            <m:r>
                              <m:rPr>
                                <m:sty m:val="p"/>
                              </m:rPr>
                              <a:rPr lang="en-US" sz="900">
                                <a:latin typeface="Cambria Math" panose="02040503050406030204" pitchFamily="18" charset="0"/>
                                <a:ea typeface="Cambria Math" panose="02040503050406030204" pitchFamily="18" charset="0"/>
                              </a:rPr>
                              <m:t>quarter</m:t>
                            </m:r>
                          </m:e>
                        </m:eqArr>
                      </m:num>
                      <m:den>
                        <m:r>
                          <m:rPr>
                            <m:sty m:val="p"/>
                          </m:rPr>
                          <a:rPr lang="en-US" sz="900" b="0" i="0">
                            <a:latin typeface="Cambria Math" panose="02040503050406030204" pitchFamily="18" charset="0"/>
                            <a:ea typeface="Cambria Math" panose="02040503050406030204" pitchFamily="18" charset="0"/>
                          </a:rPr>
                          <m:t>Total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loans</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and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advance</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to</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customers</m:t>
                        </m:r>
                        <m:r>
                          <a:rPr lang="en-US" sz="900" b="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in</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the</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previous</m:t>
                        </m:r>
                        <m:r>
                          <a:rPr lang="en-US" sz="900" i="0">
                            <a:latin typeface="Cambria Math" panose="02040503050406030204" pitchFamily="18" charset="0"/>
                            <a:ea typeface="Cambria Math" panose="02040503050406030204" pitchFamily="18" charset="0"/>
                          </a:rPr>
                          <m:t> </m:t>
                        </m:r>
                        <m:r>
                          <m:rPr>
                            <m:sty m:val="p"/>
                          </m:rPr>
                          <a:rPr lang="en-US" sz="900" i="0">
                            <a:latin typeface="Cambria Math" panose="02040503050406030204" pitchFamily="18" charset="0"/>
                            <a:ea typeface="Cambria Math" panose="02040503050406030204" pitchFamily="18" charset="0"/>
                          </a:rPr>
                          <m:t>quarter</m:t>
                        </m:r>
                      </m:den>
                    </m:f>
                  </m:oMath>
                </m:oMathPara>
              </a14:m>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ea typeface="Cambria Math" panose="02040503050406030204" pitchFamily="18" charset="0"/>
                          </a:rPr>
                        </m:ctrlPr>
                      </m:fPr>
                      <m:num>
                        <m:r>
                          <m:rPr>
                            <m:sty m:val="p"/>
                          </m:rPr>
                          <a:rPr lang="en-US" sz="900" b="0" i="0">
                            <a:latin typeface="Cambria Math" panose="02040503050406030204" pitchFamily="18" charset="0"/>
                            <a:ea typeface="Cambria Math" panose="02040503050406030204" pitchFamily="18" charset="0"/>
                          </a:rPr>
                          <m:t>Tier</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I</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referential</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equity</m:t>
                        </m:r>
                      </m:num>
                      <m:den>
                        <m:r>
                          <m:rPr>
                            <m:sty m:val="p"/>
                          </m:rPr>
                          <a:rPr lang="en-US" sz="900" b="0" i="0">
                            <a:latin typeface="Cambria Math" panose="02040503050406030204" pitchFamily="18" charset="0"/>
                            <a:ea typeface="Cambria Math" panose="02040503050406030204" pitchFamily="18" charset="0"/>
                          </a:rPr>
                          <m:t>Risk</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weighted</m:t>
                        </m:r>
                        <m:r>
                          <a:rPr lang="en-US" sz="900" b="0" i="0">
                            <a:latin typeface="Cambria Math" panose="02040503050406030204" pitchFamily="18" charset="0"/>
                            <a:ea typeface="Cambria Math" panose="02040503050406030204" pitchFamily="18" charset="0"/>
                          </a:rPr>
                          <m:t> </m:t>
                        </m:r>
                        <m:r>
                          <m:rPr>
                            <m:sty m:val="p"/>
                          </m:rPr>
                          <a:rPr lang="en-US" sz="900" b="0" i="0">
                            <a:latin typeface="Cambria Math" panose="02040503050406030204" pitchFamily="18" charset="0"/>
                            <a:ea typeface="Cambria Math" panose="02040503050406030204" pitchFamily="18" charset="0"/>
                          </a:rPr>
                          <m:t>assets</m:t>
                        </m:r>
                      </m:den>
                    </m:f>
                  </m:oMath>
                </m:oMathPara>
              </a14:m>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en-US" sz="900" i="0">
                        <a:latin typeface="Cambria Math" panose="02040503050406030204" pitchFamily="18" charset="0"/>
                        <a:ea typeface="Cambria Math" panose="02040503050406030204" pitchFamily="18" charset="0"/>
                        <a:cs typeface="Sora" pitchFamily="2" charset="0"/>
                      </a:rPr>
                      <m:t>Interest</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d>
                      <m:dPr>
                        <m:ctrlPr>
                          <a:rPr lang="en-US" sz="900" b="0" i="1">
                            <a:latin typeface="Cambria Math" panose="02040503050406030204" pitchFamily="18" charset="0"/>
                            <a:ea typeface="Cambria Math" panose="02040503050406030204" pitchFamily="18" charset="0"/>
                            <a:cs typeface="Sora" pitchFamily="2" charset="0"/>
                          </a:rPr>
                        </m:ctrlPr>
                      </m:dPr>
                      <m:e>
                        <m:r>
                          <m:rPr>
                            <m:sty m:val="p"/>
                          </m:rPr>
                          <a:rPr lang="en-US" sz="900" b="0" i="0">
                            <a:latin typeface="Cambria Math" panose="02040503050406030204" pitchFamily="18" charset="0"/>
                            <a:ea typeface="Cambria Math" panose="02040503050406030204" pitchFamily="18" charset="0"/>
                            <a:cs typeface="Sora" pitchFamily="2" charset="0"/>
                          </a:rPr>
                          <m:t>Revenue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services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and</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commissions</m:t>
                        </m:r>
                        <m:r>
                          <a:rPr lang="en-US" sz="900" b="0" i="0">
                            <a:latin typeface="Cambria Math" panose="02040503050406030204" pitchFamily="18" charset="0"/>
                            <a:ea typeface="Cambria Math" panose="02040503050406030204" pitchFamily="18" charset="0"/>
                            <a:cs typeface="Sora" pitchFamily="2" charset="0"/>
                          </a:rPr>
                          <m:t>−</m:t>
                        </m:r>
                        <m:r>
                          <m:rPr>
                            <m:sty m:val="p"/>
                          </m:rPr>
                          <a:rPr lang="en-US" sz="900" b="0" i="0">
                            <a:latin typeface="Cambria Math" panose="02040503050406030204" pitchFamily="18" charset="0"/>
                            <a:ea typeface="Cambria Math" panose="02040503050406030204" pitchFamily="18" charset="0"/>
                            <a:cs typeface="Sora" pitchFamily="2" charset="0"/>
                          </a:rPr>
                          <m:t>Cashback</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expenses</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Inter</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rewards</m:t>
                        </m:r>
                      </m:e>
                    </m:d>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Income</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from</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securities</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b="0" i="0">
                        <a:latin typeface="Cambria Math" panose="02040503050406030204" pitchFamily="18" charset="0"/>
                        <a:ea typeface="Cambria Math" panose="02040503050406030204" pitchFamily="18" charset="0"/>
                        <a:cs typeface="Sora" pitchFamily="2" charset="0"/>
                      </a:rPr>
                      <m:t>and</m:t>
                    </m:r>
                    <m:r>
                      <a:rPr lang="en-US" sz="900" b="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derivatives</m:t>
                    </m:r>
                    <m:r>
                      <a:rPr lang="en-US" sz="900" i="0">
                        <a:latin typeface="Cambria Math" panose="02040503050406030204" pitchFamily="18" charset="0"/>
                        <a:ea typeface="Cambria Math" panose="02040503050406030204" pitchFamily="18" charset="0"/>
                        <a:cs typeface="Sora" pitchFamily="2" charset="0"/>
                      </a:rPr>
                      <m:t> + </m:t>
                    </m:r>
                    <m:r>
                      <m:rPr>
                        <m:sty m:val="p"/>
                      </m:rPr>
                      <a:rPr lang="en-US" sz="900" i="0">
                        <a:latin typeface="Cambria Math" panose="02040503050406030204" pitchFamily="18" charset="0"/>
                        <a:ea typeface="Cambria Math" panose="02040503050406030204" pitchFamily="18" charset="0"/>
                        <a:cs typeface="Sora" pitchFamily="2" charset="0"/>
                      </a:rPr>
                      <m:t>Other</m:t>
                    </m:r>
                    <m:r>
                      <a:rPr lang="en-US" sz="900" i="0">
                        <a:latin typeface="Cambria Math" panose="02040503050406030204" pitchFamily="18" charset="0"/>
                        <a:ea typeface="Cambria Math" panose="02040503050406030204" pitchFamily="18" charset="0"/>
                        <a:cs typeface="Sora" pitchFamily="2" charset="0"/>
                      </a:rPr>
                      <m:t> </m:t>
                    </m:r>
                    <m:r>
                      <m:rPr>
                        <m:sty m:val="p"/>
                      </m:rPr>
                      <a:rPr lang="en-US" sz="900" i="0">
                        <a:latin typeface="Cambria Math" panose="02040503050406030204" pitchFamily="18" charset="0"/>
                        <a:ea typeface="Cambria Math" panose="02040503050406030204" pitchFamily="18" charset="0"/>
                        <a:cs typeface="Sora" pitchFamily="2" charset="0"/>
                      </a:rPr>
                      <m:t>revenue</m:t>
                    </m:r>
                  </m:oMath>
                </m:oMathPara>
              </a14:m>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36" name="Retângulo 9">
              <a:extLst>
                <a:ext uri="{FF2B5EF4-FFF2-40B4-BE49-F238E27FC236}">
                  <a16:creationId xmlns:a16="http://schemas.microsoft.com/office/drawing/2014/main" id="{70BBBFDC-97EA-DB78-9935-3D590DAA2910}"/>
                </a:ext>
              </a:extLst>
            </xdr:cNvPr>
            <xdr:cNvSpPr/>
          </xdr:nvSpPr>
          <xdr:spPr>
            <a:xfrm>
              <a:off x="245533" y="32529670"/>
              <a:ext cx="5679293" cy="641393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b="1">
                  <a:latin typeface="Calibri" panose="020F0502020204030204" pitchFamily="34" charset="0"/>
                  <a:cs typeface="Calibri" panose="020F0502020204030204" pitchFamily="34" charset="0"/>
                </a:rPr>
                <a:t>NPL &gt; 90 days:</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higher than 90 days)/(Loans and Advance to Costumers + Loans to  financial institutions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lgn="ctr"/>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NPL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█(Overdue balance higher than 90 days in the current quarter –@Overdue balance higher than 90 days inthe previous quarter +Write−off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Personal efficiency ratio:</a:t>
              </a:r>
            </a:p>
            <a:p>
              <a:pPr algn="ctr"/>
              <a:endParaRPr lang="en-US" sz="50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 @Person</a:t>
              </a:r>
              <a:r>
                <a:rPr lang="en-US" sz="900" b="0" i="0">
                  <a:latin typeface="Cambria Math" panose="02040503050406030204" pitchFamily="18" charset="0"/>
                  <a:ea typeface="Cambria Math" panose="02040503050406030204" pitchFamily="18" charset="0"/>
                </a:rPr>
                <a:t>nel </a:t>
              </a:r>
              <a:r>
                <a:rPr lang="en-US" sz="900" i="0">
                  <a:latin typeface="Cambria Math" panose="02040503050406030204" pitchFamily="18" charset="0"/>
                  <a:ea typeface="Cambria Math" panose="02040503050406030204" pitchFamily="18" charset="0"/>
                </a:rPr>
                <a:t>expense)/(</a:t>
              </a:r>
              <a:r>
                <a:rPr lang="en-US" sz="900" b="0" i="0">
                  <a:latin typeface="Cambria Math" panose="02040503050406030204" pitchFamily="18" charset="0"/>
                  <a:ea typeface="Cambria Math" panose="02040503050406030204" pitchFamily="18" charset="0"/>
                </a:rPr>
                <a:t>Net </a:t>
              </a:r>
              <a:r>
                <a:rPr lang="en-US" sz="900" i="0">
                  <a:latin typeface="Cambria Math" panose="02040503050406030204" pitchFamily="18" charset="0"/>
                  <a:ea typeface="Cambria Math" panose="02040503050406030204" pitchFamily="18" charset="0"/>
                </a:rPr>
                <a:t>Interest Income+Net result from services and comissions+ Other revenue−Tax expense)  </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Return on average equity (ROE):</a:t>
              </a:r>
            </a:p>
            <a:p>
              <a:pPr algn="ctr"/>
              <a:endParaRPr lang="en-US" sz="800" b="1">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((Profit / (loss) for the </a:t>
              </a:r>
              <a:r>
                <a:rPr lang="en-US" sz="900" b="0" i="0">
                  <a:latin typeface="Cambria Math" panose="02040503050406030204" pitchFamily="18" charset="0"/>
                  <a:ea typeface="Cambria Math" panose="02040503050406030204" pitchFamily="18" charset="0"/>
                </a:rPr>
                <a:t>quarter</a:t>
              </a:r>
              <a:r>
                <a:rPr lang="en-US" sz="900" i="0">
                  <a:latin typeface="Cambria Math" panose="02040503050406030204" pitchFamily="18" charset="0"/>
                  <a:ea typeface="Cambria Math" panose="02040503050406030204" pitchFamily="18" charset="0"/>
                </a:rPr>
                <a:t>)× 4)/(Average of last 2 quarters</a:t>
              </a:r>
              <a:r>
                <a:rPr lang="en-US" sz="900" b="0" i="0">
                  <a:latin typeface="Cambria Math" panose="02040503050406030204" pitchFamily="18" charset="0"/>
                  <a:ea typeface="Cambria Math" panose="02040503050406030204" pitchFamily="18" charset="0"/>
                </a:rPr>
                <a:t> </a:t>
              </a:r>
              <a:r>
                <a:rPr lang="en-US" sz="900" i="0">
                  <a:latin typeface="Cambria Math" panose="02040503050406030204" pitchFamily="18" charset="0"/>
                  <a:ea typeface="Cambria Math" panose="02040503050406030204" pitchFamily="18" charset="0"/>
                </a:rPr>
                <a:t>of total shareholder`s equity)</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ea typeface="Cambria Math" panose="02040503050406030204" pitchFamily="18" charset="0"/>
                  <a:cs typeface="Calibri" panose="020F0502020204030204" pitchFamily="34" charset="0"/>
                </a:rPr>
                <a:t>SG&amp;A:</a:t>
              </a:r>
            </a:p>
            <a:p>
              <a:endParaRPr lang="en-US" sz="900" b="1" i="0">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cs typeface="Sora" pitchFamily="2" charset="0"/>
                </a:rPr>
                <a:t>Administrative </a:t>
              </a:r>
              <a:r>
                <a:rPr lang="en-US" sz="900">
                  <a:latin typeface="Calibri" panose="020F0502020204030204" pitchFamily="34" charset="0"/>
                  <a:ea typeface="Cambria Math" panose="02040503050406030204" pitchFamily="18" charset="0"/>
                  <a:cs typeface="Calibri" panose="020F0502020204030204" pitchFamily="34" charset="0"/>
                </a:rPr>
                <a:t>Expenses + Personnel Expenses + Depreciation and Amortization</a:t>
              </a: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Stage 3 formation:</a:t>
              </a:r>
            </a:p>
            <a:p>
              <a:endParaRPr lang="en-US" sz="800" b="1">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rPr>
                <a:t>█(Stage 3 balance in the current quarter –Stage 3 balance in the previous quarter@+Write−off change in the current quarter)/(</a:t>
              </a:r>
              <a:r>
                <a:rPr lang="en-US" sz="900" b="0" i="0">
                  <a:latin typeface="Cambria Math" panose="02040503050406030204" pitchFamily="18" charset="0"/>
                  <a:ea typeface="Cambria Math" panose="02040503050406030204" pitchFamily="18" charset="0"/>
                </a:rPr>
                <a:t>Total loans and advance to customers </a:t>
              </a:r>
              <a:r>
                <a:rPr lang="en-US" sz="900" i="0">
                  <a:latin typeface="Cambria Math" panose="02040503050406030204" pitchFamily="18" charset="0"/>
                  <a:ea typeface="Cambria Math" panose="02040503050406030204" pitchFamily="18" charset="0"/>
                </a:rPr>
                <a:t>in the previous quarter)</a:t>
              </a:r>
              <a:endParaRPr lang="en-US" sz="900" b="1">
                <a:latin typeface="Calibri" panose="020F0502020204030204" pitchFamily="34" charset="0"/>
                <a:ea typeface="Cambria Math" panose="02040503050406030204" pitchFamily="18" charset="0"/>
                <a:cs typeface="Calibri" panose="020F0502020204030204" pitchFamily="34" charset="0"/>
              </a:endParaRPr>
            </a:p>
            <a:p>
              <a:endParaRPr lang="en-US" sz="900" b="1">
                <a:latin typeface="Calibri" panose="020F0502020204030204" pitchFamily="34" charset="0"/>
                <a:cs typeface="Calibri" panose="020F0502020204030204" pitchFamily="34" charset="0"/>
              </a:endParaRPr>
            </a:p>
            <a:p>
              <a:r>
                <a:rPr lang="en-US" sz="900" b="1">
                  <a:latin typeface="Calibri" panose="020F0502020204030204" pitchFamily="34" charset="0"/>
                  <a:cs typeface="Calibri" panose="020F0502020204030204" pitchFamily="34" charset="0"/>
                </a:rPr>
                <a:t>Tier I ratio:</a:t>
              </a:r>
            </a:p>
            <a:p>
              <a:endParaRPr lang="en-US" sz="800" b="1">
                <a:highlight>
                  <a:srgbClr val="FFFF00"/>
                </a:highlight>
                <a:latin typeface="Calibri" panose="020F0502020204030204" pitchFamily="34" charset="0"/>
                <a:ea typeface="Cambria Math" panose="02040503050406030204" pitchFamily="18" charset="0"/>
                <a:cs typeface="Calibri" panose="020F0502020204030204" pitchFamily="34" charset="0"/>
              </a:endParaRPr>
            </a:p>
            <a:p>
              <a:pPr algn="ctr"/>
              <a:r>
                <a:rPr lang="en-US" sz="900" i="0">
                  <a:latin typeface="Cambria Math" panose="02040503050406030204" pitchFamily="18" charset="0"/>
                  <a:ea typeface="Cambria Math" panose="02040503050406030204" pitchFamily="18" charset="0"/>
                </a:rPr>
                <a:t>(</a:t>
              </a:r>
              <a:r>
                <a:rPr lang="en-US" sz="900" b="0" i="0">
                  <a:latin typeface="Cambria Math" panose="02040503050406030204" pitchFamily="18" charset="0"/>
                  <a:ea typeface="Cambria Math" panose="02040503050406030204" pitchFamily="18" charset="0"/>
                </a:rPr>
                <a:t>Tier I referential equity)/(Risk weighted assets)</a:t>
              </a:r>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r>
                <a:rPr lang="en-US" sz="900" b="1">
                  <a:latin typeface="Calibri" panose="020F0502020204030204" pitchFamily="34" charset="0"/>
                  <a:cs typeface="Calibri" panose="020F0502020204030204" pitchFamily="34" charset="0"/>
                </a:rPr>
                <a:t>Total gross revenue:</a:t>
              </a:r>
            </a:p>
            <a:p>
              <a:endParaRPr lang="en-US" sz="5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pPr/>
              <a:r>
                <a:rPr lang="en-US" sz="900" i="0">
                  <a:latin typeface="Cambria Math" panose="02040503050406030204" pitchFamily="18" charset="0"/>
                  <a:ea typeface="Cambria Math" panose="02040503050406030204" pitchFamily="18" charset="0"/>
                  <a:cs typeface="Sora" pitchFamily="2" charset="0"/>
                </a:rPr>
                <a:t>Interest income +</a:t>
              </a:r>
              <a:r>
                <a:rPr lang="en-US" sz="900" b="0" i="0">
                  <a:latin typeface="Cambria Math" panose="02040503050406030204" pitchFamily="18" charset="0"/>
                  <a:ea typeface="Cambria Math" panose="02040503050406030204" pitchFamily="18" charset="0"/>
                  <a:cs typeface="Sora" pitchFamily="2" charset="0"/>
                </a:rPr>
                <a:t>(Revenue</a:t>
              </a:r>
              <a:r>
                <a:rPr lang="en-US" sz="900" i="0">
                  <a:latin typeface="Cambria Math" panose="02040503050406030204" pitchFamily="18" charset="0"/>
                  <a:ea typeface="Cambria Math" panose="02040503050406030204" pitchFamily="18" charset="0"/>
                  <a:cs typeface="Sora" pitchFamily="2" charset="0"/>
                </a:rPr>
                <a:t> from services and commissions</a:t>
              </a:r>
              <a:r>
                <a:rPr lang="en-US" sz="900" b="0" i="0">
                  <a:latin typeface="Cambria Math" panose="02040503050406030204" pitchFamily="18" charset="0"/>
                  <a:ea typeface="Cambria Math" panose="02040503050406030204" pitchFamily="18" charset="0"/>
                  <a:cs typeface="Sora" pitchFamily="2" charset="0"/>
                </a:rPr>
                <a:t>−Cashback expenses −Inter rewards)+ </a:t>
              </a:r>
              <a:r>
                <a:rPr lang="en-US" sz="900" i="0">
                  <a:latin typeface="Cambria Math" panose="02040503050406030204" pitchFamily="18" charset="0"/>
                  <a:ea typeface="Cambria Math" panose="02040503050406030204" pitchFamily="18" charset="0"/>
                  <a:cs typeface="Sora" pitchFamily="2" charset="0"/>
                </a:rPr>
                <a:t>Income from securities </a:t>
              </a:r>
              <a:r>
                <a:rPr lang="en-US" sz="900" b="0" i="0">
                  <a:latin typeface="Cambria Math" panose="02040503050406030204" pitchFamily="18" charset="0"/>
                  <a:ea typeface="Cambria Math" panose="02040503050406030204" pitchFamily="18" charset="0"/>
                  <a:cs typeface="Sora" pitchFamily="2" charset="0"/>
                </a:rPr>
                <a:t>and </a:t>
              </a:r>
              <a:r>
                <a:rPr lang="en-US" sz="900" i="0">
                  <a:latin typeface="Cambria Math" panose="02040503050406030204" pitchFamily="18" charset="0"/>
                  <a:ea typeface="Cambria Math" panose="02040503050406030204" pitchFamily="18" charset="0"/>
                  <a:cs typeface="Sora" pitchFamily="2" charset="0"/>
                </a:rPr>
                <a:t>derivatives + Other revenue</a:t>
              </a:r>
              <a:endParaRPr lang="en-US" sz="9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100">
                <a:solidFill>
                  <a:schemeClr val="tx1">
                    <a:lumMod val="85000"/>
                    <a:lumOff val="15000"/>
                  </a:schemeClr>
                </a:solidFill>
                <a:highlight>
                  <a:srgbClr val="FFFF00"/>
                </a:highlight>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115454</xdr:colOff>
      <xdr:row>4</xdr:row>
      <xdr:rowOff>28863</xdr:rowOff>
    </xdr:from>
    <xdr:to>
      <xdr:col>15</xdr:col>
      <xdr:colOff>90481</xdr:colOff>
      <xdr:row>30</xdr:row>
      <xdr:rowOff>107765</xdr:rowOff>
    </xdr:to>
    <mc:AlternateContent xmlns:mc="http://schemas.openxmlformats.org/markup-compatibility/2006" xmlns:a14="http://schemas.microsoft.com/office/drawing/2010/main">
      <mc:Choice Requires="a14">
        <xdr:sp macro="" textlink="">
          <xdr:nvSpPr>
            <xdr:cNvPr id="45" name="Retângulo 9">
              <a:extLst>
                <a:ext uri="{FF2B5EF4-FFF2-40B4-BE49-F238E27FC236}">
                  <a16:creationId xmlns:a16="http://schemas.microsoft.com/office/drawing/2014/main" id="{00000000-0008-0000-1600-00002D000000}"/>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b="0" i="0">
                            <a:solidFill>
                              <a:schemeClr val="tx1"/>
                            </a:solidFill>
                            <a:latin typeface="Cambria Math" panose="02040503050406030204" pitchFamily="18" charset="0"/>
                            <a:cs typeface="Sora" pitchFamily="2" charset="0"/>
                          </a:rPr>
                          <m:t>N</m:t>
                        </m:r>
                        <m:r>
                          <a:rPr lang="pt-BR" sz="800" i="0">
                            <a:solidFill>
                              <a:schemeClr val="tx1"/>
                            </a:solidFill>
                            <a:latin typeface="Cambria Math" panose="02040503050406030204" pitchFamily="18" charset="0"/>
                            <a:cs typeface="Sora" pitchFamily="2" charset="0"/>
                          </a:rPr>
                          <m:t>ú</m:t>
                        </m:r>
                        <m:r>
                          <m:rPr>
                            <m:sty m:val="p"/>
                          </m:rPr>
                          <a:rPr lang="pt-BR" sz="800" b="0" i="0">
                            <a:solidFill>
                              <a:schemeClr val="tx1"/>
                            </a:solidFill>
                            <a:latin typeface="Cambria Math" panose="02040503050406030204" pitchFamily="18" charset="0"/>
                            <a:cs typeface="Sora" pitchFamily="2" charset="0"/>
                          </a:rPr>
                          <m:t>mero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de</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clientes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ativos</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no</m:t>
                        </m:r>
                        <m:r>
                          <a:rPr lang="pt-BR" sz="800" b="0" i="0">
                            <a:solidFill>
                              <a:schemeClr val="tx1"/>
                            </a:solidFill>
                            <a:latin typeface="Cambria Math" panose="02040503050406030204" pitchFamily="18" charset="0"/>
                            <a:cs typeface="Sora" pitchFamily="2" charset="0"/>
                          </a:rPr>
                          <m:t> </m:t>
                        </m:r>
                        <m:r>
                          <m:rPr>
                            <m:sty m:val="p"/>
                          </m:rPr>
                          <a:rPr lang="pt-BR" sz="800" b="0" i="0">
                            <a:solidFill>
                              <a:schemeClr val="tx1"/>
                            </a:solidFill>
                            <a:latin typeface="Cambria Math" panose="02040503050406030204" pitchFamily="18" charset="0"/>
                            <a:cs typeface="Sora" pitchFamily="2" charset="0"/>
                          </a:rPr>
                          <m:t>trimestre</m:t>
                        </m:r>
                        <m:r>
                          <a:rPr lang="pt-BR" sz="800" b="0" i="0">
                            <a:solidFill>
                              <a:schemeClr val="tx1"/>
                            </a:solidFill>
                            <a:latin typeface="Cambria Math" panose="02040503050406030204" pitchFamily="18" charset="0"/>
                            <a:cs typeface="Sora" pitchFamily="2" charset="0"/>
                          </a:rPr>
                          <m:t> </m:t>
                        </m:r>
                      </m:num>
                      <m:den>
                        <m:r>
                          <m:rPr>
                            <m:sty m:val="p"/>
                          </m:rPr>
                          <a:rPr lang="pt-BR" sz="800">
                            <a:latin typeface="Cambria Math" panose="02040503050406030204" pitchFamily="18" charset="0"/>
                            <a:cs typeface="Sora" pitchFamily="2" charset="0"/>
                          </a:rPr>
                          <m:t>N</m:t>
                        </m:r>
                        <m:r>
                          <a:rPr lang="pt-BR" sz="800">
                            <a:latin typeface="Cambria Math" panose="02040503050406030204" pitchFamily="18" charset="0"/>
                            <a:cs typeface="Sora" pitchFamily="2" charset="0"/>
                          </a:rPr>
                          <m:t>ú</m:t>
                        </m:r>
                        <m:r>
                          <m:rPr>
                            <m:sty m:val="p"/>
                          </m:rPr>
                          <a:rPr lang="pt-BR" sz="800">
                            <a:latin typeface="Cambria Math" panose="02040503050406030204" pitchFamily="18" charset="0"/>
                            <a:cs typeface="Sora" pitchFamily="2" charset="0"/>
                          </a:rPr>
                          <m:t>mero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total</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colaboradores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no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trimestre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estagi</m:t>
                        </m:r>
                        <m:r>
                          <a:rPr lang="pt-BR" sz="800">
                            <a:latin typeface="Cambria Math" panose="02040503050406030204" pitchFamily="18" charset="0"/>
                            <a:cs typeface="Sora" pitchFamily="2" charset="0"/>
                          </a:rPr>
                          <m:t>á</m:t>
                        </m:r>
                        <m:r>
                          <m:rPr>
                            <m:sty m:val="p"/>
                          </m:rPr>
                          <a:rPr lang="pt-BR" sz="800">
                            <a:latin typeface="Cambria Math" panose="02040503050406030204" pitchFamily="18" charset="0"/>
                            <a:cs typeface="Sora" pitchFamily="2" charset="0"/>
                          </a:rPr>
                          <m:t>rios</m:t>
                        </m:r>
                      </m:den>
                    </m:f>
                    <m:r>
                      <a:rPr lang="pt-BR" sz="800" b="0" i="0">
                        <a:solidFill>
                          <a:schemeClr val="tx1"/>
                        </a:solidFill>
                        <a:latin typeface="Cambria Math" panose="02040503050406030204" pitchFamily="18" charset="0"/>
                        <a:cs typeface="Sora" pitchFamily="2" charset="0"/>
                      </a:rPr>
                      <m:t> </m:t>
                    </m:r>
                  </m:oMath>
                </m:oMathPara>
              </a14:m>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bruta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pt-BR" sz="800" b="0" i="1" u="none" strike="noStrike" kern="1200" cap="none" spc="0" normalizeH="0" baseline="0">
                            <a:ln>
                              <a:noFill/>
                            </a:ln>
                            <a:solidFill>
                              <a:schemeClr val="tx1"/>
                            </a:solidFill>
                            <a:effectLst/>
                            <a:uLnTx/>
                            <a:uFillTx/>
                            <a:latin typeface="Cambria Math" panose="02040503050406030204" pitchFamily="18" charset="0"/>
                          </a:rPr>
                        </m:ctrlPr>
                      </m:fPr>
                      <m:num>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Receita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l</m:t>
                        </m:r>
                        <m:r>
                          <a:rPr kumimoji="0" lang="pt-BR" sz="800" b="0" i="0" u="none" strike="noStrike" kern="1200" cap="none" spc="0" normalizeH="0" baseline="0">
                            <a:ln>
                              <a:noFill/>
                            </a:ln>
                            <a:solidFill>
                              <a:schemeClr val="tx1"/>
                            </a:solidFill>
                            <a:effectLst/>
                            <a:uLnTx/>
                            <a:uFillTx/>
                            <a:latin typeface="Cambria Math" panose="02040503050406030204" pitchFamily="18" charset="0"/>
                          </a:rPr>
                          <m:t>í</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quida</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Inter</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Shop</m:t>
                        </m:r>
                      </m:num>
                      <m:den>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Volume</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transacionado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no</m:t>
                        </m:r>
                        <m:r>
                          <a:rPr kumimoji="0" lang="pt-BR" sz="800" b="0" i="0" u="none" strike="noStrike" kern="1200" cap="none" spc="0" normalizeH="0" baseline="0">
                            <a:ln>
                              <a:noFill/>
                            </a:ln>
                            <a:solidFill>
                              <a:schemeClr val="tx1"/>
                            </a:solidFill>
                            <a:effectLst/>
                            <a:uLnTx/>
                            <a:uFillTx/>
                            <a:latin typeface="Cambria Math" panose="02040503050406030204" pitchFamily="18" charset="0"/>
                          </a:rPr>
                          <m:t> </m:t>
                        </m:r>
                        <m:r>
                          <m:rPr>
                            <m:sty m:val="p"/>
                          </m:rPr>
                          <a:rPr kumimoji="0" lang="pt-BR" sz="800" b="0" i="0" u="none" strike="noStrike" kern="1200" cap="none" spc="0" normalizeH="0" baseline="0">
                            <a:ln>
                              <a:noFill/>
                            </a:ln>
                            <a:solidFill>
                              <a:schemeClr val="tx1"/>
                            </a:solidFill>
                            <a:effectLst/>
                            <a:uLnTx/>
                            <a:uFillTx/>
                            <a:latin typeface="Cambria Math" panose="02040503050406030204" pitchFamily="18" charset="0"/>
                          </a:rPr>
                          <m:t>Marketplace</m:t>
                        </m:r>
                      </m:den>
                    </m:f>
                  </m:oMath>
                </m:oMathPara>
              </a14:m>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5" name="Retângulo 9">
              <a:extLst>
                <a:ext uri="{FF2B5EF4-FFF2-40B4-BE49-F238E27FC236}">
                  <a16:creationId xmlns:a16="http://schemas.microsoft.com/office/drawing/2014/main" id="{48BBF3E4-0244-D8A6-4858-29E2132863B8}"/>
                </a:ext>
              </a:extLst>
            </xdr:cNvPr>
            <xdr:cNvSpPr/>
          </xdr:nvSpPr>
          <xdr:spPr>
            <a:xfrm>
              <a:off x="6741541" y="765095"/>
              <a:ext cx="5772853" cy="4864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solidFill>
                    <a:schemeClr val="tx1"/>
                  </a:solidFill>
                  <a:latin typeface="Calibri" panose="020F0502020204030204" pitchFamily="34" charset="0"/>
                  <a:cs typeface="Calibri" panose="020F0502020204030204" pitchFamily="34" charset="0"/>
                </a:rPr>
                <a:t>Clientes ativos:</a:t>
              </a:r>
            </a:p>
            <a:p>
              <a:pPr algn="just"/>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Nós definimos um cliente ativo como um cliente em qualquer data que foi a fonte de qualquer quantia de receita para nós nos últimos três meses e/ou um cliente que usou produtos nos últimos três meses. Para o Inter Seguros, calculamos o número de clientes ativos para a nossa vertical de corretagem de seguros como o número de beneficiários de apólices de seguro efetivas em uma determinada data. Para a Inter Invest, calculamos o número de clientes ativos como o número de contas individuais que investiram em nossa plataforma durante o período aplicável. </a:t>
              </a: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endParaRPr lang="en-US" sz="800" b="1">
                <a:solidFill>
                  <a:schemeClr val="tx1"/>
                </a:solidFill>
                <a:latin typeface="Calibri" panose="020F0502020204030204" pitchFamily="34" charset="0"/>
                <a:cs typeface="Calibri" panose="020F0502020204030204" pitchFamily="34" charset="0"/>
              </a:endParaRPr>
            </a:p>
            <a:p>
              <a:r>
                <a:rPr lang="en-US" sz="800" b="1">
                  <a:solidFill>
                    <a:schemeClr val="tx1"/>
                  </a:solidFill>
                  <a:latin typeface="Calibri" panose="020F0502020204030204" pitchFamily="34" charset="0"/>
                  <a:cs typeface="Calibri" panose="020F0502020204030204" pitchFamily="34" charset="0"/>
                </a:rPr>
                <a:t>Clientes ativos por colaborador:</a:t>
              </a:r>
            </a:p>
            <a:p>
              <a:endParaRPr lang="en-US" sz="800" b="1">
                <a:solidFill>
                  <a:schemeClr val="tx1"/>
                </a:solidFill>
                <a:latin typeface="Calibri" panose="020F0502020204030204" pitchFamily="34" charset="0"/>
                <a:cs typeface="Calibri" panose="020F0502020204030204" pitchFamily="34" charset="0"/>
              </a:endParaRPr>
            </a:p>
            <a:p>
              <a:pP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N</a:t>
              </a:r>
              <a:r>
                <a:rPr lang="pt-BR" sz="800" i="0">
                  <a:solidFill>
                    <a:schemeClr val="tx1"/>
                  </a:solidFill>
                  <a:latin typeface="Cambria Math" panose="02040503050406030204" pitchFamily="18" charset="0"/>
                  <a:cs typeface="Sora" pitchFamily="2" charset="0"/>
                </a:rPr>
                <a:t>ú</a:t>
              </a:r>
              <a:r>
                <a:rPr lang="pt-BR" sz="800" b="0" i="0">
                  <a:solidFill>
                    <a:schemeClr val="tx1"/>
                  </a:solidFill>
                  <a:latin typeface="Cambria Math" panose="02040503050406030204" pitchFamily="18" charset="0"/>
                  <a:cs typeface="Sora" pitchFamily="2" charset="0"/>
                </a:rPr>
                <a:t>mero de clientes ativos no trimestre </a:t>
              </a:r>
              <a:r>
                <a:rPr lang="en-US" sz="800" b="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Número total de colaboradores no trimestre, incluindo estagiários</a:t>
              </a:r>
              <a:r>
                <a:rPr lang="en-US" sz="800" i="0">
                  <a:solidFill>
                    <a:schemeClr val="tx1"/>
                  </a:solidFill>
                  <a:latin typeface="Cambria Math" panose="02040503050406030204" pitchFamily="18" charset="0"/>
                  <a:cs typeface="Sora" pitchFamily="2" charset="0"/>
                </a:rPr>
                <a:t>)</a:t>
              </a:r>
              <a:r>
                <a:rPr lang="pt-BR" sz="800" b="0" i="0">
                  <a:solidFill>
                    <a:schemeClr val="tx1"/>
                  </a:solidFill>
                  <a:latin typeface="Cambria Math" panose="02040503050406030204" pitchFamily="18" charset="0"/>
                  <a:cs typeface="Sora" pitchFamily="2" charset="0"/>
                </a:rPr>
                <a:t>  </a:t>
              </a: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Custo de aquisição de cliente (CAC):</a:t>
              </a:r>
            </a:p>
            <a:p>
              <a:pPr marL="0" marR="0" lvl="0" indent="0" algn="just" defTabSz="457200" rtl="0" eaLnBrk="1" fontAlgn="auto" latinLnBrk="0" hangingPunct="1">
                <a:lnSpc>
                  <a:spcPct val="100000"/>
                </a:lnSpc>
                <a:spcBef>
                  <a:spcPts val="0"/>
                </a:spcBef>
                <a:spcAft>
                  <a:spcPts val="0"/>
                </a:spcAft>
                <a:buClrTx/>
                <a:buSzTx/>
                <a:buFontTx/>
                <a:buNone/>
                <a:tabLst/>
                <a:defRPr/>
              </a:pP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O custo médio para adicionar um cliente à base, considerando as despesas operacionais para abertura de conta</a:t>
              </a:r>
              <a:r>
                <a:rPr lang="en-US" sz="800">
                  <a:solidFill>
                    <a:schemeClr val="tx1"/>
                  </a:solidFill>
                  <a:latin typeface="Calibri" panose="020F0502020204030204" pitchFamily="34" charset="0"/>
                  <a:ea typeface="Inter Light BETA" panose="020B0402030000000004" pitchFamily="34" charset="0"/>
                  <a:cs typeface="Calibri" panose="020F0502020204030204" pitchFamily="34" charset="0"/>
                </a:rPr>
                <a:t>, </a:t>
              </a:r>
              <a:r>
                <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rPr>
                <a:t>como pessoal de integração, gravação e envio de cartões, e despesas de marketing digital com foco na captação de clientes dividido pelo número de contas abertas no trimestre.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i="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Gross Take Rate:</a:t>
              </a: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bruta Inter Shop)/(Volume transacionado no Marketplace)</a:t>
              </a: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schemeClr val="tx1"/>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rPr>
                <a:t>Net Take Rate:</a:t>
              </a: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pt-BR" sz="800" b="0" i="0" u="none" strike="noStrike" kern="1200" cap="none" spc="0" normalizeH="0" baseline="0">
                  <a:ln>
                    <a:noFill/>
                  </a:ln>
                  <a:solidFill>
                    <a:schemeClr val="tx1"/>
                  </a:solidFill>
                  <a:effectLst/>
                  <a:uLnTx/>
                  <a:uFillTx/>
                  <a:latin typeface="Cambria Math" panose="02040503050406030204" pitchFamily="18" charset="0"/>
                </a:rPr>
                <a:t>(Receita líquida Inter Shop)/(Volume transacionado no Marketplace)</a:t>
              </a:r>
              <a:endParaRPr kumimoji="0" lang="pt-BR" sz="800" b="0" u="none" strike="noStrike" kern="1200" cap="none" spc="0" normalizeH="0" baseline="0">
                <a:ln>
                  <a:noFill/>
                </a:ln>
                <a:solidFill>
                  <a:schemeClr val="tx1"/>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0" u="none" strike="noStrike" kern="1200" cap="none" spc="0" normalizeH="0" baseline="0">
                <a:ln>
                  <a:noFill/>
                </a:ln>
                <a:solidFill>
                  <a:schemeClr val="tx1"/>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135271</xdr:colOff>
      <xdr:row>27</xdr:row>
      <xdr:rowOff>173182</xdr:rowOff>
    </xdr:from>
    <xdr:to>
      <xdr:col>15</xdr:col>
      <xdr:colOff>111553</xdr:colOff>
      <xdr:row>47</xdr:row>
      <xdr:rowOff>78418</xdr:rowOff>
    </xdr:to>
    <mc:AlternateContent xmlns:mc="http://schemas.openxmlformats.org/markup-compatibility/2006" xmlns:a14="http://schemas.microsoft.com/office/drawing/2010/main">
      <mc:Choice Requires="a14">
        <xdr:sp macro="" textlink="">
          <xdr:nvSpPr>
            <xdr:cNvPr id="46" name="Retângulo 9">
              <a:extLst>
                <a:ext uri="{FF2B5EF4-FFF2-40B4-BE49-F238E27FC236}">
                  <a16:creationId xmlns:a16="http://schemas.microsoft.com/office/drawing/2014/main" id="{00000000-0008-0000-1600-00002E000000}"/>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m:rPr>
                            <m:sty m:val="p"/>
                          </m:rPr>
                          <a:rPr lang="pt-BR" sz="800" i="0">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num>
                      <m:den>
                        <m:r>
                          <m:rPr>
                            <m:sty m:val="p"/>
                          </m:rPr>
                          <a:rPr lang="pt-BR" sz="800" i="0">
                            <a:solidFill>
                              <a:schemeClr val="tx1"/>
                            </a:solidFill>
                            <a:latin typeface="Cambria Math" panose="02040503050406030204" pitchFamily="18" charset="0"/>
                            <a:cs typeface="Sora" pitchFamily="2" charset="0"/>
                          </a:rPr>
                          <m:t>N</m:t>
                        </m:r>
                        <m:r>
                          <a:rPr lang="pt-BR" sz="800" i="0">
                            <a:latin typeface="Cambria Math" panose="02040503050406030204" pitchFamily="18" charset="0"/>
                            <a:cs typeface="Sora" pitchFamily="2" charset="0"/>
                          </a:rPr>
                          <m:t>ú</m:t>
                        </m:r>
                        <m:r>
                          <m:rPr>
                            <m:sty m:val="p"/>
                          </m:rPr>
                          <a:rPr lang="pt-BR" sz="800" b="0" i="0">
                            <a:latin typeface="Cambria Math" panose="02040503050406030204" pitchFamily="18" charset="0"/>
                            <a:cs typeface="Sora" pitchFamily="2" charset="0"/>
                          </a:rPr>
                          <m:t>mero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no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final</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den>
                    </m:f>
                  </m:oMath>
                </m:oMathPara>
              </a14:m>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Choice>
      <mc:Fallback xmlns="">
        <xdr:sp macro="" textlink="">
          <xdr:nvSpPr>
            <xdr:cNvPr id="46" name="Retângulo 9">
              <a:extLst>
                <a:ext uri="{FF2B5EF4-FFF2-40B4-BE49-F238E27FC236}">
                  <a16:creationId xmlns:a16="http://schemas.microsoft.com/office/drawing/2014/main" id="{33500F7D-DE20-3699-A953-DA8ABAFC9F69}"/>
                </a:ext>
              </a:extLst>
            </xdr:cNvPr>
            <xdr:cNvSpPr/>
          </xdr:nvSpPr>
          <xdr:spPr>
            <a:xfrm>
              <a:off x="6831635" y="5628409"/>
              <a:ext cx="5835600" cy="394614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Taxa de ativação:</a:t>
              </a:r>
            </a:p>
            <a:p>
              <a:pPr algn="just"/>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Nú</a:t>
              </a:r>
              <a:r>
                <a:rPr lang="pt-BR" sz="800" b="0" i="0">
                  <a:latin typeface="Cambria Math" panose="02040503050406030204" pitchFamily="18" charset="0"/>
                  <a:cs typeface="Sora" pitchFamily="2" charset="0"/>
                </a:rPr>
                <a:t>mero de clientes ativos no final do trimestre</a:t>
              </a:r>
              <a:r>
                <a:rPr lang="en-US" sz="800" b="0" i="0">
                  <a:solidFill>
                    <a:schemeClr val="tx1"/>
                  </a:solidFill>
                  <a:latin typeface="Cambria Math" panose="02040503050406030204" pitchFamily="18" charset="0"/>
                  <a:cs typeface="Sora" pitchFamily="2" charset="0"/>
                </a:rPr>
                <a:t>)/(</a:t>
              </a:r>
              <a:r>
                <a:rPr lang="pt-BR" sz="800" i="0">
                  <a:solidFill>
                    <a:schemeClr val="tx1"/>
                  </a:solidFill>
                  <a:latin typeface="Cambria Math" panose="02040503050406030204" pitchFamily="18" charset="0"/>
                  <a:cs typeface="Sora" pitchFamily="2" charset="0"/>
                </a:rPr>
                <a:t>N</a:t>
              </a:r>
              <a:r>
                <a:rPr lang="pt-BR" sz="800" i="0">
                  <a:latin typeface="Cambria Math" panose="02040503050406030204" pitchFamily="18" charset="0"/>
                  <a:cs typeface="Sora" pitchFamily="2" charset="0"/>
                </a:rPr>
                <a:t>ú</a:t>
              </a:r>
              <a:r>
                <a:rPr lang="pt-BR" sz="800" b="0" i="0">
                  <a:latin typeface="Cambria Math" panose="02040503050406030204" pitchFamily="18" charset="0"/>
                  <a:cs typeface="Sora" pitchFamily="2" charset="0"/>
                </a:rPr>
                <a:t>mero total de clientes no final do trimestre</a:t>
              </a:r>
              <a:r>
                <a:rPr lang="en-US" sz="800" b="0" i="0">
                  <a:solidFill>
                    <a:schemeClr val="tx1"/>
                  </a:solidFill>
                  <a:latin typeface="Cambria Math" panose="02040503050406030204" pitchFamily="18" charset="0"/>
                  <a:cs typeface="Sora" pitchFamily="2" charset="0"/>
                </a:rPr>
                <a:t>)</a:t>
              </a:r>
              <a:endParaRPr kumimoji="0" lang="en-US" sz="800" b="1"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lang="en-US" sz="800" b="1">
                  <a:solidFill>
                    <a:prstClr val="black"/>
                  </a:solidFill>
                  <a:latin typeface="Calibri" panose="020F0502020204030204" pitchFamily="34" charset="0"/>
                  <a:cs typeface="Calibri" panose="020F0502020204030204" pitchFamily="34" charset="0"/>
                </a:rPr>
                <a:t>T</a:t>
              </a: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PV de Cartões + PIX:</a:t>
              </a:r>
            </a:p>
            <a:p>
              <a:pPr algn="just"/>
              <a:r>
                <a:rPr lang="en-US" sz="800">
                  <a:latin typeface="Calibri" panose="020F0502020204030204" pitchFamily="34" charset="0"/>
                  <a:ea typeface="Inter Light BETA" panose="020B0402030000000004" pitchFamily="34" charset="0"/>
                  <a:cs typeface="Calibri" panose="020F0502020204030204" pitchFamily="34" charset="0"/>
                </a:rPr>
                <a:t>Volumes de transações PIX, débito e crédito e saques de um determinado período. O PIX é uma solução do Banco Central do Brasil para realizar pagamentos instantâneos entre bancos e instituições financeiras no Brasil.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lumMod val="85000"/>
                    <a:lumOff val="15000"/>
                  </a:prstClr>
                </a:solidFill>
                <a:effectLst/>
                <a:uLnTx/>
                <a:uFillTx/>
                <a:latin typeface="Calibri" panose="020F0502020204030204" pitchFamily="34" charset="0"/>
                <a:ea typeface="Inter Light BETA" panose="020B04020300000000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algn="just"/>
              <a:endParaRPr lang="en-US" sz="800" b="1">
                <a:solidFill>
                  <a:prstClr val="black"/>
                </a:solidFill>
                <a:latin typeface="Calibri" panose="020F0502020204030204" pitchFamily="34" charset="0"/>
                <a:cs typeface="Calibri" panose="020F0502020204030204" pitchFamily="34" charset="0"/>
              </a:endParaRPr>
            </a:p>
            <a:p>
              <a:pPr algn="just"/>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TPV de Cartões + PIX por cliente ativo:</a:t>
              </a:r>
            </a:p>
            <a:p>
              <a:pPr algn="just"/>
              <a:r>
                <a:rPr lang="en-US" sz="800">
                  <a:latin typeface="Calibri" panose="020F0502020204030204" pitchFamily="34" charset="0"/>
                  <a:ea typeface="Inter Light BETA" panose="020B0402030000000004" pitchFamily="34" charset="0"/>
                  <a:cs typeface="Calibri" panose="020F0502020204030204" pitchFamily="34" charset="0"/>
                </a:rPr>
                <a:t>TPV de Cartões+PIX de um determinado período dividido pelo número de clientes ativos referente ao último dia do período. </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800" b="1">
                <a:solidFill>
                  <a:prstClr val="black"/>
                </a:solidFill>
                <a:latin typeface="Calibri" panose="020F0502020204030204" pitchFamily="34" charset="0"/>
                <a:cs typeface="Calibri" panose="020F0502020204030204" pitchFamily="34" charset="0"/>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rPr>
                <a:t>Volume transacionado no marketplace (GMV):</a:t>
              </a:r>
            </a:p>
            <a:p>
              <a:pPr algn="just"/>
              <a:r>
                <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rPr>
                <a:t>O valor total de todas as vendas feitas ou iniciadas por meio de nossa plataforma Inter Shop &amp; Commerce Plus, gerenciada pela Inter Shop &amp; Commerce Plus.</a:t>
              </a:r>
              <a:endParaRPr kumimoji="0" lang="en-US" sz="800" b="1" i="0" u="none" strike="noStrike" kern="1200" cap="none" spc="0" normalizeH="0" baseline="0">
                <a:ln>
                  <a:noFill/>
                </a:ln>
                <a:solidFill>
                  <a:prstClr val="black"/>
                </a:solidFill>
                <a:effectLst/>
                <a:uLnTx/>
                <a:uFillTx/>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86591</xdr:colOff>
      <xdr:row>52</xdr:row>
      <xdr:rowOff>57727</xdr:rowOff>
    </xdr:from>
    <xdr:to>
      <xdr:col>15</xdr:col>
      <xdr:colOff>61618</xdr:colOff>
      <xdr:row>80</xdr:row>
      <xdr:rowOff>144512</xdr:rowOff>
    </xdr:to>
    <mc:AlternateContent xmlns:mc="http://schemas.openxmlformats.org/markup-compatibility/2006" xmlns:a14="http://schemas.microsoft.com/office/drawing/2010/main">
      <mc:Choice Requires="a14">
        <xdr:sp macro="" textlink="">
          <xdr:nvSpPr>
            <xdr:cNvPr id="47" name="Retângulo 9">
              <a:extLst>
                <a:ext uri="{FF2B5EF4-FFF2-40B4-BE49-F238E27FC236}">
                  <a16:creationId xmlns:a16="http://schemas.microsoft.com/office/drawing/2014/main" id="{00000000-0008-0000-1600-00002F000000}"/>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eqArr>
                          <m:eqArrPr>
                            <m:ctrlPr>
                              <a:rPr lang="en-US" sz="800" i="1">
                                <a:latin typeface="Cambria Math" panose="02040503050406030204" pitchFamily="18" charset="0"/>
                                <a:cs typeface="Sora" pitchFamily="2" charset="0"/>
                              </a:rPr>
                            </m:ctrlPr>
                          </m:eqArrPr>
                          <m:e>
                            <m:r>
                              <m:rPr>
                                <m:sty m:val="p"/>
                              </m:rPr>
                              <a:rPr lang="en-US" sz="800">
                                <a:latin typeface="Cambria Math" panose="02040503050406030204" pitchFamily="18" charset="0"/>
                                <a:cs typeface="Sora" pitchFamily="2" charset="0"/>
                              </a:rPr>
                              <m:t>Receita</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juros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servi</m:t>
                            </m:r>
                            <m:r>
                              <a:rPr lang="en-US" sz="800">
                                <a:latin typeface="Cambria Math" panose="02040503050406030204" pitchFamily="18" charset="0"/>
                                <a:cs typeface="Sora" pitchFamily="2" charset="0"/>
                              </a:rPr>
                              <m:t>ç</m:t>
                            </m:r>
                            <m:r>
                              <m:rPr>
                                <m:sty m:val="p"/>
                              </m:rPr>
                              <a:rPr lang="en-US" sz="800">
                                <a:latin typeface="Cambria Math" panose="02040503050406030204" pitchFamily="18" charset="0"/>
                                <a:cs typeface="Sora" pitchFamily="2" charset="0"/>
                              </a:rPr>
                              <m:t>os</m:t>
                            </m:r>
                            <m:r>
                              <a:rPr lang="pt-BR"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comiss</m:t>
                            </m:r>
                            <m:r>
                              <a:rPr lang="en-US" sz="800">
                                <a:latin typeface="Cambria Math" panose="02040503050406030204" pitchFamily="18" charset="0"/>
                                <a:cs typeface="Sora" pitchFamily="2" charset="0"/>
                              </a:rPr>
                              <m:t>õ</m:t>
                            </m:r>
                            <m:r>
                              <m:rPr>
                                <m:sty m:val="p"/>
                              </m:rPr>
                              <a:rPr lang="en-US" sz="800">
                                <a:latin typeface="Cambria Math" panose="02040503050406030204" pitchFamily="18" charset="0"/>
                                <a:cs typeface="Sora" pitchFamily="2" charset="0"/>
                              </a:rPr>
                              <m:t>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Despesas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cashback</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InterRewards</m:t>
                            </m:r>
                            <m:r>
                              <m:rPr>
                                <m:nor/>
                              </m:rPr>
                              <a:rPr lang="pt-BR" sz="800">
                                <a:latin typeface="Calibri" panose="020F0502020204030204" pitchFamily="34" charset="0"/>
                                <a:cs typeface="Calibri" panose="020F0502020204030204" pitchFamily="34" charset="0"/>
                              </a:rPr>
                              <m:t>) </m:t>
                            </m:r>
                            <m:r>
                              <a:rPr lang="pt-BR" sz="800" i="1">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e>
                          <m:e>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Outras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receitas</m:t>
                            </m:r>
                            <m:r>
                              <a:rPr lang="en-US" sz="800">
                                <a:latin typeface="Cambria Math" panose="02040503050406030204" pitchFamily="18" charset="0"/>
                                <a:cs typeface="Sora" pitchFamily="2" charset="0"/>
                              </a:rPr>
                              <m:t> ÷3</m:t>
                            </m:r>
                            <m:r>
                              <m:rPr>
                                <m:nor/>
                              </m:rPr>
                              <a:rPr lang="pt-BR" sz="800">
                                <a:latin typeface="Calibri" panose="020F0502020204030204" pitchFamily="34" charset="0"/>
                                <a:cs typeface="Calibri" panose="020F0502020204030204" pitchFamily="34" charset="0"/>
                              </a:rPr>
                              <m:t> </m:t>
                            </m:r>
                          </m:e>
                        </m:eqArr>
                      </m:num>
                      <m:den>
                        <m:r>
                          <m:rPr>
                            <m:sty m:val="p"/>
                          </m:rPr>
                          <a:rPr lang="pt-BR" sz="800" b="0" i="0">
                            <a:solidFill>
                              <a:schemeClr val="tx1"/>
                            </a:solidFill>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dia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ativos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dos</m:t>
                        </m:r>
                        <m:r>
                          <a:rPr lang="pt-BR" sz="800" b="0" i="0">
                            <a:latin typeface="Cambria Math" panose="02040503050406030204" pitchFamily="18" charset="0"/>
                            <a:cs typeface="Sora" pitchFamily="2" charset="0"/>
                          </a:rPr>
                          <m:t> ú</m:t>
                        </m:r>
                        <m:r>
                          <m:rPr>
                            <m:sty m:val="p"/>
                          </m:rPr>
                          <a:rPr lang="pt-BR" sz="800" b="0" i="0">
                            <a:latin typeface="Cambria Math" panose="02040503050406030204" pitchFamily="18" charset="0"/>
                            <a:cs typeface="Sora" pitchFamily="2" charset="0"/>
                          </a:rPr>
                          <m:t>ltimos</m:t>
                        </m:r>
                        <m:r>
                          <a:rPr lang="pt-BR" sz="800" b="0" i="0">
                            <a:latin typeface="Cambria Math" panose="02040503050406030204" pitchFamily="18" charset="0"/>
                            <a:cs typeface="Sora" pitchFamily="2" charset="0"/>
                          </a:rPr>
                          <m:t> 2 </m:t>
                        </m:r>
                        <m:r>
                          <m:rPr>
                            <m:sty m:val="p"/>
                          </m:rPr>
                          <a:rPr lang="pt-BR" sz="800" b="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14:m>
                <m:oMathPara xmlns:m="http://schemas.openxmlformats.org/officeDocument/2006/math">
                  <m:oMathParaPr>
                    <m:jc m:val="centerGroup"/>
                  </m:oMathParaPr>
                  <m:oMath xmlns:m="http://schemas.openxmlformats.org/officeDocument/2006/math">
                    <m:f>
                      <m:fPr>
                        <m:ctrlPr>
                          <a:rPr lang="en-US" sz="800" i="1">
                            <a:solidFill>
                              <a:schemeClr val="tx1"/>
                            </a:solidFill>
                            <a:latin typeface="Cambria Math" panose="02040503050406030204" pitchFamily="18" charset="0"/>
                            <a:cs typeface="Sora" pitchFamily="2" charset="0"/>
                          </a:rPr>
                        </m:ctrlPr>
                      </m:fPr>
                      <m:num>
                        <m:r>
                          <a:rPr lang="en-US" sz="800" i="0">
                            <a:latin typeface="Cambria Math" panose="02040503050406030204" pitchFamily="18" charset="0"/>
                            <a:cs typeface="Sora" pitchFamily="2" charset="0"/>
                          </a:rPr>
                          <m:t>(</m:t>
                        </m:r>
                        <m:r>
                          <m:rPr>
                            <m:sty m:val="p"/>
                          </m:rPr>
                          <a:rPr lang="en-US" sz="800">
                            <a:latin typeface="Cambria Math" panose="02040503050406030204" pitchFamily="18" charset="0"/>
                            <a:cs typeface="Sora" pitchFamily="2" charset="0"/>
                          </a:rPr>
                          <m:t>Receita</m:t>
                        </m:r>
                        <m:r>
                          <m:rPr>
                            <m:sty m:val="p"/>
                          </m:rPr>
                          <a:rPr lang="pt-BR" sz="800" b="0" i="0">
                            <a:latin typeface="Cambria Math" panose="02040503050406030204" pitchFamily="18" charset="0"/>
                            <a:cs typeface="Sora" pitchFamily="2" charset="0"/>
                          </a:rPr>
                          <m:t>s</m:t>
                        </m:r>
                        <m:r>
                          <a:rPr lang="pt-BR" sz="800" b="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despesas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de</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juros</m:t>
                        </m:r>
                        <m:r>
                          <a:rPr lang="en-US" sz="800" i="0">
                            <a:latin typeface="Cambria Math" panose="02040503050406030204" pitchFamily="18" charset="0"/>
                            <a:cs typeface="Sora" pitchFamily="2" charset="0"/>
                          </a:rPr>
                          <m:t>)÷3</m:t>
                        </m:r>
                      </m:num>
                      <m:den>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ativos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den>
                    </m:f>
                  </m:oMath>
                </m:oMathPara>
              </a14:m>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
                  </m:oMathParaPr>
                  <m:oMath xmlns:m="http://schemas.openxmlformats.org/officeDocument/2006/math">
                    <m:r>
                      <m:rPr>
                        <m:sty m:val="p"/>
                      </m:rPr>
                      <a:rPr lang="en-US" sz="800" b="0" i="0">
                        <a:latin typeface="Cambria Math" panose="02040503050406030204" pitchFamily="18" charset="0"/>
                        <a:cs typeface="Sora" pitchFamily="2" charset="0"/>
                      </a:rPr>
                      <m:t>Empr</m:t>
                    </m:r>
                    <m:r>
                      <a:rPr lang="en-US" sz="800" b="0" i="0">
                        <a:latin typeface="Cambria Math" panose="02040503050406030204" pitchFamily="18" charset="0"/>
                        <a:cs typeface="Sora" pitchFamily="2" charset="0"/>
                      </a:rPr>
                      <m:t>é</m:t>
                    </m:r>
                    <m:r>
                      <m:rPr>
                        <m:sty m:val="p"/>
                      </m:rPr>
                      <a:rPr lang="en-US" sz="800" b="0" i="0">
                        <a:latin typeface="Cambria Math" panose="02040503050406030204" pitchFamily="18" charset="0"/>
                        <a:cs typeface="Sora" pitchFamily="2" charset="0"/>
                      </a:rPr>
                      <m:t>stimos</m:t>
                    </m:r>
                    <m:r>
                      <a:rPr lang="en-US" sz="800" b="0" i="0">
                        <a:latin typeface="Cambria Math" panose="02040503050406030204" pitchFamily="18" charset="0"/>
                        <a:cs typeface="Sora" pitchFamily="2" charset="0"/>
                      </a:rPr>
                      <m:t> </m:t>
                    </m:r>
                    <m:r>
                      <m:rPr>
                        <m:sty m:val="p"/>
                      </m:rPr>
                      <a:rPr lang="en-US"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adiantamentos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m:t>
                    </m:r>
                    <m:r>
                      <m:rPr>
                        <m:sty m:val="p"/>
                      </m:rPr>
                      <a:rPr lang="pt-BR" sz="800" b="0" i="0">
                        <a:latin typeface="Cambria Math" panose="02040503050406030204" pitchFamily="18" charset="0"/>
                        <a:cs typeface="Sora" pitchFamily="2" charset="0"/>
                      </a:rPr>
                      <m:t>Empr</m:t>
                    </m:r>
                    <m:r>
                      <a:rPr lang="pt-BR" sz="800" b="0" i="0">
                        <a:latin typeface="Cambria Math" panose="02040503050406030204" pitchFamily="18" charset="0"/>
                        <a:cs typeface="Sora" pitchFamily="2" charset="0"/>
                      </a:rPr>
                      <m:t>é</m:t>
                    </m:r>
                    <m:r>
                      <m:rPr>
                        <m:sty m:val="p"/>
                      </m:rPr>
                      <a:rPr lang="pt-BR" sz="800" b="0" i="0">
                        <a:latin typeface="Cambria Math" panose="02040503050406030204" pitchFamily="18" charset="0"/>
                        <a:cs typeface="Sora" pitchFamily="2" charset="0"/>
                      </a:rPr>
                      <m:t>stimos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institui</m:t>
                    </m:r>
                    <m:r>
                      <a:rPr lang="pt-BR" sz="800" b="0" i="0">
                        <a:latin typeface="Cambria Math" panose="02040503050406030204" pitchFamily="18" charset="0"/>
                        <a:cs typeface="Sora" pitchFamily="2" charset="0"/>
                      </a:rPr>
                      <m:t>çõ</m:t>
                    </m:r>
                    <m:r>
                      <m:rPr>
                        <m:sty m:val="p"/>
                      </m:rPr>
                      <a:rPr lang="pt-BR" sz="800" b="0" i="0">
                        <a:latin typeface="Cambria Math" panose="02040503050406030204" pitchFamily="18" charset="0"/>
                        <a:cs typeface="Sora" pitchFamily="2" charset="0"/>
                      </a:rPr>
                      <m: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financeiras</m:t>
                    </m:r>
                  </m:oMath>
                </m:oMathPara>
              </a14:m>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institui</m:t>
                    </m:r>
                    <m:r>
                      <a:rPr lang="en-US" sz="800" i="1">
                        <a:latin typeface="Cambria Math" panose="02040503050406030204" pitchFamily="18" charset="0"/>
                        <a:cs typeface="Sora" pitchFamily="2" charset="0"/>
                      </a:rPr>
                      <m:t>çõ</m:t>
                    </m:r>
                    <m:r>
                      <m:rPr>
                        <m:sty m:val="p"/>
                      </m:rPr>
                      <a:rPr lang="en-US" sz="800" i="1">
                        <a:latin typeface="Cambria Math" panose="02040503050406030204" pitchFamily="18" charset="0"/>
                        <a:cs typeface="Sora" pitchFamily="2" charset="0"/>
                      </a:rPr>
                      <m: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T</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tulos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valores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mobili</m:t>
                    </m:r>
                    <m:r>
                      <a:rPr lang="en-US" sz="800" i="1">
                        <a:latin typeface="Cambria Math" panose="02040503050406030204" pitchFamily="18" charset="0"/>
                        <a:cs typeface="Sora" pitchFamily="2" charset="0"/>
                      </a:rPr>
                      <m:t>á</m:t>
                    </m:r>
                    <m:r>
                      <m:rPr>
                        <m:sty m:val="p"/>
                      </m:rPr>
                      <a:rPr lang="en-US" sz="800" i="1">
                        <a:latin typeface="Cambria Math" panose="02040503050406030204" pitchFamily="18" charset="0"/>
                        <a:cs typeface="Sora" pitchFamily="2" charset="0"/>
                      </a:rPr>
                      <m:t>rios</m:t>
                    </m:r>
                    <m:r>
                      <a:rPr lang="en-US" sz="800" i="1">
                        <a:latin typeface="Cambria Math" panose="02040503050406030204" pitchFamily="18" charset="0"/>
                        <a:cs typeface="Sora" pitchFamily="2" charset="0"/>
                      </a:rPr>
                      <m:t>+</m:t>
                    </m:r>
                    <m:r>
                      <m:rPr>
                        <m:sty m:val="p"/>
                      </m:rPr>
                      <a:rPr lang="en-US" sz="800" i="1">
                        <a:latin typeface="Cambria Math" panose="02040503050406030204" pitchFamily="18" charset="0"/>
                        <a:cs typeface="Sora" pitchFamily="2" charset="0"/>
                      </a:rPr>
                      <m:t>Empr</m:t>
                    </m:r>
                    <m:r>
                      <a:rPr lang="en-US" sz="800" i="1">
                        <a:latin typeface="Cambria Math" panose="02040503050406030204" pitchFamily="18" charset="0"/>
                        <a:cs typeface="Sora" pitchFamily="2" charset="0"/>
                      </a:rPr>
                      <m:t>é</m:t>
                    </m:r>
                    <m:r>
                      <m:rPr>
                        <m:sty m:val="p"/>
                      </m:rPr>
                      <a:rPr lang="en-US" sz="800" i="1">
                        <a:latin typeface="Cambria Math" panose="02040503050406030204" pitchFamily="18" charset="0"/>
                        <a:cs typeface="Sora" pitchFamily="2" charset="0"/>
                      </a:rPr>
                      <m:t>stimos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adiantamentos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clientes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l</m:t>
                    </m:r>
                    <m:r>
                      <a:rPr lang="en-US" sz="800" i="1">
                        <a:latin typeface="Cambria Math" panose="02040503050406030204" pitchFamily="18" charset="0"/>
                        <a:cs typeface="Sora" pitchFamily="2" charset="0"/>
                      </a:rPr>
                      <m:t>í</m:t>
                    </m:r>
                    <m:r>
                      <m:rPr>
                        <m:sty m:val="p"/>
                      </m:rPr>
                      <a:rPr lang="en-US" sz="800" i="1">
                        <a:latin typeface="Cambria Math" panose="02040503050406030204" pitchFamily="18" charset="0"/>
                        <a:cs typeface="Sora" pitchFamily="2" charset="0"/>
                      </a:rPr>
                      <m:t>quidos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provis</m:t>
                    </m:r>
                    <m:r>
                      <a:rPr lang="en-US" sz="800" i="1">
                        <a:latin typeface="Cambria Math" panose="02040503050406030204" pitchFamily="18" charset="0"/>
                        <a:cs typeface="Sora" pitchFamily="2" charset="0"/>
                      </a:rPr>
                      <m:t>ã</m:t>
                    </m:r>
                    <m:r>
                      <m:rPr>
                        <m:sty m:val="p"/>
                      </m:rPr>
                      <a:rPr lang="en-US" sz="800" i="1">
                        <a:latin typeface="Cambria Math" panose="02040503050406030204" pitchFamily="18" charset="0"/>
                        <a:cs typeface="Sora" pitchFamily="2" charset="0"/>
                      </a:rPr>
                      <m:t>o</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para</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perdas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esperadas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Instrumentos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financeiros</m:t>
                    </m:r>
                    <m:r>
                      <a:rPr lang="en-US" sz="800" i="1">
                        <a:latin typeface="Cambria Math" panose="02040503050406030204" pitchFamily="18" charset="0"/>
                        <a:cs typeface="Sora" pitchFamily="2" charset="0"/>
                      </a:rPr>
                      <m:t> </m:t>
                    </m:r>
                    <m:r>
                      <m:rPr>
                        <m:sty m:val="p"/>
                      </m:rPr>
                      <a:rPr lang="en-US" sz="800" i="1">
                        <a:latin typeface="Cambria Math" panose="02040503050406030204" pitchFamily="18" charset="0"/>
                        <a:cs typeface="Sora" pitchFamily="2" charset="0"/>
                      </a:rPr>
                      <m:t>derivativos</m:t>
                    </m:r>
                  </m:oMath>
                </m:oMathPara>
              </a14:m>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Choice>
      <mc:Fallback xmlns="">
        <xdr:sp macro="" textlink="">
          <xdr:nvSpPr>
            <xdr:cNvPr id="47" name="Retângulo 9">
              <a:extLst>
                <a:ext uri="{FF2B5EF4-FFF2-40B4-BE49-F238E27FC236}">
                  <a16:creationId xmlns:a16="http://schemas.microsoft.com/office/drawing/2014/main" id="{7B6548DB-49D2-8B13-2D86-C9DAEC78AA0E}"/>
                </a:ext>
              </a:extLst>
            </xdr:cNvPr>
            <xdr:cNvSpPr/>
          </xdr:nvSpPr>
          <xdr:spPr>
            <a:xfrm>
              <a:off x="6712678" y="9628741"/>
              <a:ext cx="5772853" cy="52404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800" b="1">
                  <a:latin typeface="Calibri" panose="020F0502020204030204" pitchFamily="34" charset="0"/>
                  <a:cs typeface="Calibri" panose="020F0502020204030204" pitchFamily="34" charset="0"/>
                </a:rPr>
                <a:t>Antecipação de recebíveis de cartão de crédito:</a:t>
              </a:r>
            </a:p>
            <a:p>
              <a:pPr algn="just"/>
              <a:r>
                <a:rPr lang="pt-BR" sz="800">
                  <a:latin typeface="Calibri" panose="020F0502020204030204" pitchFamily="34" charset="0"/>
                  <a:ea typeface="Inter" panose="020B0502030000000004" pitchFamily="34" charset="0"/>
                  <a:cs typeface="Calibri" panose="020F0502020204030204" pitchFamily="34" charset="0"/>
                </a:rPr>
                <a:t>Divulgados na nota 9.a das Demonstrações Financeiras, na linha "Empréstimos e adiantamentos a instituições financeiras”.</a:t>
              </a: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bruto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latin typeface="Cambria Math" panose="02040503050406030204" pitchFamily="18" charset="0"/>
                  <a:cs typeface="Sora" pitchFamily="2" charset="0"/>
                </a:rPr>
                <a:t>█(Receita de juros +(Receitas de serviços</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e comissões− Despesas de cashback</a:t>
              </a:r>
              <a:r>
                <a:rPr lang="pt-BR" sz="800" i="0">
                  <a:latin typeface="Cambria Math" panose="02040503050406030204" pitchFamily="18" charset="0"/>
                  <a:cs typeface="Sora" pitchFamily="2" charset="0"/>
                </a:rPr>
                <a:t> −InterRewards"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 mobiliários</a:t>
              </a:r>
              <a:r>
                <a:rPr lang="pt-BR" sz="800" i="0">
                  <a:latin typeface="Cambria Math" panose="02040503050406030204" pitchFamily="18" charset="0"/>
                  <a:cs typeface="Sora" pitchFamily="2" charset="0"/>
                </a:rPr>
                <a:t> e derivativos+</a:t>
              </a:r>
              <a:r>
                <a:rPr lang="en-US" sz="800" i="0">
                  <a:latin typeface="Cambria Math" panose="02040503050406030204" pitchFamily="18" charset="0"/>
                  <a:cs typeface="Sora" pitchFamily="2" charset="0"/>
                </a:rPr>
                <a:t>Outras receitas ÷3</a:t>
              </a:r>
              <a:r>
                <a:rPr lang="pt-BR" sz="800" i="0">
                  <a:latin typeface="Cambria Math" panose="02040503050406030204" pitchFamily="18" charset="0"/>
                  <a:cs typeface="Sora" pitchFamily="2"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solidFill>
                    <a:schemeClr val="tx1"/>
                  </a:solidFill>
                  <a:latin typeface="Cambria Math" panose="02040503050406030204" pitchFamily="18" charset="0"/>
                  <a:cs typeface="Calibri" panose="020F0502020204030204" pitchFamily="34" charset="0"/>
                </a:rPr>
                <a:t>/(</a:t>
              </a:r>
              <a:r>
                <a:rPr lang="pt-BR" sz="800" b="0" i="0">
                  <a:solidFill>
                    <a:schemeClr val="tx1"/>
                  </a:solidFill>
                  <a:latin typeface="Cambria Math" panose="02040503050406030204" pitchFamily="18" charset="0"/>
                  <a:cs typeface="Sora" pitchFamily="2" charset="0"/>
                </a:rPr>
                <a:t>M</a:t>
              </a:r>
              <a:r>
                <a:rPr lang="pt-BR" sz="800" i="0">
                  <a:latin typeface="Cambria Math" panose="02040503050406030204" pitchFamily="18" charset="0"/>
                  <a:cs typeface="Sora" pitchFamily="2" charset="0"/>
                </a:rPr>
                <a:t>é</a:t>
              </a:r>
              <a:r>
                <a:rPr lang="pt-BR" sz="800" b="0" i="0">
                  <a:latin typeface="Cambria Math" panose="02040503050406030204" pitchFamily="18" charset="0"/>
                  <a:cs typeface="Sora" pitchFamily="2" charset="0"/>
                </a:rPr>
                <a:t>dia de clientes ativos dos últimos 2 trimestres</a:t>
              </a:r>
              <a:r>
                <a:rPr lang="en-US" sz="800" b="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ARPAC líquido</a:t>
              </a:r>
              <a:r>
                <a:rPr lang="en-US" sz="800" b="1">
                  <a:solidFill>
                    <a:schemeClr val="tx1"/>
                  </a:solidFill>
                  <a:latin typeface="Calibri" panose="020F0502020204030204" pitchFamily="34" charset="0"/>
                  <a:cs typeface="Calibri" panose="020F0502020204030204" pitchFamily="34" charset="0"/>
                </a:rPr>
                <a:t>:</a:t>
              </a:r>
            </a:p>
            <a:p>
              <a:pPr algn="ctr"/>
              <a:br>
                <a:rPr lang="en-US" sz="800" b="1">
                  <a:solidFill>
                    <a:schemeClr val="tx1"/>
                  </a:solidFill>
                  <a:latin typeface="Calibri" panose="020F0502020204030204" pitchFamily="34" charset="0"/>
                  <a:cs typeface="Calibri" panose="020F0502020204030204" pitchFamily="34" charset="0"/>
                </a:rPr>
              </a:br>
              <a:r>
                <a:rPr lang="en-US" sz="800" i="0">
                  <a:solidFill>
                    <a:schemeClr val="tx1"/>
                  </a:solidFill>
                  <a:latin typeface="Cambria Math" panose="02040503050406030204" pitchFamily="18" charset="0"/>
                  <a:cs typeface="Sora" pitchFamily="2" charset="0"/>
                </a:rPr>
                <a:t>(</a:t>
              </a:r>
              <a:r>
                <a:rPr lang="en-US" sz="800" i="0">
                  <a:latin typeface="Cambria Math" panose="02040503050406030204" pitchFamily="18" charset="0"/>
                  <a:cs typeface="Sora" pitchFamily="2" charset="0"/>
                </a:rPr>
                <a:t>(Receita</a:t>
              </a:r>
              <a:r>
                <a:rPr lang="pt-BR" sz="800" b="0" i="0">
                  <a:latin typeface="Cambria Math" panose="02040503050406030204" pitchFamily="18" charset="0"/>
                  <a:cs typeface="Sora" pitchFamily="2" charset="0"/>
                </a:rPr>
                <a:t>s −</a:t>
              </a:r>
              <a:r>
                <a:rPr lang="en-US" sz="800" i="0">
                  <a:latin typeface="Cambria Math" panose="02040503050406030204" pitchFamily="18" charset="0"/>
                  <a:cs typeface="Sora" pitchFamily="2" charset="0"/>
                </a:rPr>
                <a:t>despesas de juros)÷3</a:t>
              </a:r>
              <a:r>
                <a:rPr lang="en-US" sz="800" i="0">
                  <a:solidFill>
                    <a:schemeClr val="tx1"/>
                  </a:solidFill>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clientes ativos dos últimos 2 trimestres</a:t>
              </a:r>
              <a:r>
                <a:rPr lang="en-US" sz="800" i="0">
                  <a:solidFill>
                    <a:schemeClr val="tx1"/>
                  </a:solidFill>
                  <a:latin typeface="Cambria Math" panose="02040503050406030204" pitchFamily="18" charset="0"/>
                  <a:cs typeface="Sora" pitchFamily="2" charset="0"/>
                </a:rPr>
                <a:t>)</a:t>
              </a:r>
              <a:endParaRPr lang="en-US" sz="800" b="1">
                <a:solidFill>
                  <a:schemeClr val="tx1"/>
                </a:solidFill>
                <a:latin typeface="Calibri" panose="020F0502020204030204" pitchFamily="34" charset="0"/>
                <a:cs typeface="Calibri" panose="020F0502020204030204" pitchFamily="34" charset="0"/>
              </a:endParaRPr>
            </a:p>
            <a:p>
              <a:pPr algn="ctr"/>
              <a:endParaRPr lang="en-US" sz="800">
                <a:solidFill>
                  <a:schemeClr val="tx1"/>
                </a:solidFill>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ARPAC líquido por safras trimestrais:</a:t>
              </a:r>
            </a:p>
            <a:p>
              <a:r>
                <a:rPr lang="en-US" sz="800">
                  <a:latin typeface="Calibri" panose="020F0502020204030204" pitchFamily="34" charset="0"/>
                  <a:ea typeface="Inter Light BETA" panose="020B0402030000000004" pitchFamily="34" charset="0"/>
                  <a:cs typeface="Calibri" panose="020F0502020204030204" pitchFamily="34" charset="0"/>
                </a:rPr>
                <a:t>Receita bruta total líquida de despesas de juros em uma determinada safra dividida pela media do número de clientes ativos no período atual e no anterior (1). Safra é definida como o período em que o cliente começou a relação com o Inter. </a:t>
              </a:r>
              <a:br>
                <a:rPr lang="en-US" sz="800">
                  <a:latin typeface="Calibri" panose="020F0502020204030204" pitchFamily="34" charset="0"/>
                  <a:ea typeface="Inter Light BETA" panose="020B0402030000000004" pitchFamily="34" charset="0"/>
                  <a:cs typeface="Calibri" panose="020F0502020204030204" pitchFamily="34" charset="0"/>
                </a:rPr>
              </a:br>
              <a:endParaRPr lang="en-US" sz="800">
                <a:latin typeface="Calibri" panose="020F0502020204030204" pitchFamily="34" charset="0"/>
                <a:ea typeface="Inter" panose="020B0502030000000004" pitchFamily="34" charset="0"/>
                <a:cs typeface="Calibri" panose="020F0502020204030204" pitchFamily="34" charset="0"/>
              </a:endParaRPr>
            </a:p>
            <a:p>
              <a:r>
                <a:rPr lang="en-US" sz="800" baseline="30000">
                  <a:latin typeface="Calibri" panose="020F0502020204030204" pitchFamily="34" charset="0"/>
                  <a:ea typeface="Inter" panose="020B0502030000000004" pitchFamily="34" charset="0"/>
                  <a:cs typeface="Calibri" panose="020F0502020204030204" pitchFamily="34" charset="0"/>
                </a:rPr>
                <a:t>1 – Média do número de clientes ativos no período atual e no anterior. Para o primeiro período, é utilizado o número total de clientes ativos no final do período. </a:t>
              </a:r>
            </a:p>
            <a:p>
              <a:endParaRPr lang="en-US" sz="800" baseline="300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Assets under custody (AuC):</a:t>
              </a:r>
            </a:p>
            <a:p>
              <a:pPr algn="just"/>
              <a:r>
                <a:rPr lang="en-US" sz="800">
                  <a:latin typeface="Calibri" panose="020F0502020204030204" pitchFamily="34" charset="0"/>
                  <a:ea typeface="Inter" panose="020B0502030000000004" pitchFamily="34" charset="0"/>
                  <a:cs typeface="Calibri" panose="020F0502020204030204" pitchFamily="34" charset="0"/>
                </a:rPr>
                <a:t>Calculamos o AUC em uma determinada data como o valor de mercado de todos os ativos de clientes de varejo investidos por meio de nossa plataforma de investimentos na mesma data. Acreditamos que o AUC, por refletir o volume total de ativos investidos em nossa plataforma de investimentos sem levar em conta nossa eficiência operacional, nos fornece informações úteis sobre a atratividade de nossa plataforma. Usamos essa métrica para monitorar o tamanho de nossa plataforma de investimentos.</a:t>
              </a:r>
            </a:p>
            <a:p>
              <a:pPr algn="just"/>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de crédito bruta:</a:t>
              </a:r>
            </a:p>
            <a:p>
              <a:pPr algn="ctr"/>
              <a:endParaRPr lang="en-US" sz="800" b="1">
                <a:latin typeface="Calibri" panose="020F0502020204030204" pitchFamily="34" charset="0"/>
                <a:cs typeface="Calibri" panose="020F0502020204030204" pitchFamily="34" charset="0"/>
              </a:endParaRPr>
            </a:p>
            <a:p>
              <a:pPr algn="ctr"/>
              <a:r>
                <a:rPr lang="en-US" sz="800" b="0" i="0">
                  <a:latin typeface="Cambria Math" panose="02040503050406030204" pitchFamily="18" charset="0"/>
                  <a:cs typeface="Sora" pitchFamily="2" charset="0"/>
                </a:rPr>
                <a:t>Empréstimos e</a:t>
              </a:r>
              <a:r>
                <a:rPr lang="pt-BR" sz="800" b="0" i="0">
                  <a:latin typeface="Cambria Math" panose="02040503050406030204" pitchFamily="18" charset="0"/>
                  <a:cs typeface="Sora" pitchFamily="2" charset="0"/>
                </a:rPr>
                <a:t> adiantamentos a clientes+Empréstimos a instituições financeiras</a:t>
              </a:r>
              <a:endParaRPr lang="pt-BR" sz="800">
                <a:latin typeface="Calibri" panose="020F0502020204030204" pitchFamily="34" charset="0"/>
                <a:cs typeface="Calibri" panose="020F0502020204030204" pitchFamily="34" charset="0"/>
              </a:endParaRPr>
            </a:p>
            <a:p>
              <a:pPr algn="ctr"/>
              <a:endParaRPr lang="pt-BR"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Carteira remunerada:</a:t>
              </a:r>
            </a:p>
            <a:p>
              <a:pPr algn="ctr"/>
              <a:endParaRPr lang="en-US" sz="800" b="1">
                <a:latin typeface="Calibri" panose="020F0502020204030204" pitchFamily="34" charset="0"/>
                <a:cs typeface="Calibri" panose="020F0502020204030204" pitchFamily="34" charset="0"/>
              </a:endParaRPr>
            </a:p>
            <a:p>
              <a:pPr algn="ctr"/>
              <a:r>
                <a:rPr lang="en-US" sz="800" i="0">
                  <a:latin typeface="Cambria Math" panose="02040503050406030204" pitchFamily="18" charset="0"/>
                  <a:cs typeface="Sora" pitchFamily="2" charset="0"/>
                </a:rPr>
                <a:t>Empréstimos e adiantamentos a instituições financeiras +Títulos e valores mobiliários+Empréstimos e adiantamentos a clientes, líquidos de provisão para perdas esperadas +Instrumentos financeiros derivativos</a:t>
              </a:r>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500">
                <a:latin typeface="Calibri" panose="020F0502020204030204" pitchFamily="34" charset="0"/>
                <a:ea typeface="Cambria Math" panose="02040503050406030204" pitchFamily="18" charset="0"/>
                <a:cs typeface="Calibri" panose="020F0502020204030204" pitchFamily="34" charset="0"/>
              </a:endParaRPr>
            </a:p>
          </xdr:txBody>
        </xdr:sp>
      </mc:Fallback>
    </mc:AlternateContent>
    <xdr:clientData/>
  </xdr:twoCellAnchor>
  <xdr:twoCellAnchor>
    <xdr:from>
      <xdr:col>8</xdr:col>
      <xdr:colOff>135271</xdr:colOff>
      <xdr:row>81</xdr:row>
      <xdr:rowOff>144319</xdr:rowOff>
    </xdr:from>
    <xdr:to>
      <xdr:col>15</xdr:col>
      <xdr:colOff>111553</xdr:colOff>
      <xdr:row>114</xdr:row>
      <xdr:rowOff>176629</xdr:rowOff>
    </xdr:to>
    <mc:AlternateContent xmlns:mc="http://schemas.openxmlformats.org/markup-compatibility/2006" xmlns:a14="http://schemas.microsoft.com/office/drawing/2010/main">
      <mc:Choice Requires="a14">
        <xdr:sp macro="" textlink="">
          <xdr:nvSpPr>
            <xdr:cNvPr id="48" name="Retângulo 9">
              <a:extLst>
                <a:ext uri="{FF2B5EF4-FFF2-40B4-BE49-F238E27FC236}">
                  <a16:creationId xmlns:a16="http://schemas.microsoft.com/office/drawing/2014/main" id="{00000000-0008-0000-1600-000030000000}"/>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i="1">
                            <a:latin typeface="Cambria Math" panose="02040503050406030204" pitchFamily="18" charset="0"/>
                            <a:cs typeface="Sora" pitchFamily="2" charset="0"/>
                          </a:rPr>
                          <m:t>M</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dia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empr</m:t>
                        </m:r>
                        <m:r>
                          <a:rPr lang="pt-BR" sz="800" i="1">
                            <a:latin typeface="Cambria Math" panose="02040503050406030204" pitchFamily="18" charset="0"/>
                            <a:cs typeface="Sora" pitchFamily="2" charset="0"/>
                          </a:rPr>
                          <m:t>é</m:t>
                        </m:r>
                        <m:r>
                          <m:rPr>
                            <m:sty m:val="p"/>
                          </m:rPr>
                          <a:rPr lang="pt-BR" sz="800" i="1">
                            <a:latin typeface="Cambria Math" panose="02040503050406030204" pitchFamily="18" charset="0"/>
                            <a:cs typeface="Sora" pitchFamily="2" charset="0"/>
                          </a:rPr>
                          <m:t>stimos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adiantamento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clientes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dos</m:t>
                        </m:r>
                        <m:r>
                          <a:rPr lang="pt-BR" sz="800" i="1">
                            <a:latin typeface="Cambria Math" panose="02040503050406030204" pitchFamily="18" charset="0"/>
                            <a:cs typeface="Sora" pitchFamily="2" charset="0"/>
                          </a:rPr>
                          <m:t> ú</m:t>
                        </m:r>
                        <m:r>
                          <m:rPr>
                            <m:sty m:val="p"/>
                          </m:rPr>
                          <a:rPr lang="pt-BR" sz="800" i="1">
                            <a:latin typeface="Cambria Math" panose="02040503050406030204" pitchFamily="18" charset="0"/>
                            <a:cs typeface="Sora" pitchFamily="2" charset="0"/>
                          </a:rPr>
                          <m:t>ltimos</m:t>
                        </m:r>
                        <m:r>
                          <a:rPr lang="pt-BR" sz="800" i="1">
                            <a:latin typeface="Cambria Math" panose="02040503050406030204" pitchFamily="18" charset="0"/>
                            <a:cs typeface="Sora" pitchFamily="2" charset="0"/>
                          </a:rPr>
                          <m:t> 2 </m:t>
                        </m:r>
                        <m:r>
                          <m:rPr>
                            <m:sty m:val="p"/>
                          </m:rPr>
                          <a:rPr lang="pt-BR" sz="800" i="1">
                            <a:latin typeface="Cambria Math" panose="02040503050406030204" pitchFamily="18" charset="0"/>
                            <a:cs typeface="Sora" pitchFamily="2" charset="0"/>
                          </a:rPr>
                          <m:t>trimestres</m:t>
                        </m:r>
                        <m:r>
                          <a:rPr lang="pt-BR" sz="800" i="1">
                            <a:latin typeface="Cambria Math" panose="02040503050406030204" pitchFamily="18" charset="0"/>
                            <a:cs typeface="Sora" pitchFamily="2" charset="0"/>
                          </a:rPr>
                          <m:t> </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excluindoantecipa</m:t>
                        </m:r>
                        <m:r>
                          <a:rPr lang="pt-BR" sz="800">
                            <a:latin typeface="Cambria Math" panose="02040503050406030204" pitchFamily="18" charset="0"/>
                            <a:cs typeface="Sora" pitchFamily="2" charset="0"/>
                          </a:rPr>
                          <m:t>çã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receb</m:t>
                        </m:r>
                        <m:r>
                          <a:rPr lang="pt-BR" sz="800">
                            <a:latin typeface="Cambria Math" panose="02040503050406030204" pitchFamily="18" charset="0"/>
                            <a:cs typeface="Sora" pitchFamily="2" charset="0"/>
                          </a:rPr>
                          <m:t>í</m:t>
                        </m:r>
                        <m:r>
                          <m:rPr>
                            <m:sty m:val="p"/>
                          </m:rPr>
                          <a:rPr lang="pt-BR" sz="800">
                            <a:latin typeface="Cambria Math" panose="02040503050406030204" pitchFamily="18" charset="0"/>
                            <a:cs typeface="Sora" pitchFamily="2" charset="0"/>
                          </a:rPr>
                          <m:t>veis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i="1">
                            <a:latin typeface="Cambria Math" panose="02040503050406030204" pitchFamily="18" charset="0"/>
                            <a:cs typeface="Sora" pitchFamily="2" charset="0"/>
                          </a:rPr>
                          <m:t>Resultado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perdas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por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redu</m:t>
                        </m:r>
                        <m:r>
                          <a:rPr lang="pt-BR" sz="800" i="1">
                            <a:latin typeface="Cambria Math" panose="02040503050406030204" pitchFamily="18" charset="0"/>
                            <a:cs typeface="Sora" pitchFamily="2" charset="0"/>
                          </a:rPr>
                          <m:t>çã</m:t>
                        </m:r>
                        <m:r>
                          <m:rPr>
                            <m:sty m:val="p"/>
                          </m:rPr>
                          <a:rPr lang="pt-BR" sz="800" i="1">
                            <a:latin typeface="Cambria Math" panose="02040503050406030204" pitchFamily="18" charset="0"/>
                            <a:cs typeface="Sora" pitchFamily="2" charset="0"/>
                          </a:rPr>
                          <m:t>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ao</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valor</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recuper</m:t>
                        </m:r>
                        <m:r>
                          <a:rPr lang="pt-BR" sz="800" i="1">
                            <a:latin typeface="Cambria Math" panose="02040503050406030204" pitchFamily="18" charset="0"/>
                            <a:cs typeface="Sora" pitchFamily="2" charset="0"/>
                          </a:rPr>
                          <m:t>á</m:t>
                        </m:r>
                        <m:r>
                          <m:rPr>
                            <m:sty m:val="p"/>
                          </m:rPr>
                          <a:rPr lang="pt-BR" sz="800" i="1">
                            <a:latin typeface="Cambria Math" panose="02040503050406030204" pitchFamily="18" charset="0"/>
                            <a:cs typeface="Sora" pitchFamily="2" charset="0"/>
                          </a:rPr>
                          <m:t>vel</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de</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ativos</m:t>
                        </m:r>
                        <m:r>
                          <a:rPr lang="pt-BR" sz="800" i="1">
                            <a:latin typeface="Cambria Math" panose="02040503050406030204" pitchFamily="18" charset="0"/>
                            <a:cs typeface="Sora" pitchFamily="2" charset="0"/>
                          </a:rPr>
                          <m:t> </m:t>
                        </m:r>
                        <m:r>
                          <m:rPr>
                            <m:sty m:val="p"/>
                          </m:rPr>
                          <a:rPr lang="pt-BR" sz="800" i="1">
                            <a:latin typeface="Cambria Math" panose="02040503050406030204" pitchFamily="18" charset="0"/>
                            <a:cs typeface="Sora" pitchFamily="2" charset="0"/>
                          </a:rPr>
                          <m:t>financeiros</m:t>
                        </m:r>
                        <m:r>
                          <a:rPr lang="pt-BR" sz="800" i="1">
                            <a:latin typeface="Cambria Math" panose="02040503050406030204" pitchFamily="18" charset="0"/>
                            <a:cs typeface="Sora" pitchFamily="2" charset="0"/>
                          </a:rPr>
                          <m:t> × 4</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empr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stimos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adiantamento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excluindo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cart</m:t>
                        </m:r>
                        <m:r>
                          <a:rPr lang="pt-BR" sz="800">
                            <a:latin typeface="Cambria Math" panose="02040503050406030204" pitchFamily="18" charset="0"/>
                            <a:cs typeface="Sora" pitchFamily="2" charset="0"/>
                          </a:rPr>
                          <m:t>ã</m:t>
                        </m:r>
                        <m:r>
                          <m:rPr>
                            <m:sty m:val="p"/>
                          </m:rPr>
                          <a:rPr lang="pt-BR" sz="800">
                            <a:latin typeface="Cambria Math" panose="02040503050406030204" pitchFamily="18" charset="0"/>
                            <a:cs typeface="Sora" pitchFamily="2" charset="0"/>
                          </a:rPr>
                          <m:t>o</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cr</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dito</m:t>
                        </m:r>
                      </m:den>
                    </m:f>
                    <m:r>
                      <a:rPr lang="pt-BR" sz="80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en-US" sz="800" i="1">
                            <a:latin typeface="Cambria Math" panose="02040503050406030204" pitchFamily="18" charset="0"/>
                            <a:cs typeface="Sora" pitchFamily="2" charset="0"/>
                          </a:rPr>
                        </m:ctrlPr>
                      </m:fPr>
                      <m:num>
                        <m:r>
                          <m:rPr>
                            <m:sty m:val="p"/>
                          </m:rPr>
                          <a:rPr lang="pt-BR" sz="800" b="0" i="0">
                            <a:latin typeface="Cambria Math" panose="02040503050406030204" pitchFamily="18" charset="0"/>
                            <a:cs typeface="Sora" pitchFamily="2" charset="0"/>
                          </a:rPr>
                          <m:t>Despesas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b="0" i="0">
                            <a:latin typeface="Cambria Math" panose="02040503050406030204" pitchFamily="18" charset="0"/>
                            <a:cs typeface="Sora" pitchFamily="2" charset="0"/>
                          </a:rPr>
                          <m:t> × 4</m:t>
                        </m:r>
                      </m:num>
                      <m:den>
                        <m:eqArr>
                          <m:eqArrPr>
                            <m:ctrlPr>
                              <a:rPr lang="pt-BR" sz="800" i="1">
                                <a:latin typeface="Cambria Math" panose="02040503050406030204" pitchFamily="18" charset="0"/>
                                <a:cs typeface="Sora" pitchFamily="2" charset="0"/>
                              </a:rPr>
                            </m:ctrlPr>
                          </m:eqArrPr>
                          <m:e>
                            <m:r>
                              <m:rPr>
                                <m:sty m:val="p"/>
                              </m:rPr>
                              <a:rPr lang="pt-BR" sz="800" i="0">
                                <a:latin typeface="Cambria Math" panose="02040503050406030204" pitchFamily="18" charset="0"/>
                                <a:cs typeface="Sora" pitchFamily="2" charset="0"/>
                              </a:rPr>
                              <m:t>M</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passivos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remunerados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dos</m:t>
                            </m:r>
                            <m:r>
                              <a:rPr lang="pt-BR" sz="800" i="0">
                                <a:latin typeface="Cambria Math" panose="02040503050406030204" pitchFamily="18" charset="0"/>
                                <a:cs typeface="Sora" pitchFamily="2" charset="0"/>
                              </a:rPr>
                              <m:t> ú</m:t>
                            </m:r>
                            <m:r>
                              <m:rPr>
                                <m:sty m:val="p"/>
                              </m:rPr>
                              <a:rPr lang="pt-BR" sz="800" i="0">
                                <a:latin typeface="Cambria Math" panose="02040503050406030204" pitchFamily="18" charset="0"/>
                                <a:cs typeface="Sora" pitchFamily="2" charset="0"/>
                              </a:rPr>
                              <m:t>ltimos</m:t>
                            </m:r>
                            <m:r>
                              <a:rPr lang="pt-BR" sz="800" i="0">
                                <a:latin typeface="Cambria Math" panose="02040503050406030204" pitchFamily="18" charset="0"/>
                                <a:cs typeface="Sora" pitchFamily="2" charset="0"/>
                              </a:rPr>
                              <m:t> 2 </m:t>
                            </m:r>
                            <m:r>
                              <m:rPr>
                                <m:sty m:val="p"/>
                              </m:rPr>
                              <a:rPr lang="pt-BR" sz="800" i="0">
                                <a:latin typeface="Cambria Math" panose="02040503050406030204" pitchFamily="18" charset="0"/>
                                <a:cs typeface="Sora" pitchFamily="2" charset="0"/>
                              </a:rPr>
                              <m:t>trimestres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à </m:t>
                            </m:r>
                            <m:r>
                              <m:rPr>
                                <m:sty m:val="p"/>
                              </m:rPr>
                              <a:rPr lang="pt-BR" sz="800" i="0">
                                <a:latin typeface="Cambria Math" panose="02040503050406030204" pitchFamily="18" charset="0"/>
                                <a:cs typeface="Sora" pitchFamily="2" charset="0"/>
                              </a:rPr>
                              <m:t>vista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prazo</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poupan</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e>
                          <m:e>
                            <m:r>
                              <m:rPr>
                                <m:sty m:val="p"/>
                              </m:rPr>
                              <a:rPr lang="pt-BR" sz="800" i="0">
                                <a:latin typeface="Cambria Math" panose="02040503050406030204" pitchFamily="18" charset="0"/>
                                <a:cs typeface="Sora" pitchFamily="2" charset="0"/>
                              </a:rPr>
                              <m:t>credores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recursos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liberar</m:t>
                            </m:r>
                            <m:r>
                              <a:rPr lang="pt-BR" sz="800" i="0">
                                <a:latin typeface="Cambria Math" panose="02040503050406030204" pitchFamily="18" charset="0"/>
                                <a:cs typeface="Sora" pitchFamily="2" charset="0"/>
                              </a:rPr>
                              <m:t>,</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emitidos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redes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cart</m:t>
                            </m:r>
                            <m:r>
                              <a:rPr lang="pt-BR" sz="800" i="0">
                                <a:latin typeface="Cambria Math" panose="02040503050406030204" pitchFamily="18" charset="0"/>
                                <a:cs typeface="Sora" pitchFamily="2" charset="0"/>
                              </a:rPr>
                              <m:t>ã</m:t>
                            </m:r>
                            <m:r>
                              <m:rPr>
                                <m:sty m:val="p"/>
                              </m:rPr>
                              <a:rPr lang="pt-BR" sz="800" i="0">
                                <a:latin typeface="Cambria Math" panose="02040503050406030204" pitchFamily="18" charset="0"/>
                                <a:cs typeface="Sora" pitchFamily="2" charset="0"/>
                              </a:rPr>
                              <m:t>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cr</m:t>
                            </m:r>
                            <m:r>
                              <a:rPr lang="pt-BR" sz="800" i="0">
                                <a:latin typeface="Cambria Math" panose="02040503050406030204" pitchFamily="18" charset="0"/>
                                <a:cs typeface="Sora" pitchFamily="2" charset="0"/>
                              </a:rPr>
                              <m:t>é</m:t>
                            </m:r>
                            <m:r>
                              <m:rPr>
                                <m:sty m:val="p"/>
                              </m:rPr>
                              <a:rPr lang="pt-BR" sz="800" i="0">
                                <a:latin typeface="Cambria Math" panose="02040503050406030204" pitchFamily="18" charset="0"/>
                                <a:cs typeface="Sora" pitchFamily="2" charset="0"/>
                              </a:rPr>
                              <m:t>dito</m:t>
                            </m:r>
                            <m:r>
                              <a:rPr lang="pt-BR" sz="800" i="0">
                                <a:latin typeface="Cambria Math" panose="02040503050406030204" pitchFamily="18" charset="0"/>
                                <a:cs typeface="Sora" pitchFamily="2" charset="0"/>
                              </a:rPr>
                              <m:t>,</m:t>
                            </m:r>
                          </m:e>
                          <m:e>
                            <m:r>
                              <m:rPr>
                                <m:sty m:val="p"/>
                              </m:rPr>
                              <a:rPr lang="pt-BR" sz="800" i="0">
                                <a:latin typeface="Cambria Math" panose="02040503050406030204" pitchFamily="18" charset="0"/>
                                <a:cs typeface="Sora" pitchFamily="2" charset="0"/>
                              </a:rPr>
                              <m:t>obriga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por</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opera</m:t>
                            </m:r>
                            <m:r>
                              <a:rPr lang="pt-BR" sz="800" i="0">
                                <a:latin typeface="Cambria Math" panose="02040503050406030204" pitchFamily="18" charset="0"/>
                                <a:cs typeface="Sora" pitchFamily="2" charset="0"/>
                              </a:rPr>
                              <m:t>çõ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compromissadas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dep</m:t>
                            </m:r>
                            <m:r>
                              <a:rPr lang="pt-BR" sz="800" i="0">
                                <a:latin typeface="Cambria Math" panose="02040503050406030204" pitchFamily="18" charset="0"/>
                                <a:cs typeface="Sora" pitchFamily="2" charset="0"/>
                              </a:rPr>
                              <m:t>ó</m:t>
                            </m:r>
                            <m:r>
                              <m:rPr>
                                <m:sty m:val="p"/>
                              </m:rPr>
                              <a:rPr lang="pt-BR" sz="800" i="0">
                                <a:latin typeface="Cambria Math" panose="02040503050406030204" pitchFamily="18" charset="0"/>
                                <a:cs typeface="Sora" pitchFamily="2" charset="0"/>
                              </a:rPr>
                              <m:t>sitos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interfinanceiros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outros</m:t>
                            </m:r>
                            <m:r>
                              <a:rPr lang="pt-BR" sz="800" i="0">
                                <a:latin typeface="Cambria Math" panose="02040503050406030204" pitchFamily="18" charset="0"/>
                                <a:cs typeface="Sora" pitchFamily="2" charset="0"/>
                              </a:rPr>
                              <m:t>)</m:t>
                            </m:r>
                          </m:e>
                        </m:eqArr>
                      </m:den>
                    </m:f>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a:latin typeface="Cambria Math" panose="02040503050406030204" pitchFamily="18" charset="0"/>
                          </a:rPr>
                          <m:t>(</m:t>
                        </m:r>
                        <m:r>
                          <m:rPr>
                            <m:sty m:val="p"/>
                          </m:rPr>
                          <a:rPr lang="en-US" sz="800">
                            <a:solidFill>
                              <a:schemeClr val="tx1">
                                <a:lumMod val="85000"/>
                                <a:lumOff val="15000"/>
                              </a:schemeClr>
                            </a:solidFill>
                            <a:latin typeface="Cambria Math" panose="02040503050406030204" pitchFamily="18" charset="0"/>
                            <a:cs typeface="Sora" pitchFamily="2" charset="0"/>
                          </a:rPr>
                          <m:t>Despesas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de</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pessoal</m:t>
                        </m:r>
                        <m:r>
                          <a:rPr lang="en-US" sz="800">
                            <a:solidFill>
                              <a:schemeClr val="tx1">
                                <a:lumMod val="85000"/>
                                <a:lumOff val="15000"/>
                              </a:schemeClr>
                            </a:solidFill>
                            <a:latin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cs typeface="Sora" pitchFamily="2" charset="0"/>
                          </a:rPr>
                          <m:t>D</m:t>
                        </m:r>
                        <m:r>
                          <m:rPr>
                            <m:sty m:val="p"/>
                          </m:rPr>
                          <a:rPr lang="en-US" sz="800">
                            <a:solidFill>
                              <a:schemeClr val="tx1">
                                <a:lumMod val="85000"/>
                                <a:lumOff val="15000"/>
                              </a:schemeClr>
                            </a:solidFill>
                            <a:latin typeface="Cambria Math" panose="02040503050406030204" pitchFamily="18" charset="0"/>
                            <a:cs typeface="Sora" pitchFamily="2" charset="0"/>
                          </a:rPr>
                          <m:t>espesas</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administrativas</m:t>
                        </m:r>
                        <m:r>
                          <a:rPr lang="pt-BR" sz="800" i="1">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CAC</m:t>
                        </m:r>
                        <m:r>
                          <a:rPr lang="en-US" sz="800">
                            <a:solidFill>
                              <a:schemeClr val="tx1">
                                <a:lumMod val="85000"/>
                                <a:lumOff val="15000"/>
                              </a:schemeClr>
                            </a:solidFill>
                            <a:latin typeface="Cambria Math" panose="02040503050406030204" pitchFamily="18" charset="0"/>
                            <a:cs typeface="Sora" pitchFamily="2" charset="0"/>
                          </a:rPr>
                          <m:t> </m:t>
                        </m:r>
                        <m:r>
                          <m:rPr>
                            <m:sty m:val="p"/>
                          </m:rPr>
                          <a:rPr lang="en-US" sz="800">
                            <a:solidFill>
                              <a:schemeClr val="tx1">
                                <a:lumMod val="85000"/>
                                <a:lumOff val="15000"/>
                              </a:schemeClr>
                            </a:solidFill>
                            <a:latin typeface="Cambria Math" panose="02040503050406030204" pitchFamily="18" charset="0"/>
                            <a:cs typeface="Sora" pitchFamily="2" charset="0"/>
                          </a:rPr>
                          <m:t>Total</m:t>
                        </m:r>
                        <m:r>
                          <a:rPr lang="en-US" sz="800">
                            <a:solidFill>
                              <a:schemeClr val="tx1">
                                <a:lumMod val="85000"/>
                                <a:lumOff val="15000"/>
                              </a:schemeClr>
                            </a:solidFill>
                            <a:latin typeface="Cambria Math" panose="02040503050406030204" pitchFamily="18" charset="0"/>
                            <a:cs typeface="Sora" pitchFamily="2" charset="0"/>
                          </a:rPr>
                          <m:t> )÷</m:t>
                        </m:r>
                        <m:r>
                          <a:rPr lang="pt-BR" sz="800" i="1">
                            <a:solidFill>
                              <a:schemeClr val="tx1">
                                <a:lumMod val="85000"/>
                                <a:lumOff val="15000"/>
                              </a:schemeClr>
                            </a:solidFill>
                            <a:latin typeface="Cambria Math" panose="02040503050406030204" pitchFamily="18" charset="0"/>
                            <a:cs typeface="Sora" pitchFamily="2" charset="0"/>
                          </a:rPr>
                          <m:t>3)</m:t>
                        </m:r>
                      </m:num>
                      <m:den>
                        <m:r>
                          <m:rPr>
                            <m:sty m:val="p"/>
                          </m:rPr>
                          <a:rPr lang="pt-BR" sz="800">
                            <a:latin typeface="Cambria Math" panose="02040503050406030204" pitchFamily="18" charset="0"/>
                            <a:cs typeface="Sora" pitchFamily="2" charset="0"/>
                          </a:rPr>
                          <m:t>M</m:t>
                        </m:r>
                        <m:r>
                          <a:rPr lang="pt-BR" sz="800">
                            <a:latin typeface="Cambria Math" panose="02040503050406030204" pitchFamily="18" charset="0"/>
                            <a:cs typeface="Sora" pitchFamily="2" charset="0"/>
                          </a:rPr>
                          <m:t>é</m:t>
                        </m:r>
                        <m:r>
                          <m:rPr>
                            <m:sty m:val="p"/>
                          </m:rPr>
                          <a:rPr lang="pt-BR" sz="800">
                            <a:latin typeface="Cambria Math" panose="02040503050406030204" pitchFamily="18" charset="0"/>
                            <a:cs typeface="Sora" pitchFamily="2" charset="0"/>
                          </a:rPr>
                          <m:t>dia</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clientes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ativos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dos</m:t>
                        </m:r>
                        <m:r>
                          <a:rPr lang="pt-BR" sz="800">
                            <a:latin typeface="Cambria Math" panose="02040503050406030204" pitchFamily="18" charset="0"/>
                            <a:cs typeface="Sora" pitchFamily="2" charset="0"/>
                          </a:rPr>
                          <m:t> ú</m:t>
                        </m:r>
                        <m:r>
                          <m:rPr>
                            <m:sty m:val="p"/>
                          </m:rPr>
                          <a:rPr lang="pt-BR" sz="800">
                            <a:latin typeface="Cambria Math" panose="02040503050406030204" pitchFamily="18" charset="0"/>
                            <a:cs typeface="Sora" pitchFamily="2" charset="0"/>
                          </a:rPr>
                          <m:t>ltimos</m:t>
                        </m:r>
                        <m:r>
                          <a:rPr lang="pt-BR" sz="800">
                            <a:latin typeface="Cambria Math" panose="02040503050406030204" pitchFamily="18" charset="0"/>
                            <a:cs typeface="Sora" pitchFamily="2" charset="0"/>
                          </a:rPr>
                          <m:t> 2 </m:t>
                        </m:r>
                        <m:r>
                          <m:rPr>
                            <m:sty m:val="p"/>
                          </m:rPr>
                          <a:rPr lang="pt-BR" sz="800">
                            <a:latin typeface="Cambria Math" panose="02040503050406030204" pitchFamily="18" charset="0"/>
                            <a:cs typeface="Sora" pitchFamily="2" charset="0"/>
                          </a:rPr>
                          <m:t>trimestres</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num>
                      <m:den>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 </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sty m:val="p"/>
                          </m:rPr>
                          <a:rPr lang="pt-BR" sz="800">
                            <a:latin typeface="Cambria Math" panose="02040503050406030204" pitchFamily="18" charset="0"/>
                          </a:rPr>
                          <m:t>Outras</m:t>
                        </m:r>
                        <m:r>
                          <a:rPr lang="pt-BR" sz="800">
                            <a:latin typeface="Cambria Math" panose="02040503050406030204" pitchFamily="18" charset="0"/>
                          </a:rPr>
                          <m:t> </m:t>
                        </m:r>
                        <m:r>
                          <m:rPr>
                            <m:sty m:val="p"/>
                          </m:rPr>
                          <a:rPr lang="pt-BR" sz="800">
                            <a:latin typeface="Cambria Math" panose="02040503050406030204" pitchFamily="18" charset="0"/>
                          </a:rPr>
                          <m:t>Receitas</m:t>
                        </m:r>
                      </m:den>
                    </m:f>
                    <m:r>
                      <a:rPr lang="pt-BR" sz="800" b="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8" name="Retângulo 9">
              <a:extLst>
                <a:ext uri="{FF2B5EF4-FFF2-40B4-BE49-F238E27FC236}">
                  <a16:creationId xmlns:a16="http://schemas.microsoft.com/office/drawing/2014/main" id="{5B278FE1-A57E-AFEA-C21F-490D8D7CDCD1}"/>
                </a:ext>
              </a:extLst>
            </xdr:cNvPr>
            <xdr:cNvSpPr/>
          </xdr:nvSpPr>
          <xdr:spPr>
            <a:xfrm>
              <a:off x="6761358" y="15053015"/>
              <a:ext cx="5774108" cy="6106223"/>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Cost of risk:</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antecipação de recebíveis de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excluindoantecipação de recebíveis de cartão de crédito</a:t>
              </a:r>
              <a:r>
                <a:rPr lang="en-US" sz="800" i="0">
                  <a:latin typeface="Cambria Math" panose="02040503050406030204" pitchFamily="18" charset="0"/>
                  <a:cs typeface="Sora" pitchFamily="2" charset="0"/>
                </a:rPr>
                <a:t>)</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Cost of risk excluindo cartão de crédito:</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Resultado de perdas por redução ao valor recuperável de ativos financeiros × 4</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de empréstimos e adiantamento a clientes dos últimos 2 trimestres excluindo cartão de crédito</a:t>
              </a:r>
              <a:r>
                <a:rPr lang="en-US" sz="80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funding:</a:t>
              </a:r>
            </a:p>
            <a:p>
              <a:endParaRPr lang="en-US" sz="800" b="1">
                <a:latin typeface="Calibri" panose="020F0502020204030204" pitchFamily="34" charset="0"/>
                <a:cs typeface="Calibri" panose="020F0502020204030204" pitchFamily="34" charset="0"/>
              </a:endParaRPr>
            </a:p>
            <a:p>
              <a:pPr/>
              <a:r>
                <a:rPr lang="en-US" sz="80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Despesas de juros × 4</a:t>
              </a:r>
              <a:r>
                <a:rPr lang="en-US" sz="800" b="0" i="0">
                  <a:latin typeface="Cambria Math" panose="02040503050406030204" pitchFamily="18" charset="0"/>
                  <a:cs typeface="Sora" pitchFamily="2" charset="0"/>
                </a:rPr>
                <a:t>)/</a:t>
              </a:r>
              <a:r>
                <a:rPr lang="pt-BR" sz="800" b="0" i="0">
                  <a:latin typeface="Cambria Math" panose="02040503050406030204" pitchFamily="18" charset="0"/>
                  <a:cs typeface="Sora" pitchFamily="2" charset="0"/>
                </a:rPr>
                <a:t>█(</a:t>
              </a:r>
              <a:r>
                <a:rPr lang="pt-BR" sz="800" i="0">
                  <a:latin typeface="Cambria Math" panose="02040503050406030204" pitchFamily="18" charset="0"/>
                  <a:cs typeface="Sora" pitchFamily="2" charset="0"/>
                </a:rPr>
                <a:t>Média dos passivos remunerados dos últimos 2 trimestres (depósitos à vista, depósitos a prazo,poupança, @credores por recursos a liberar,títulos emitidos, obrigações com redes de cartão de crédito,@obrigações por operações compromissadas, depósitos interfinanceiros e outros))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Custo de servir (CTS):</a:t>
              </a:r>
            </a:p>
            <a:p>
              <a:pPr algn="ctr"/>
              <a:endParaRPr lang="en-US" sz="800">
                <a:solidFill>
                  <a:schemeClr val="tx1">
                    <a:lumMod val="85000"/>
                    <a:lumOff val="15000"/>
                  </a:schemeClr>
                </a:solidFill>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en-US" sz="800" i="0">
                  <a:solidFill>
                    <a:schemeClr val="tx1">
                      <a:lumMod val="85000"/>
                      <a:lumOff val="15000"/>
                    </a:schemeClr>
                  </a:solidFill>
                  <a:latin typeface="Cambria Math" panose="02040503050406030204" pitchFamily="18" charset="0"/>
                  <a:cs typeface="Sora" pitchFamily="2" charset="0"/>
                </a:rPr>
                <a:t>Despesas de pessoal+</a:t>
              </a:r>
              <a:r>
                <a:rPr lang="pt-BR" sz="800" b="0" i="0">
                  <a:solidFill>
                    <a:schemeClr val="tx1">
                      <a:lumMod val="85000"/>
                      <a:lumOff val="15000"/>
                    </a:schemeClr>
                  </a:solidFill>
                  <a:latin typeface="Cambria Math" panose="02040503050406030204" pitchFamily="18" charset="0"/>
                  <a:cs typeface="Sora" pitchFamily="2" charset="0"/>
                </a:rPr>
                <a:t>D</a:t>
              </a:r>
              <a:r>
                <a:rPr lang="en-US" sz="800" i="0">
                  <a:solidFill>
                    <a:schemeClr val="tx1">
                      <a:lumMod val="85000"/>
                      <a:lumOff val="15000"/>
                    </a:schemeClr>
                  </a:solidFill>
                  <a:latin typeface="Cambria Math" panose="02040503050406030204" pitchFamily="18" charset="0"/>
                  <a:cs typeface="Sora" pitchFamily="2" charset="0"/>
                </a:rPr>
                <a:t>espesas administrativas</a:t>
              </a:r>
              <a:r>
                <a:rPr lang="pt-BR" sz="800" i="0">
                  <a:solidFill>
                    <a:schemeClr val="tx1">
                      <a:lumMod val="85000"/>
                      <a:lumOff val="15000"/>
                    </a:schemeClr>
                  </a:solidFill>
                  <a:latin typeface="Cambria Math" panose="02040503050406030204" pitchFamily="18" charset="0"/>
                  <a:cs typeface="Sora" pitchFamily="2" charset="0"/>
                </a:rPr>
                <a:t> −</a:t>
              </a:r>
              <a:r>
                <a:rPr lang="en-US" sz="800" i="0">
                  <a:solidFill>
                    <a:schemeClr val="tx1">
                      <a:lumMod val="85000"/>
                      <a:lumOff val="15000"/>
                    </a:schemeClr>
                  </a:solidFill>
                  <a:latin typeface="Cambria Math" panose="02040503050406030204" pitchFamily="18" charset="0"/>
                  <a:cs typeface="Sora" pitchFamily="2" charset="0"/>
                </a:rPr>
                <a:t>CAC Total )÷</a:t>
              </a:r>
              <a:r>
                <a:rPr lang="pt-BR" sz="800" i="0">
                  <a:solidFill>
                    <a:schemeClr val="tx1">
                      <a:lumMod val="85000"/>
                      <a:lumOff val="15000"/>
                    </a:schemeClr>
                  </a:solidFill>
                  <a:latin typeface="Cambria Math" panose="02040503050406030204" pitchFamily="18" charset="0"/>
                  <a:cs typeface="Sora" pitchFamily="2" charset="0"/>
                </a:rPr>
                <a:t>3))/(</a:t>
              </a:r>
              <a:r>
                <a:rPr lang="pt-BR" sz="800" i="0">
                  <a:latin typeface="Cambria Math" panose="02040503050406030204" pitchFamily="18" charset="0"/>
                  <a:cs typeface="Sora" pitchFamily="2" charset="0"/>
                </a:rPr>
                <a:t>Média de clientes ativos dos últimos 2 trimestres)</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Fee income ratio:</a:t>
              </a:r>
            </a:p>
            <a:p>
              <a:endParaRPr lang="pt-BR"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servi</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ç</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os e comiss</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õ</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es+Outras receitas)/(</a:t>
              </a:r>
              <a:r>
                <a:rPr lang="pt-BR" sz="800" i="0">
                  <a:latin typeface="Cambria Math" panose="02040503050406030204" pitchFamily="18" charset="0"/>
                </a:rPr>
                <a:t>Resultado líquido de juros + Resultado líquido de serviços e comissões+Outras Receitas)</a:t>
              </a:r>
              <a:r>
                <a:rPr lang="pt-BR" sz="800" b="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122382</xdr:colOff>
      <xdr:row>113</xdr:row>
      <xdr:rowOff>127386</xdr:rowOff>
    </xdr:from>
    <xdr:to>
      <xdr:col>15</xdr:col>
      <xdr:colOff>97409</xdr:colOff>
      <xdr:row>143</xdr:row>
      <xdr:rowOff>181212</xdr:rowOff>
    </xdr:to>
    <mc:AlternateContent xmlns:mc="http://schemas.openxmlformats.org/markup-compatibility/2006" xmlns:a14="http://schemas.microsoft.com/office/drawing/2010/main">
      <mc:Choice Requires="a14">
        <xdr:sp macro="" textlink="">
          <xdr:nvSpPr>
            <xdr:cNvPr id="49" name="Retângulo 9">
              <a:extLst>
                <a:ext uri="{FF2B5EF4-FFF2-40B4-BE49-F238E27FC236}">
                  <a16:creationId xmlns:a16="http://schemas.microsoft.com/office/drawing/2014/main" id="{00000000-0008-0000-1600-000031000000}"/>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est</m:t>
                        </m:r>
                        <m:r>
                          <a:rPr lang="pt-BR" sz="800">
                            <a:latin typeface="Cambria Math" panose="02040503050406030204" pitchFamily="18" charset="0"/>
                          </a:rPr>
                          <m:t>á</m:t>
                        </m:r>
                        <m:r>
                          <m:rPr>
                            <m:sty m:val="p"/>
                          </m:rPr>
                          <a:rPr lang="pt-BR" sz="800">
                            <a:latin typeface="Cambria Math" panose="02040503050406030204" pitchFamily="18" charset="0"/>
                          </a:rPr>
                          <m:t>gio</m:t>
                        </m:r>
                        <m:r>
                          <a:rPr lang="pt-BR" sz="800">
                            <a:latin typeface="Cambria Math" panose="02040503050406030204" pitchFamily="18" charset="0"/>
                          </a:rPr>
                          <m:t> 3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b="0" i="1">
                        <a:latin typeface="Cambria Math" panose="02040503050406030204" pitchFamily="18" charset="0"/>
                        <a:cs typeface="Sora" pitchFamily="2"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a:rPr lang="pt-BR" sz="800">
                                <a:latin typeface="Cambria Math" panose="02040503050406030204" pitchFamily="18" charset="0"/>
                              </a:rPr>
                              <m:t> –</m:t>
                            </m:r>
                            <m:r>
                              <m:rPr>
                                <m:sty m:val="p"/>
                              </m:rPr>
                              <a:rPr lang="pt-BR" sz="800">
                                <a:latin typeface="Cambria Math" panose="02040503050406030204" pitchFamily="18" charset="0"/>
                              </a:rPr>
                              <m:t>Saldo</m:t>
                            </m:r>
                            <m:r>
                              <a:rPr lang="pt-BR" sz="800">
                                <a:latin typeface="Cambria Math" panose="02040503050406030204" pitchFamily="18" charset="0"/>
                              </a:rPr>
                              <m:t> </m:t>
                            </m:r>
                            <m:r>
                              <m:rPr>
                                <m:sty m:val="p"/>
                              </m:rPr>
                              <a:rPr lang="pt-BR" sz="800">
                                <a:latin typeface="Cambria Math" panose="02040503050406030204" pitchFamily="18" charset="0"/>
                              </a:rPr>
                              <m:t>vencido</m:t>
                            </m:r>
                            <m:r>
                              <a:rPr lang="pt-BR" sz="800">
                                <a:latin typeface="Cambria Math" panose="02040503050406030204" pitchFamily="18" charset="0"/>
                              </a:rPr>
                              <m:t> </m:t>
                            </m:r>
                            <m:r>
                              <m:rPr>
                                <m:sty m:val="p"/>
                              </m:rPr>
                              <a:rPr lang="pt-BR" sz="800">
                                <a:latin typeface="Cambria Math" panose="02040503050406030204" pitchFamily="18" charset="0"/>
                              </a:rPr>
                              <m:t>h</m:t>
                            </m:r>
                            <m:r>
                              <a:rPr lang="pt-BR" sz="800">
                                <a:latin typeface="Cambria Math" panose="02040503050406030204" pitchFamily="18" charset="0"/>
                              </a:rPr>
                              <m:t>á </m:t>
                            </m:r>
                            <m:r>
                              <m:rPr>
                                <m:sty m:val="p"/>
                              </m:rPr>
                              <a:rPr lang="pt-BR" sz="800">
                                <a:latin typeface="Cambria Math" panose="02040503050406030204" pitchFamily="18" charset="0"/>
                              </a:rPr>
                              <m:t>mais</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90 </m:t>
                            </m:r>
                            <m:r>
                              <m:rPr>
                                <m:sty m:val="p"/>
                              </m:rPr>
                              <a:rPr lang="pt-BR" sz="800">
                                <a:latin typeface="Cambria Math" panose="02040503050406030204" pitchFamily="18" charset="0"/>
                              </a:rPr>
                              <m:t>dias</m:t>
                            </m:r>
                            <m:r>
                              <a:rPr lang="pt-BR" sz="800">
                                <a:latin typeface="Cambria Math" panose="02040503050406030204" pitchFamily="18" charset="0"/>
                              </a:rPr>
                              <m:t> </m:t>
                            </m:r>
                            <m:r>
                              <m:rPr>
                                <m:sty m:val="p"/>
                              </m:rPr>
                              <a:rPr lang="pt-BR" sz="800">
                                <a:latin typeface="Cambria Math" panose="02040503050406030204" pitchFamily="18" charset="0"/>
                              </a:rPr>
                              <m:t>do</m:t>
                            </m:r>
                            <m:r>
                              <a:rPr lang="pt-BR" sz="800" b="0" i="0">
                                <a:latin typeface="Cambria Math" panose="02040503050406030204" pitchFamily="18" charset="0"/>
                              </a:rPr>
                              <m:t> </m:t>
                            </m:r>
                            <m:r>
                              <m:rPr>
                                <m:sty m:val="p"/>
                              </m:rPr>
                              <a:rPr lang="pt-BR" sz="800">
                                <a:latin typeface="Cambria Math" panose="02040503050406030204" pitchFamily="18" charset="0"/>
                              </a:rPr>
                              <m:t>trimestreanterior</m:t>
                            </m:r>
                            <m:r>
                              <a:rPr lang="pt-BR" sz="800">
                                <a:latin typeface="Cambria Math" panose="02040503050406030204" pitchFamily="18" charset="0"/>
                              </a:rPr>
                              <m:t> +</m:t>
                            </m:r>
                            <m:r>
                              <m:rPr>
                                <m:sty m:val="p"/>
                              </m:rPr>
                              <a:rPr lang="pt-BR" sz="800">
                                <a:latin typeface="Cambria Math" panose="02040503050406030204" pitchFamily="18" charset="0"/>
                              </a:rPr>
                              <m:t>Migra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de</m:t>
                            </m:r>
                          </m:e>
                          <m:e>
                            <m:r>
                              <a:rPr lang="pt-BR" sz="800" b="0" i="0">
                                <a:latin typeface="Cambria Math" panose="02040503050406030204" pitchFamily="18" charset="0"/>
                              </a:rPr>
                              <m:t> </m:t>
                            </m:r>
                            <m:r>
                              <m:rPr>
                                <m:sty m:val="p"/>
                              </m:rPr>
                              <a:rPr lang="pt-BR" sz="800">
                                <a:latin typeface="Cambria Math" panose="02040503050406030204" pitchFamily="18" charset="0"/>
                              </a:rPr>
                              <m:t>write</m:t>
                            </m:r>
                            <m:r>
                              <a:rPr lang="pt-BR" sz="800">
                                <a:latin typeface="Cambria Math" panose="02040503050406030204" pitchFamily="18" charset="0"/>
                              </a:rPr>
                              <m:t>−</m:t>
                            </m:r>
                            <m:r>
                              <m:rPr>
                                <m:sty m:val="p"/>
                              </m:rPr>
                              <a:rPr lang="pt-BR" sz="800">
                                <a:latin typeface="Cambria Math" panose="02040503050406030204" pitchFamily="18" charset="0"/>
                              </a:rPr>
                              <m:t>off</m:t>
                            </m:r>
                            <m:r>
                              <a:rPr lang="pt-BR" sz="800">
                                <a:latin typeface="Cambria Math" panose="02040503050406030204" pitchFamily="18" charset="0"/>
                              </a:rPr>
                              <m:t> </m:t>
                            </m:r>
                            <m:r>
                              <m:rPr>
                                <m:sty m:val="p"/>
                              </m:rPr>
                              <a:rPr lang="pt-BR" sz="800">
                                <a:latin typeface="Cambria Math" panose="02040503050406030204" pitchFamily="18" charset="0"/>
                              </a:rPr>
                              <m:t>no</m:t>
                            </m:r>
                            <m:r>
                              <a:rPr lang="pt-BR" sz="800">
                                <a:latin typeface="Cambria Math" panose="02040503050406030204" pitchFamily="18" charset="0"/>
                              </a:rPr>
                              <m:t> </m:t>
                            </m:r>
                            <m:r>
                              <m:rPr>
                                <m:sty m:val="p"/>
                              </m:rPr>
                              <a:rPr lang="pt-BR" sz="800">
                                <a:latin typeface="Cambria Math" panose="02040503050406030204" pitchFamily="18" charset="0"/>
                              </a:rPr>
                              <m:t>trimestre</m:t>
                            </m:r>
                            <m:r>
                              <a:rPr lang="pt-BR" sz="800">
                                <a:latin typeface="Cambria Math" panose="02040503050406030204" pitchFamily="18" charset="0"/>
                              </a:rPr>
                              <m:t> </m:t>
                            </m:r>
                            <m:r>
                              <m:rPr>
                                <m:sty m:val="p"/>
                              </m:rPr>
                              <a:rPr lang="pt-BR" sz="800">
                                <a:latin typeface="Cambria Math" panose="02040503050406030204" pitchFamily="18" charset="0"/>
                              </a:rPr>
                              <m:t>atual</m:t>
                            </m:r>
                            <m:r>
                              <m:rPr>
                                <m:nor/>
                              </m:rPr>
                              <a:rPr lang="pt-BR" sz="800">
                                <a:latin typeface="Calibri" panose="020F0502020204030204" pitchFamily="34" charset="0"/>
                                <a:cs typeface="Calibri" panose="020F0502020204030204" pitchFamily="34" charset="0"/>
                              </a:rPr>
                              <m:t> </m:t>
                            </m:r>
                          </m:e>
                        </m:eqArr>
                      </m:num>
                      <m:den>
                        <m:r>
                          <m:rPr>
                            <m:sty m:val="p"/>
                          </m:rPr>
                          <a:rPr lang="en-US" sz="800" i="0">
                            <a:latin typeface="Cambria Math" panose="02040503050406030204" pitchFamily="18" charset="0"/>
                            <a:cs typeface="Sora" pitchFamily="2" charset="0"/>
                          </a:rPr>
                          <m:t>Empr</m:t>
                        </m:r>
                        <m:r>
                          <a:rPr lang="en-US" sz="800" i="0">
                            <a:latin typeface="Cambria Math" panose="02040503050406030204" pitchFamily="18" charset="0"/>
                            <a:cs typeface="Sora" pitchFamily="2" charset="0"/>
                          </a:rPr>
                          <m:t>é</m:t>
                        </m:r>
                        <m:r>
                          <m:rPr>
                            <m:sty m:val="p"/>
                          </m:rPr>
                          <a:rPr lang="en-US" sz="800" i="0">
                            <a:latin typeface="Cambria Math" panose="02040503050406030204" pitchFamily="18" charset="0"/>
                            <a:cs typeface="Sora" pitchFamily="2" charset="0"/>
                          </a:rPr>
                          <m:t>stimos</m:t>
                        </m:r>
                        <m:r>
                          <a:rPr lang="en-US" sz="800" i="0">
                            <a:latin typeface="Cambria Math" panose="02040503050406030204" pitchFamily="18" charset="0"/>
                            <a:cs typeface="Sora" pitchFamily="2" charset="0"/>
                          </a:rPr>
                          <m:t> </m:t>
                        </m:r>
                        <m:r>
                          <m:rPr>
                            <m:sty m:val="p"/>
                          </m:rPr>
                          <a:rPr lang="en-US"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adiantamentos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a</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clientes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totais</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do</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trimestre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anterior</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r>
                      <a:rPr lang="pt-BR" sz="800" i="1">
                        <a:latin typeface="Cambria Math" panose="02040503050406030204" pitchFamily="18" charset="0"/>
                      </a:rPr>
                      <m:t> </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à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vista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dep</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ó</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sitos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prazo</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emitidos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credores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por</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recursos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a</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liberar</m:t>
                    </m:r>
                  </m:oMath>
                </m:oMathPara>
              </a14:m>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Patrim</m:t>
                        </m:r>
                        <m:r>
                          <a:rPr lang="pt-BR" sz="800" i="0">
                            <a:latin typeface="Cambria Math" panose="02040503050406030204" pitchFamily="18" charset="0"/>
                          </a:rPr>
                          <m:t>ô</m:t>
                        </m:r>
                        <m:r>
                          <m:rPr>
                            <m:sty m:val="p"/>
                          </m:rPr>
                          <a:rPr lang="pt-BR" sz="800" b="0" i="0">
                            <a:latin typeface="Cambria Math" panose="02040503050406030204" pitchFamily="18" charset="0"/>
                          </a:rPr>
                          <m:t>nio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refer</m:t>
                        </m:r>
                        <m:r>
                          <a:rPr lang="pt-BR" sz="800" i="0">
                            <a:latin typeface="Cambria Math" panose="02040503050406030204" pitchFamily="18" charset="0"/>
                          </a:rPr>
                          <m:t>ê</m:t>
                        </m:r>
                        <m:r>
                          <m:rPr>
                            <m:sty m:val="p"/>
                          </m:rPr>
                          <a:rPr lang="pt-BR" sz="800" b="0" i="0">
                            <a:latin typeface="Cambria Math" panose="02040503050406030204" pitchFamily="18" charset="0"/>
                          </a:rPr>
                          <m:t>ncia</m:t>
                        </m:r>
                        <m:r>
                          <a:rPr lang="pt-BR" sz="800" b="0" i="0">
                            <a:latin typeface="Cambria Math" panose="02040503050406030204" pitchFamily="18" charset="0"/>
                          </a:rPr>
                          <m:t> </m:t>
                        </m:r>
                        <m:r>
                          <m:rPr>
                            <m:sty m:val="p"/>
                          </m:rPr>
                          <a:rPr lang="pt-BR" sz="800" b="0" i="0">
                            <a:latin typeface="Cambria Math" panose="02040503050406030204" pitchFamily="18" charset="0"/>
                          </a:rPr>
                          <m:t>n</m:t>
                        </m:r>
                        <m:r>
                          <a:rPr lang="pt-BR" sz="800" i="0">
                            <a:latin typeface="Cambria Math" panose="02040503050406030204" pitchFamily="18" charset="0"/>
                          </a:rPr>
                          <m:t>í</m:t>
                        </m:r>
                        <m:r>
                          <m:rPr>
                            <m:sty m:val="p"/>
                          </m:rPr>
                          <a:rPr lang="pt-BR" sz="800" b="0" i="0">
                            <a:latin typeface="Cambria Math" panose="02040503050406030204" pitchFamily="18" charset="0"/>
                          </a:rPr>
                          <m:t>vel</m:t>
                        </m:r>
                        <m:r>
                          <a:rPr lang="pt-BR" sz="800" b="0" i="0">
                            <a:latin typeface="Cambria Math" panose="02040503050406030204" pitchFamily="18" charset="0"/>
                          </a:rPr>
                          <m:t> </m:t>
                        </m:r>
                        <m:r>
                          <m:rPr>
                            <m:sty m:val="p"/>
                          </m:rPr>
                          <a:rPr lang="pt-BR" sz="800" b="0" i="0">
                            <a:latin typeface="Cambria Math" panose="02040503050406030204" pitchFamily="18" charset="0"/>
                          </a:rPr>
                          <m:t>I</m:t>
                        </m:r>
                      </m:num>
                      <m:den>
                        <m:r>
                          <m:rPr>
                            <m:sty m:val="p"/>
                          </m:rPr>
                          <a:rPr lang="pt-BR" sz="800" b="0" i="0">
                            <a:latin typeface="Cambria Math" panose="02040503050406030204" pitchFamily="18" charset="0"/>
                          </a:rPr>
                          <m:t>Ativos</m:t>
                        </m:r>
                        <m:r>
                          <a:rPr lang="pt-BR" sz="800" b="0" i="0">
                            <a:latin typeface="Cambria Math" panose="02040503050406030204" pitchFamily="18" charset="0"/>
                          </a:rPr>
                          <m:t> </m:t>
                        </m:r>
                        <m:r>
                          <m:rPr>
                            <m:sty m:val="p"/>
                          </m:rPr>
                          <a:rPr lang="pt-BR" sz="800" b="0" i="0">
                            <a:latin typeface="Cambria Math" panose="02040503050406030204" pitchFamily="18" charset="0"/>
                          </a:rPr>
                          <m:t>ponderados</m:t>
                        </m:r>
                        <m:r>
                          <a:rPr lang="pt-BR" sz="800" b="0" i="0">
                            <a:latin typeface="Cambria Math" panose="02040503050406030204" pitchFamily="18" charset="0"/>
                          </a:rPr>
                          <m:t> </m:t>
                        </m:r>
                        <m:r>
                          <m:rPr>
                            <m:sty m:val="p"/>
                          </m:rPr>
                          <a:rPr lang="pt-BR" sz="800" b="0" i="0">
                            <a:latin typeface="Cambria Math" panose="02040503050406030204" pitchFamily="18" charset="0"/>
                          </a:rPr>
                          <m:t>por</m:t>
                        </m:r>
                        <m:r>
                          <a:rPr lang="pt-BR" sz="800" b="0" i="0">
                            <a:latin typeface="Cambria Math" panose="02040503050406030204" pitchFamily="18" charset="0"/>
                          </a:rPr>
                          <m:t> </m:t>
                        </m:r>
                        <m:r>
                          <m:rPr>
                            <m:sty m:val="p"/>
                          </m:rPr>
                          <a:rPr lang="pt-BR" sz="800" b="0" i="0">
                            <a:latin typeface="Cambria Math" panose="02040503050406030204" pitchFamily="18" charset="0"/>
                          </a:rPr>
                          <m:t>risco</m:t>
                        </m:r>
                      </m:den>
                    </m:f>
                  </m:oMath>
                </m:oMathPara>
              </a14:m>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Choice>
      <mc:Fallback xmlns="">
        <xdr:sp macro="" textlink="">
          <xdr:nvSpPr>
            <xdr:cNvPr id="49" name="Retângulo 9">
              <a:extLst>
                <a:ext uri="{FF2B5EF4-FFF2-40B4-BE49-F238E27FC236}">
                  <a16:creationId xmlns:a16="http://schemas.microsoft.com/office/drawing/2014/main" id="{D2ED4C4B-0394-2855-8577-585CCB8A4BBD}"/>
                </a:ext>
              </a:extLst>
            </xdr:cNvPr>
            <xdr:cNvSpPr/>
          </xdr:nvSpPr>
          <xdr:spPr>
            <a:xfrm>
              <a:off x="6748469" y="20925937"/>
              <a:ext cx="5772853" cy="5575565"/>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Formação de estágio 3:</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de estágio 3 do trimestre atual –Saldo de estágio 3 do trimestre anterior +Migração de write−off no trimestre atual)/(</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Formação de NPL:</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há mais de 90 dias do trimestre atual –Saldo vencido há mais de 90 dias do</a:t>
              </a:r>
              <a:r>
                <a:rPr lang="pt-BR" sz="800" b="0" i="0">
                  <a:latin typeface="Cambria Math" panose="02040503050406030204" pitchFamily="18" charset="0"/>
                </a:rPr>
                <a:t> </a:t>
              </a:r>
              <a:r>
                <a:rPr lang="pt-BR" sz="800" i="0">
                  <a:latin typeface="Cambria Math" panose="02040503050406030204" pitchFamily="18" charset="0"/>
                </a:rPr>
                <a:t>trimestreanterior +Migração de@</a:t>
              </a:r>
              <a:r>
                <a:rPr lang="pt-BR" sz="800" b="0" i="0">
                  <a:latin typeface="Cambria Math" panose="02040503050406030204" pitchFamily="18" charset="0"/>
                </a:rPr>
                <a:t> </a:t>
              </a:r>
              <a:r>
                <a:rPr lang="pt-BR" sz="800" i="0">
                  <a:latin typeface="Cambria Math" panose="02040503050406030204" pitchFamily="18" charset="0"/>
                </a:rPr>
                <a:t>write−off no trimestre atual"</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Empréstimos e</a:t>
              </a:r>
              <a:r>
                <a:rPr lang="pt-BR" sz="800" i="0">
                  <a:latin typeface="Cambria Math" panose="02040503050406030204" pitchFamily="18" charset="0"/>
                  <a:cs typeface="Sora" pitchFamily="2" charset="0"/>
                </a:rPr>
                <a:t> adiantamentos a clientes</a:t>
              </a:r>
              <a:r>
                <a:rPr lang="pt-BR" sz="800" b="0" i="0">
                  <a:latin typeface="Cambria Math" panose="02040503050406030204" pitchFamily="18" charset="0"/>
                  <a:cs typeface="Sora" pitchFamily="2" charset="0"/>
                </a:rPr>
                <a:t> totais do trimestre anterior) </a:t>
              </a:r>
              <a:r>
                <a:rPr lang="pt-BR" sz="800" i="0">
                  <a:latin typeface="Cambria Math" panose="02040503050406030204" pitchFamily="18" charset="0"/>
                </a:rPr>
                <a:t>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  </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Funding:</a:t>
              </a:r>
            </a:p>
            <a:p>
              <a:endParaRPr lang="pt-BR" sz="800" b="1">
                <a:latin typeface="Calibri" panose="020F05020202040302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D</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à vista+dep</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ó</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sitos a prazo+t</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í</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tulos emitidos+credores por recursos a liberar</a:t>
              </a:r>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Índice de basiléia:</a:t>
              </a:r>
            </a:p>
            <a:p>
              <a:endParaRPr lang="pt-BR" sz="800" b="1">
                <a:highlight>
                  <a:srgbClr val="FFFF00"/>
                </a:highlight>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a:t>
              </a:r>
              <a:r>
                <a:rPr lang="pt-BR" sz="800" b="0" i="0">
                  <a:latin typeface="Cambria Math" panose="02040503050406030204" pitchFamily="18" charset="0"/>
                </a:rPr>
                <a:t>Patrim</a:t>
              </a:r>
              <a:r>
                <a:rPr lang="pt-BR" sz="800" i="0">
                  <a:latin typeface="Cambria Math" panose="02040503050406030204" pitchFamily="18" charset="0"/>
                </a:rPr>
                <a:t>ô</a:t>
              </a:r>
              <a:r>
                <a:rPr lang="pt-BR" sz="800" b="0" i="0">
                  <a:latin typeface="Cambria Math" panose="02040503050406030204" pitchFamily="18" charset="0"/>
                </a:rPr>
                <a:t>nio de refer</a:t>
              </a:r>
              <a:r>
                <a:rPr lang="pt-BR" sz="800" i="0">
                  <a:latin typeface="Cambria Math" panose="02040503050406030204" pitchFamily="18" charset="0"/>
                </a:rPr>
                <a:t>ê</a:t>
              </a:r>
              <a:r>
                <a:rPr lang="pt-BR" sz="800" b="0" i="0">
                  <a:latin typeface="Cambria Math" panose="02040503050406030204" pitchFamily="18" charset="0"/>
                </a:rPr>
                <a:t>ncia n</a:t>
              </a:r>
              <a:r>
                <a:rPr lang="pt-BR" sz="800" i="0">
                  <a:latin typeface="Cambria Math" panose="02040503050406030204" pitchFamily="18" charset="0"/>
                </a:rPr>
                <a:t>í</a:t>
              </a:r>
              <a:r>
                <a:rPr lang="pt-BR" sz="800" b="0" i="0">
                  <a:latin typeface="Cambria Math" panose="02040503050406030204" pitchFamily="18" charset="0"/>
                </a:rPr>
                <a:t>vel I)/(Ativos ponderados por risco)</a:t>
              </a:r>
              <a:endParaRPr lang="pt-BR" sz="800">
                <a:latin typeface="Calibri" panose="020F05020202040302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xdr:txBody>
        </xdr:sp>
      </mc:Fallback>
    </mc:AlternateContent>
    <xdr:clientData/>
  </xdr:twoCellAnchor>
  <xdr:twoCellAnchor>
    <xdr:from>
      <xdr:col>8</xdr:col>
      <xdr:colOff>135270</xdr:colOff>
      <xdr:row>140</xdr:row>
      <xdr:rowOff>86591</xdr:rowOff>
    </xdr:from>
    <xdr:to>
      <xdr:col>15</xdr:col>
      <xdr:colOff>111552</xdr:colOff>
      <xdr:row>171</xdr:row>
      <xdr:rowOff>33303</xdr:rowOff>
    </xdr:to>
    <mc:AlternateContent xmlns:mc="http://schemas.openxmlformats.org/markup-compatibility/2006" xmlns:a14="http://schemas.microsoft.com/office/drawing/2010/main">
      <mc:Choice Requires="a14">
        <xdr:sp macro="" textlink="">
          <xdr:nvSpPr>
            <xdr:cNvPr id="50" name="Retângulo 9">
              <a:extLst>
                <a:ext uri="{FF2B5EF4-FFF2-40B4-BE49-F238E27FC236}">
                  <a16:creationId xmlns:a16="http://schemas.microsoft.com/office/drawing/2014/main" id="{00000000-0008-0000-1600-000032000000}"/>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b="0" i="0">
                            <a:latin typeface="Cambria Math" panose="02040503050406030204" pitchFamily="18" charset="0"/>
                          </a:rPr>
                          <m:t>Provis</m:t>
                        </m:r>
                        <m:r>
                          <a:rPr lang="pt-BR" sz="800" i="0">
                            <a:latin typeface="Cambria Math" panose="02040503050406030204" pitchFamily="18" charset="0"/>
                          </a:rPr>
                          <m:t>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m:t>
                        </m:r>
                        <m:r>
                          <m:rPr>
                            <m:sty m:val="p"/>
                          </m:rPr>
                          <a:rPr lang="pt-BR" sz="800" b="0" i="0">
                            <a:latin typeface="Cambria Math" panose="02040503050406030204" pitchFamily="18" charset="0"/>
                          </a:rPr>
                          <m:t>perdas</m:t>
                        </m:r>
                        <m:r>
                          <a:rPr lang="pt-BR" sz="800" b="0" i="0">
                            <a:latin typeface="Cambria Math" panose="02040503050406030204" pitchFamily="18" charset="0"/>
                          </a:rPr>
                          <m:t> </m:t>
                        </m:r>
                        <m:r>
                          <m:rPr>
                            <m:sty m:val="p"/>
                          </m:rPr>
                          <a:rPr lang="pt-BR" sz="800" b="0" i="0">
                            <a:latin typeface="Cambria Math" panose="02040503050406030204" pitchFamily="18" charset="0"/>
                          </a:rPr>
                          <m:t>esperadas</m:t>
                        </m:r>
                      </m:num>
                      <m:den>
                        <m:r>
                          <m:rPr>
                            <m:sty m:val="p"/>
                          </m:rPr>
                          <a:rPr lang="pt-BR" sz="800" i="0">
                            <a:latin typeface="Cambria Math" panose="02040503050406030204" pitchFamily="18" charset="0"/>
                          </a:rPr>
                          <m:t>NPL</m:t>
                        </m:r>
                        <m:r>
                          <a:rPr lang="pt-BR" sz="800" i="0">
                            <a:latin typeface="Cambria Math" panose="02040503050406030204" pitchFamily="18" charset="0"/>
                          </a:rPr>
                          <m:t>&gt; 90 </m:t>
                        </m:r>
                        <m:r>
                          <m:rPr>
                            <m:sty m:val="p"/>
                          </m:rPr>
                          <a:rPr lang="pt-BR" sz="800" i="0">
                            <a:latin typeface="Cambria Math" panose="02040503050406030204" pitchFamily="18" charset="0"/>
                          </a:rPr>
                          <m:t>dias</m:t>
                        </m:r>
                      </m:den>
                    </m:f>
                  </m:oMath>
                </m:oMathPara>
              </a14:m>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r>
                              <a:rPr lang="pt-BR" sz="800" i="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b="0" i="0">
                                <a:latin typeface="Cambria Math" panose="02040503050406030204" pitchFamily="18" charset="0"/>
                              </a:rPr>
                              <m:t>+</m:t>
                            </m:r>
                            <m:r>
                              <m:rPr>
                                <m:sty m:val="p"/>
                              </m:rPr>
                              <a:rPr lang="pt-BR" sz="800" b="0" i="0">
                                <a:latin typeface="Cambria Math" panose="02040503050406030204" pitchFamily="18" charset="0"/>
                              </a:rPr>
                              <m:t>Deprecia</m:t>
                            </m:r>
                            <m:r>
                              <a:rPr lang="pt-BR" sz="800" i="0">
                                <a:latin typeface="Cambria Math" panose="02040503050406030204" pitchFamily="18" charset="0"/>
                              </a:rPr>
                              <m:t>çã</m:t>
                            </m:r>
                            <m:r>
                              <m:rPr>
                                <m:sty m:val="p"/>
                              </m:rPr>
                              <a:rPr lang="pt-BR" sz="800" b="0" i="0">
                                <a:latin typeface="Cambria Math" panose="02040503050406030204" pitchFamily="18" charset="0"/>
                              </a:rPr>
                              <m:t>o</m:t>
                            </m:r>
                            <m:r>
                              <a:rPr lang="pt-BR" sz="800" b="0" i="0">
                                <a:latin typeface="Cambria Math" panose="02040503050406030204" pitchFamily="18" charset="0"/>
                              </a:rPr>
                              <m:t> </m:t>
                            </m:r>
                            <m:r>
                              <m:rPr>
                                <m:sty m:val="p"/>
                              </m:rPr>
                              <a:rPr lang="pt-BR" sz="800" b="0" i="0">
                                <a:latin typeface="Cambria Math" panose="02040503050406030204" pitchFamily="18" charset="0"/>
                              </a:rPr>
                              <m:t>e</m:t>
                            </m:r>
                            <m:r>
                              <a:rPr lang="pt-BR" sz="800" b="0" i="0">
                                <a:latin typeface="Cambria Math" panose="02040503050406030204" pitchFamily="18" charset="0"/>
                              </a:rPr>
                              <m:t> </m:t>
                            </m:r>
                            <m:r>
                              <m:rPr>
                                <m:sty m:val="p"/>
                              </m:rPr>
                              <a:rPr lang="pt-BR" sz="800" b="0" i="0">
                                <a:latin typeface="Cambria Math" panose="02040503050406030204" pitchFamily="18" charset="0"/>
                              </a:rPr>
                              <m:t>amortiza</m:t>
                            </m:r>
                            <m:r>
                              <a:rPr lang="pt-BR" sz="800" i="0">
                                <a:latin typeface="Cambria Math" panose="02040503050406030204" pitchFamily="18" charset="0"/>
                              </a:rPr>
                              <m:t>çã</m:t>
                            </m:r>
                            <m:r>
                              <m:rPr>
                                <m:sty m:val="p"/>
                              </m:rPr>
                              <a:rPr lang="pt-BR" sz="800" b="0" i="0">
                                <a:latin typeface="Cambria Math" panose="02040503050406030204" pitchFamily="18" charset="0"/>
                              </a:rPr>
                              <m:t>o</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r>
                      <a:rPr lang="pt-BR" sz="80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administrativas</m:t>
                        </m:r>
                        <m:r>
                          <a:rPr lang="pt-BR" sz="800">
                            <a:latin typeface="Cambria Math" panose="02040503050406030204" pitchFamily="18" charset="0"/>
                          </a:rPr>
                          <m:t>+</m:t>
                        </m:r>
                        <m:r>
                          <m:rPr>
                            <m:sty m:val="p"/>
                          </m:rPr>
                          <a:rPr lang="pt-BR" sz="800">
                            <a:latin typeface="Cambria Math" panose="02040503050406030204" pitchFamily="18" charset="0"/>
                          </a:rPr>
                          <m:t>Deprecia</m:t>
                        </m:r>
                        <m:r>
                          <a:rPr lang="pt-BR" sz="800">
                            <a:latin typeface="Cambria Math" panose="02040503050406030204" pitchFamily="18" charset="0"/>
                          </a:rPr>
                          <m:t>çã</m:t>
                        </m:r>
                        <m:r>
                          <m:rPr>
                            <m:sty m:val="p"/>
                          </m:rPr>
                          <a:rPr lang="pt-BR" sz="800">
                            <a:latin typeface="Cambria Math" panose="02040503050406030204" pitchFamily="18" charset="0"/>
                          </a:rPr>
                          <m:t>o</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amortiza</m:t>
                        </m:r>
                        <m:r>
                          <a:rPr lang="pt-BR" sz="800">
                            <a:latin typeface="Cambria Math" panose="02040503050406030204" pitchFamily="18" charset="0"/>
                          </a:rPr>
                          <m:t>çã</m:t>
                        </m:r>
                        <m:r>
                          <m:rPr>
                            <m:sty m:val="p"/>
                          </m:rPr>
                          <a:rPr lang="pt-BR" sz="800">
                            <a:latin typeface="Cambria Math" panose="02040503050406030204" pitchFamily="18" charset="0"/>
                          </a:rPr>
                          <m:t>o</m:t>
                        </m: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eqArr>
                          <m:eqArrPr>
                            <m:ctrlPr>
                              <a:rPr lang="pt-BR" sz="800" i="1">
                                <a:latin typeface="Cambria Math" panose="02040503050406030204" pitchFamily="18" charset="0"/>
                              </a:rPr>
                            </m:ctrlPr>
                          </m:eqArrPr>
                          <m:e>
                            <m:r>
                              <a:rPr lang="pt-BR" sz="800" i="0">
                                <a:latin typeface="Cambria Math" panose="02040503050406030204" pitchFamily="18" charset="0"/>
                              </a:rPr>
                              <m:t> </m:t>
                            </m:r>
                          </m:e>
                          <m:e>
                            <m:r>
                              <m:rPr>
                                <m:sty m:val="p"/>
                              </m:rPr>
                              <a:rPr lang="pt-BR" sz="800" i="0">
                                <a:latin typeface="Cambria Math" panose="02040503050406030204" pitchFamily="18" charset="0"/>
                              </a:rPr>
                              <m:t>Despesa</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pessoal</m:t>
                            </m:r>
                          </m:e>
                        </m:eqArr>
                      </m:num>
                      <m:den>
                        <m:eqArr>
                          <m:eqArrPr>
                            <m:ctrlPr>
                              <a:rPr lang="pt-BR" sz="800" i="1">
                                <a:latin typeface="Cambria Math" panose="02040503050406030204" pitchFamily="18" charset="0"/>
                              </a:rPr>
                            </m:ctrlPr>
                          </m:eqArrPr>
                          <m:e>
                            <m:r>
                              <m:rPr>
                                <m:sty m:val="p"/>
                              </m:rPr>
                              <a:rPr lang="pt-BR" sz="800">
                                <a:latin typeface="Cambria Math" panose="02040503050406030204" pitchFamily="18" charset="0"/>
                              </a:rPr>
                              <m:t>Receita</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m:t>
                            </m:r>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servi</m:t>
                            </m:r>
                            <m:r>
                              <a:rPr lang="pt-BR" sz="800">
                                <a:latin typeface="Cambria Math" panose="02040503050406030204" pitchFamily="18" charset="0"/>
                              </a:rPr>
                              <m:t>ç</m:t>
                            </m:r>
                            <m:r>
                              <m:rPr>
                                <m:sty m:val="p"/>
                              </m:rPr>
                              <a:rPr lang="pt-BR" sz="800">
                                <a:latin typeface="Cambria Math" panose="02040503050406030204" pitchFamily="18" charset="0"/>
                              </a:rPr>
                              <m:t>os</m:t>
                            </m:r>
                            <m:r>
                              <a:rPr lang="pt-BR" sz="800">
                                <a:latin typeface="Cambria Math" panose="02040503050406030204" pitchFamily="18" charset="0"/>
                              </a:rPr>
                              <m:t> </m:t>
                            </m:r>
                            <m:r>
                              <m:rPr>
                                <m:sty m:val="p"/>
                              </m:rPr>
                              <a:rPr lang="pt-BR" sz="800">
                                <a:latin typeface="Cambria Math" panose="02040503050406030204" pitchFamily="18" charset="0"/>
                              </a:rPr>
                              <m:t>e</m:t>
                            </m:r>
                            <m:r>
                              <a:rPr lang="pt-BR" sz="800">
                                <a:latin typeface="Cambria Math" panose="02040503050406030204" pitchFamily="18" charset="0"/>
                              </a:rPr>
                              <m:t> </m:t>
                            </m:r>
                            <m:r>
                              <m:rPr>
                                <m:sty m:val="p"/>
                              </m:rPr>
                              <a:rPr lang="pt-BR" sz="800">
                                <a:latin typeface="Cambria Math" panose="02040503050406030204" pitchFamily="18" charset="0"/>
                              </a:rPr>
                              <m:t>comiss</m:t>
                            </m:r>
                            <m:r>
                              <a:rPr lang="pt-BR" sz="800">
                                <a:latin typeface="Cambria Math" panose="02040503050406030204" pitchFamily="18" charset="0"/>
                              </a:rPr>
                              <m:t>õ</m:t>
                            </m:r>
                            <m:r>
                              <m:rPr>
                                <m:sty m:val="p"/>
                              </m:rPr>
                              <a:rPr lang="pt-BR" sz="800">
                                <a:latin typeface="Cambria Math" panose="02040503050406030204" pitchFamily="18" charset="0"/>
                              </a:rPr>
                              <m:t>es</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r>
                              <m:rPr>
                                <m:sty m:val="p"/>
                              </m:rPr>
                              <a:rPr lang="en-US" sz="800">
                                <a:latin typeface="Cambria Math" panose="02040503050406030204" pitchFamily="18" charset="0"/>
                                <a:cs typeface="Sora" pitchFamily="2" charset="0"/>
                              </a:rPr>
                              <m:t>Re</m:t>
                            </m:r>
                            <m:r>
                              <m:rPr>
                                <m:sty m:val="p"/>
                              </m:rPr>
                              <a:rPr lang="pt-BR" sz="800">
                                <a:latin typeface="Cambria Math" panose="02040503050406030204" pitchFamily="18" charset="0"/>
                                <a:cs typeface="Sora" pitchFamily="2" charset="0"/>
                              </a:rPr>
                              <m:t>sultado</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de</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t</m:t>
                            </m:r>
                            <m:r>
                              <a:rPr lang="en-US" sz="800">
                                <a:latin typeface="Cambria Math" panose="02040503050406030204" pitchFamily="18" charset="0"/>
                                <a:cs typeface="Sora" pitchFamily="2" charset="0"/>
                              </a:rPr>
                              <m:t>í</m:t>
                            </m:r>
                            <m:r>
                              <m:rPr>
                                <m:sty m:val="p"/>
                              </m:rPr>
                              <a:rPr lang="en-US" sz="800">
                                <a:latin typeface="Cambria Math" panose="02040503050406030204" pitchFamily="18" charset="0"/>
                                <a:cs typeface="Sora" pitchFamily="2" charset="0"/>
                              </a:rPr>
                              <m:t>tulos</m:t>
                            </m:r>
                            <m:r>
                              <a:rPr lang="en-US" sz="80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valores</m:t>
                            </m:r>
                            <m:r>
                              <a:rPr lang="pt-BR" sz="800" b="0" i="0">
                                <a:latin typeface="Cambria Math" panose="02040503050406030204" pitchFamily="18" charset="0"/>
                                <a:cs typeface="Sora" pitchFamily="2" charset="0"/>
                              </a:rPr>
                              <m:t> </m:t>
                            </m:r>
                            <m:r>
                              <m:rPr>
                                <m:sty m:val="p"/>
                              </m:rPr>
                              <a:rPr lang="en-US" sz="800">
                                <a:latin typeface="Cambria Math" panose="02040503050406030204" pitchFamily="18" charset="0"/>
                                <a:cs typeface="Sora" pitchFamily="2" charset="0"/>
                              </a:rPr>
                              <m:t>mobili</m:t>
                            </m:r>
                            <m:r>
                              <a:rPr lang="en-US" sz="800">
                                <a:latin typeface="Cambria Math" panose="02040503050406030204" pitchFamily="18" charset="0"/>
                                <a:cs typeface="Sora" pitchFamily="2" charset="0"/>
                              </a:rPr>
                              <m:t>á</m:t>
                            </m:r>
                            <m:r>
                              <m:rPr>
                                <m:sty m:val="p"/>
                              </m:rPr>
                              <a:rPr lang="en-US" sz="800">
                                <a:latin typeface="Cambria Math" panose="02040503050406030204" pitchFamily="18" charset="0"/>
                                <a:cs typeface="Sora" pitchFamily="2" charset="0"/>
                              </a:rPr>
                              <m:t>rios</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e</m:t>
                            </m:r>
                            <m:r>
                              <a:rPr lang="pt-BR" sz="800">
                                <a:latin typeface="Cambria Math" panose="02040503050406030204" pitchFamily="18" charset="0"/>
                                <a:cs typeface="Sora" pitchFamily="2" charset="0"/>
                              </a:rPr>
                              <m:t> </m:t>
                            </m:r>
                            <m:r>
                              <m:rPr>
                                <m:sty m:val="p"/>
                              </m:rPr>
                              <a:rPr lang="pt-BR" sz="800">
                                <a:latin typeface="Cambria Math" panose="02040503050406030204" pitchFamily="18" charset="0"/>
                                <a:cs typeface="Sora" pitchFamily="2" charset="0"/>
                              </a:rPr>
                              <m:t>derivativos</m:t>
                            </m:r>
                            <m:r>
                              <a:rPr lang="pt-BR" sz="800">
                                <a:latin typeface="Cambria Math" panose="02040503050406030204" pitchFamily="18" charset="0"/>
                              </a:rPr>
                              <m:t>+ </m:t>
                            </m:r>
                            <m:r>
                              <m:rPr>
                                <m:sty m:val="p"/>
                              </m:rPr>
                              <a:rPr lang="pt-BR" sz="800">
                                <a:latin typeface="Cambria Math" panose="02040503050406030204" pitchFamily="18" charset="0"/>
                              </a:rPr>
                              <m:t>Outras</m:t>
                            </m:r>
                          </m:e>
                          <m:e>
                            <m:r>
                              <m:rPr>
                                <m:sty m:val="p"/>
                              </m:rPr>
                              <a:rPr lang="pt-BR" sz="800">
                                <a:latin typeface="Cambria Math" panose="02040503050406030204" pitchFamily="18" charset="0"/>
                              </a:rPr>
                              <m:t>receitas</m:t>
                            </m:r>
                            <m:r>
                              <a:rPr lang="pt-BR" sz="800">
                                <a:latin typeface="Cambria Math" panose="02040503050406030204" pitchFamily="18" charset="0"/>
                              </a:rPr>
                              <m:t>−</m:t>
                            </m:r>
                            <m:r>
                              <m:rPr>
                                <m:sty m:val="p"/>
                              </m:rPr>
                              <a:rPr lang="pt-BR" sz="800">
                                <a:latin typeface="Cambria Math" panose="02040503050406030204" pitchFamily="18" charset="0"/>
                              </a:rPr>
                              <m:t>Despesas</m:t>
                            </m:r>
                            <m:r>
                              <a:rPr lang="pt-BR" sz="800">
                                <a:latin typeface="Cambria Math" panose="02040503050406030204" pitchFamily="18" charset="0"/>
                              </a:rPr>
                              <m:t> </m:t>
                            </m:r>
                            <m:r>
                              <m:rPr>
                                <m:sty m:val="p"/>
                              </m:rPr>
                              <a:rPr lang="pt-BR" sz="800">
                                <a:latin typeface="Cambria Math" panose="02040503050406030204" pitchFamily="18" charset="0"/>
                              </a:rPr>
                              <m:t>tribut</m:t>
                            </m:r>
                            <m:r>
                              <a:rPr lang="pt-BR" sz="800">
                                <a:latin typeface="Cambria Math" panose="02040503050406030204" pitchFamily="18" charset="0"/>
                              </a:rPr>
                              <m:t>á</m:t>
                            </m:r>
                            <m:r>
                              <m:rPr>
                                <m:sty m:val="p"/>
                              </m:rPr>
                              <a:rPr lang="pt-BR" sz="800">
                                <a:latin typeface="Cambria Math" panose="02040503050406030204" pitchFamily="18" charset="0"/>
                              </a:rPr>
                              <m:t>rias</m:t>
                            </m:r>
                            <m:r>
                              <m:rPr>
                                <m:nor/>
                              </m:rPr>
                              <a:rPr lang="pt-BR" sz="800">
                                <a:latin typeface="Calibri" panose="020F0502020204030204" pitchFamily="34" charset="0"/>
                                <a:cs typeface="Calibri" panose="020F0502020204030204" pitchFamily="34" charset="0"/>
                              </a:rPr>
                              <m:t> </m:t>
                            </m:r>
                          </m:e>
                        </m:eqAr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Bruto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b="0" i="0">
                        <a:latin typeface="Cambria Math" panose="02040503050406030204" pitchFamily="18" charset="0"/>
                        <a:ea typeface="Inter" panose="020B0502030000000004" pitchFamily="34" charset="0"/>
                      </a:rPr>
                      <m:t>ARPAC</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L</m:t>
                    </m:r>
                    <m:r>
                      <a:rPr lang="pt-BR" sz="800" i="0">
                        <a:latin typeface="Cambria Math" panose="02040503050406030204" pitchFamily="18" charset="0"/>
                        <a:ea typeface="Inter" panose="020B0502030000000004" pitchFamily="34" charset="0"/>
                      </a:rPr>
                      <m:t>í</m:t>
                    </m:r>
                    <m:r>
                      <m:rPr>
                        <m:sty m:val="p"/>
                      </m:rPr>
                      <a:rPr lang="pt-BR" sz="800" b="0" i="0">
                        <a:latin typeface="Cambria Math" panose="02040503050406030204" pitchFamily="18" charset="0"/>
                        <a:ea typeface="Inter" panose="020B0502030000000004" pitchFamily="34" charset="0"/>
                      </a:rPr>
                      <m:t>quido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Despesas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Juros</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Custo</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de</m:t>
                    </m:r>
                    <m:r>
                      <a:rPr lang="pt-BR" sz="800" b="0" i="0">
                        <a:latin typeface="Cambria Math" panose="02040503050406030204" pitchFamily="18" charset="0"/>
                        <a:ea typeface="Inter" panose="020B0502030000000004" pitchFamily="34" charset="0"/>
                      </a:rPr>
                      <m:t> </m:t>
                    </m:r>
                    <m:r>
                      <m:rPr>
                        <m:sty m:val="p"/>
                      </m:rPr>
                      <a:rPr lang="pt-BR" sz="800" b="0" i="0">
                        <a:latin typeface="Cambria Math" panose="02040503050406030204" pitchFamily="18" charset="0"/>
                        <a:ea typeface="Inter" panose="020B0502030000000004" pitchFamily="34" charset="0"/>
                      </a:rPr>
                      <m:t>Servir</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Choice>
      <mc:Fallback xmlns="">
        <xdr:sp macro="" textlink="">
          <xdr:nvSpPr>
            <xdr:cNvPr id="50" name="Retângulo 9">
              <a:extLst>
                <a:ext uri="{FF2B5EF4-FFF2-40B4-BE49-F238E27FC236}">
                  <a16:creationId xmlns:a16="http://schemas.microsoft.com/office/drawing/2014/main" id="{35CA3697-EE6E-6784-3C77-9E55A4DD6727}"/>
                </a:ext>
              </a:extLst>
            </xdr:cNvPr>
            <xdr:cNvSpPr/>
          </xdr:nvSpPr>
          <xdr:spPr>
            <a:xfrm>
              <a:off x="6761357" y="25854707"/>
              <a:ext cx="5774108" cy="565250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cobertura:</a:t>
              </a:r>
            </a:p>
            <a:p>
              <a:endParaRPr lang="en-US" sz="800">
                <a:solidFill>
                  <a:schemeClr val="tx1">
                    <a:lumMod val="85000"/>
                    <a:lumOff val="15000"/>
                  </a:schemeClr>
                </a:solidFill>
                <a:latin typeface="Calibri" panose="020F0502020204030204" pitchFamily="34" charset="0"/>
                <a:ea typeface="Inter Light BETA" panose="020B0402030000000004" pitchFamily="34" charset="0"/>
                <a:cs typeface="Calibri" panose="020F0502020204030204" pitchFamily="34" charset="0"/>
              </a:endParaRPr>
            </a:p>
            <a:p>
              <a:pPr/>
              <a:r>
                <a:rPr lang="pt-BR" sz="800" i="0">
                  <a:latin typeface="Cambria Math" panose="02040503050406030204" pitchFamily="18" charset="0"/>
                </a:rPr>
                <a:t>(</a:t>
              </a:r>
              <a:r>
                <a:rPr lang="pt-BR" sz="800" b="0" i="0">
                  <a:latin typeface="Cambria Math" panose="02040503050406030204" pitchFamily="18" charset="0"/>
                </a:rPr>
                <a:t>Provis</a:t>
              </a:r>
              <a:r>
                <a:rPr lang="pt-BR" sz="800" i="0">
                  <a:latin typeface="Cambria Math" panose="02040503050406030204" pitchFamily="18" charset="0"/>
                </a:rPr>
                <a:t>ã</a:t>
              </a:r>
              <a:r>
                <a:rPr lang="pt-BR" sz="800" b="0" i="0">
                  <a:latin typeface="Cambria Math" panose="02040503050406030204" pitchFamily="18" charset="0"/>
                </a:rPr>
                <a:t>o de perdas esperadas)/(</a:t>
              </a:r>
              <a:r>
                <a:rPr lang="pt-BR" sz="800" i="0">
                  <a:latin typeface="Cambria Math" panose="02040503050406030204" pitchFamily="18" charset="0"/>
                </a:rPr>
                <a:t>NPL&gt; 90 dias)</a:t>
              </a:r>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a:latin typeface="Calibri" panose="020F0502020204030204" pitchFamily="34" charset="0"/>
                <a:ea typeface="Inter Light BETA" panose="020B04020300000000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pessoal+Despesas administrativas</a:t>
              </a:r>
              <a:r>
                <a:rPr lang="pt-BR" sz="800" b="0" i="0">
                  <a:latin typeface="Cambria Math" panose="02040503050406030204" pitchFamily="18" charset="0"/>
                </a:rPr>
                <a:t>+Deprecia</a:t>
              </a:r>
              <a:r>
                <a:rPr lang="pt-BR" sz="800" i="0">
                  <a:latin typeface="Cambria Math" panose="02040503050406030204" pitchFamily="18" charset="0"/>
                </a:rPr>
                <a:t>çã</a:t>
              </a:r>
              <a:r>
                <a:rPr lang="pt-BR" sz="800" b="0" i="0">
                  <a:latin typeface="Cambria Math" panose="02040503050406030204" pitchFamily="18" charset="0"/>
                </a:rPr>
                <a:t>o e amortiza</a:t>
              </a:r>
              <a:r>
                <a:rPr lang="pt-BR" sz="800" i="0">
                  <a:latin typeface="Cambria Math" panose="02040503050406030204" pitchFamily="18" charset="0"/>
                </a:rPr>
                <a:t>çã</a:t>
              </a:r>
              <a:r>
                <a:rPr lang="pt-BR" sz="800" b="0" i="0">
                  <a:latin typeface="Cambria Math" panose="02040503050406030204" pitchFamily="18" charset="0"/>
                </a:rPr>
                <a:t>o)/█(</a:t>
              </a:r>
              <a:r>
                <a:rPr lang="pt-BR" sz="800" i="0">
                  <a:latin typeface="Cambria Math" panose="02040503050406030204" pitchFamily="18" charset="0"/>
                </a:rPr>
                <a:t>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administrativo:</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(Despesas administrativas+Depreciação e amortização)/█(Receita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Índice de eficiência de pessoal:</a:t>
              </a:r>
            </a:p>
            <a:p>
              <a:pPr algn="ctr"/>
              <a:endParaRPr lang="en-US" sz="800">
                <a:latin typeface="Calibri" panose="020F0502020204030204" pitchFamily="34" charset="0"/>
                <a:ea typeface="Inter" panose="020B0502030000000004" pitchFamily="34" charset="0"/>
                <a:cs typeface="Calibri" panose="020F0502020204030204" pitchFamily="34" charset="0"/>
              </a:endParaRPr>
            </a:p>
            <a:p>
              <a:pPr algn="ctr"/>
              <a:r>
                <a:rPr lang="pt-BR" sz="800" i="0">
                  <a:latin typeface="Cambria Math" panose="02040503050406030204" pitchFamily="18" charset="0"/>
                </a:rPr>
                <a:t>█( @Despesa de pessoal)/█(Receita de juros+Resultado líquido de serviços e comissões+"</a:t>
              </a:r>
              <a:r>
                <a:rPr lang="pt-BR" sz="800" i="0">
                  <a:latin typeface="Calibri" panose="020F0502020204030204" pitchFamily="34" charset="0"/>
                  <a:cs typeface="Calibri" panose="020F0502020204030204" pitchFamily="34" charset="0"/>
                </a:rPr>
                <a:t> </a:t>
              </a:r>
              <a:r>
                <a:rPr lang="en-US"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Sora" pitchFamily="2" charset="0"/>
                </a:rPr>
                <a:t>Re</a:t>
              </a:r>
              <a:r>
                <a:rPr lang="pt-BR" sz="800" i="0">
                  <a:latin typeface="Cambria Math" panose="02040503050406030204" pitchFamily="18" charset="0"/>
                  <a:cs typeface="Sora" pitchFamily="2" charset="0"/>
                </a:rPr>
                <a:t>sultado</a:t>
              </a:r>
              <a:r>
                <a:rPr lang="en-US" sz="800" i="0">
                  <a:latin typeface="Cambria Math" panose="02040503050406030204" pitchFamily="18" charset="0"/>
                  <a:cs typeface="Sora" pitchFamily="2" charset="0"/>
                </a:rPr>
                <a:t> de títulos e</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valores</a:t>
              </a:r>
              <a:r>
                <a:rPr lang="pt-BR" sz="800" b="0" i="0">
                  <a:latin typeface="Cambria Math" panose="02040503050406030204" pitchFamily="18" charset="0"/>
                  <a:cs typeface="Sora" pitchFamily="2" charset="0"/>
                </a:rPr>
                <a:t> </a:t>
              </a:r>
              <a:r>
                <a:rPr lang="en-US" sz="800" i="0">
                  <a:latin typeface="Cambria Math" panose="02040503050406030204" pitchFamily="18" charset="0"/>
                  <a:cs typeface="Sora" pitchFamily="2" charset="0"/>
                </a:rPr>
                <a:t>mobiliários</a:t>
              </a:r>
              <a:r>
                <a:rPr lang="pt-BR" sz="800" i="0">
                  <a:latin typeface="Cambria Math" panose="02040503050406030204" pitchFamily="18" charset="0"/>
                  <a:cs typeface="Sora" pitchFamily="2" charset="0"/>
                </a:rPr>
                <a:t> e derivativos</a:t>
              </a:r>
              <a:r>
                <a:rPr lang="pt-BR" sz="800" i="0">
                  <a:latin typeface="Cambria Math" panose="02040503050406030204" pitchFamily="18" charset="0"/>
                </a:rPr>
                <a:t>+ Outras@receitas−Despesas tributárias"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bruta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Bruto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Margem bruta por cliente ativo líquida de despesas de juros:</a:t>
              </a:r>
            </a:p>
            <a:p>
              <a:endParaRPr lang="en-US" sz="800" b="1">
                <a:latin typeface="Calibri" panose="020F0502020204030204" pitchFamily="34" charset="0"/>
                <a:cs typeface="Calibri" panose="020F0502020204030204" pitchFamily="34" charset="0"/>
              </a:endParaRPr>
            </a:p>
            <a:p>
              <a:pPr/>
              <a:r>
                <a:rPr lang="pt-BR" sz="800" b="0" i="0">
                  <a:latin typeface="Cambria Math" panose="02040503050406030204" pitchFamily="18" charset="0"/>
                  <a:ea typeface="Inter" panose="020B0502030000000004" pitchFamily="34" charset="0"/>
                </a:rPr>
                <a:t>ARPAC L</a:t>
              </a:r>
              <a:r>
                <a:rPr lang="pt-BR" sz="800" i="0">
                  <a:latin typeface="Cambria Math" panose="02040503050406030204" pitchFamily="18" charset="0"/>
                  <a:ea typeface="Inter" panose="020B0502030000000004" pitchFamily="34" charset="0"/>
                </a:rPr>
                <a:t>í</a:t>
              </a:r>
              <a:r>
                <a:rPr lang="pt-BR" sz="800" b="0" i="0">
                  <a:latin typeface="Cambria Math" panose="02040503050406030204" pitchFamily="18" charset="0"/>
                  <a:ea typeface="Inter" panose="020B0502030000000004" pitchFamily="34" charset="0"/>
                </a:rPr>
                <a:t>quido de Despesas de Juros −Custo de Servir</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177800</xdr:colOff>
      <xdr:row>170</xdr:row>
      <xdr:rowOff>76200</xdr:rowOff>
    </xdr:from>
    <xdr:to>
      <xdr:col>15</xdr:col>
      <xdr:colOff>144745</xdr:colOff>
      <xdr:row>199</xdr:row>
      <xdr:rowOff>79918</xdr:rowOff>
    </xdr:to>
    <mc:AlternateContent xmlns:mc="http://schemas.openxmlformats.org/markup-compatibility/2006" xmlns:a14="http://schemas.microsoft.com/office/drawing/2010/main">
      <mc:Choice Requires="a14">
        <xdr:sp macro="" textlink="">
          <xdr:nvSpPr>
            <xdr:cNvPr id="51" name="Retângulo 9">
              <a:extLst>
                <a:ext uri="{FF2B5EF4-FFF2-40B4-BE49-F238E27FC236}">
                  <a16:creationId xmlns:a16="http://schemas.microsoft.com/office/drawing/2014/main" id="{00000000-0008-0000-1600-000033000000}"/>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pt-BR" sz="800" i="1">
                                <a:latin typeface="Cambria Math" panose="02040503050406030204" pitchFamily="18" charset="0"/>
                              </a:rPr>
                            </m:ctrlPr>
                          </m:eqArrPr>
                          <m:e>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da</m:t>
                            </m:r>
                            <m:r>
                              <a:rPr lang="pt-BR" sz="800" i="0">
                                <a:latin typeface="Cambria Math" panose="02040503050406030204" pitchFamily="18" charset="0"/>
                              </a:rPr>
                              <m:t> </m:t>
                            </m:r>
                            <m:r>
                              <m:rPr>
                                <m:sty m:val="p"/>
                              </m:rPr>
                              <a:rPr lang="pt-BR" sz="800" i="0">
                                <a:latin typeface="Cambria Math" panose="02040503050406030204" pitchFamily="18" charset="0"/>
                              </a:rPr>
                              <m:t>carteira</m:t>
                            </m:r>
                            <m:r>
                              <a:rPr lang="pt-BR" sz="800" i="0">
                                <a:latin typeface="Cambria Math" panose="02040503050406030204" pitchFamily="18" charset="0"/>
                              </a:rPr>
                              <m:t> </m:t>
                            </m:r>
                            <m:r>
                              <m:rPr>
                                <m:sty m:val="p"/>
                              </m:rPr>
                              <a:rPr lang="pt-BR" sz="800" i="0">
                                <a:latin typeface="Cambria Math" panose="02040503050406030204" pitchFamily="18" charset="0"/>
                              </a:rPr>
                              <m:t>remunerada</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institui</m:t>
                            </m:r>
                            <m:r>
                              <a:rPr lang="pt-BR" sz="800" i="0">
                                <a:latin typeface="Cambria Math" panose="02040503050406030204" pitchFamily="18" charset="0"/>
                              </a:rPr>
                              <m:t>çõ</m:t>
                            </m:r>
                            <m:r>
                              <m:rPr>
                                <m:sty m:val="p"/>
                              </m:rPr>
                              <a:rPr lang="pt-BR" sz="800" i="0">
                                <a:latin typeface="Cambria Math" panose="02040503050406030204" pitchFamily="18" charset="0"/>
                              </a:rPr>
                              <m:t>es</m:t>
                            </m:r>
                            <m:r>
                              <a:rPr lang="pt-BR" sz="800" i="0">
                                <a:latin typeface="Cambria Math" panose="02040503050406030204" pitchFamily="18" charset="0"/>
                              </a:rPr>
                              <m:t> </m:t>
                            </m:r>
                            <m:r>
                              <m:rPr>
                                <m:sty m:val="p"/>
                              </m:rPr>
                              <a:rPr lang="pt-BR" sz="800" i="0">
                                <a:latin typeface="Cambria Math" panose="02040503050406030204" pitchFamily="18" charset="0"/>
                              </a:rPr>
                              <m:t>financeiras</m:t>
                            </m:r>
                            <m:r>
                              <a:rPr lang="pt-BR" sz="800">
                                <a:latin typeface="Cambria Math" panose="02040503050406030204" pitchFamily="18" charset="0"/>
                              </a:rPr>
                              <m:t>+ </m:t>
                            </m:r>
                            <m:r>
                              <m:rPr>
                                <m:sty m:val="p"/>
                              </m:rPr>
                              <a:rPr lang="pt-BR" sz="800">
                                <a:latin typeface="Cambria Math" panose="02040503050406030204" pitchFamily="18" charset="0"/>
                              </a:rPr>
                              <m:t>Valores</m:t>
                            </m:r>
                            <m:r>
                              <a:rPr lang="pt-BR" sz="800">
                                <a:latin typeface="Cambria Math" panose="02040503050406030204" pitchFamily="18" charset="0"/>
                              </a:rPr>
                              <m:t> </m:t>
                            </m:r>
                            <m:r>
                              <m:rPr>
                                <m:sty m:val="p"/>
                              </m:rPr>
                              <a:rPr lang="pt-BR" sz="800">
                                <a:latin typeface="Cambria Math" panose="02040503050406030204" pitchFamily="18" charset="0"/>
                              </a:rPr>
                              <m:t>Mobili</m:t>
                            </m:r>
                            <m:r>
                              <a:rPr lang="pt-BR" sz="800">
                                <a:latin typeface="Cambria Math" panose="02040503050406030204" pitchFamily="18" charset="0"/>
                              </a:rPr>
                              <m:t>á</m:t>
                            </m:r>
                            <m:r>
                              <m:rPr>
                                <m:sty m:val="p"/>
                              </m:rPr>
                              <a:rPr lang="pt-BR" sz="800">
                                <a:latin typeface="Cambria Math" panose="02040503050406030204" pitchFamily="18" charset="0"/>
                              </a:rPr>
                              <m:t>rios</m:t>
                            </m:r>
                            <m:r>
                              <a:rPr lang="pt-BR" sz="800">
                                <a:latin typeface="Cambria Math" panose="02040503050406030204" pitchFamily="18" charset="0"/>
                              </a:rPr>
                              <m:t> + </m:t>
                            </m:r>
                          </m:e>
                          <m:e>
                            <m:r>
                              <m:rPr>
                                <m:sty m:val="p"/>
                              </m:rPr>
                              <a:rPr lang="pt-BR" sz="800" i="0">
                                <a:latin typeface="Cambria Math" panose="02040503050406030204" pitchFamily="18" charset="0"/>
                              </a:rPr>
                              <m:t>Derivativos</m:t>
                            </m:r>
                            <m:r>
                              <a:rPr lang="pt-BR" sz="800" i="0">
                                <a:latin typeface="Cambria Math" panose="02040503050406030204" pitchFamily="18" charset="0"/>
                              </a:rPr>
                              <m:t> + </m:t>
                            </m:r>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adiantamentos</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b="0" i="0">
                                <a:latin typeface="Cambria Math" panose="02040503050406030204" pitchFamily="18" charset="0"/>
                              </a:rPr>
                              <m:t>)</m:t>
                            </m:r>
                          </m:e>
                        </m:eqArr>
                      </m:den>
                    </m:f>
                    <m:r>
                      <a:rPr lang="pt-BR" sz="800" i="0">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a:latin typeface="Cambria Math" panose="02040503050406030204" pitchFamily="18" charset="0"/>
                          </a:rPr>
                          <m:t>Resultado</m:t>
                        </m:r>
                        <m:r>
                          <a:rPr lang="pt-BR" sz="800">
                            <a:latin typeface="Cambria Math" panose="02040503050406030204" pitchFamily="18" charset="0"/>
                          </a:rPr>
                          <m:t> </m:t>
                        </m:r>
                        <m:r>
                          <m:rPr>
                            <m:sty m:val="p"/>
                          </m:rPr>
                          <a:rPr lang="pt-BR" sz="800">
                            <a:latin typeface="Cambria Math" panose="02040503050406030204" pitchFamily="18" charset="0"/>
                          </a:rPr>
                          <m:t>l</m:t>
                        </m:r>
                        <m:r>
                          <a:rPr lang="pt-BR" sz="800">
                            <a:latin typeface="Cambria Math" panose="02040503050406030204" pitchFamily="18" charset="0"/>
                          </a:rPr>
                          <m:t>í</m:t>
                        </m:r>
                        <m:r>
                          <m:rPr>
                            <m:sty m:val="p"/>
                          </m:rPr>
                          <a:rPr lang="pt-BR" sz="800">
                            <a:latin typeface="Cambria Math" panose="02040503050406030204" pitchFamily="18" charset="0"/>
                          </a:rPr>
                          <m:t>quido</m:t>
                        </m:r>
                        <m:r>
                          <a:rPr lang="pt-BR" sz="800">
                            <a:latin typeface="Cambria Math" panose="02040503050406030204" pitchFamily="18" charset="0"/>
                          </a:rPr>
                          <m:t> </m:t>
                        </m:r>
                        <m:r>
                          <m:rPr>
                            <m:sty m:val="p"/>
                          </m:rPr>
                          <a:rPr lang="pt-BR" sz="800">
                            <a:latin typeface="Cambria Math" panose="02040503050406030204" pitchFamily="18" charset="0"/>
                          </a:rPr>
                          <m:t>de</m:t>
                        </m:r>
                        <m:r>
                          <a:rPr lang="pt-BR" sz="800">
                            <a:latin typeface="Cambria Math" panose="02040503050406030204" pitchFamily="18" charset="0"/>
                          </a:rPr>
                          <m:t> </m:t>
                        </m:r>
                        <m:r>
                          <m:rPr>
                            <m:sty m:val="p"/>
                          </m:rPr>
                          <a:rPr lang="pt-BR" sz="800">
                            <a:latin typeface="Cambria Math" panose="02040503050406030204" pitchFamily="18" charset="0"/>
                          </a:rPr>
                          <m:t>juros</m:t>
                        </m:r>
                        <m:r>
                          <a:rPr lang="pt-BR" sz="800">
                            <a:latin typeface="Cambria Math" panose="02040503050406030204" pitchFamily="18" charset="0"/>
                          </a:rPr>
                          <m:t> </m:t>
                        </m:r>
                        <m:r>
                          <m:rPr>
                            <m:sty m:val="p"/>
                          </m:rPr>
                          <a:rPr lang="pt-BR" sz="800">
                            <a:latin typeface="Cambria Math" panose="02040503050406030204" pitchFamily="18" charset="0"/>
                          </a:rPr>
                          <m:t>x</m:t>
                        </m:r>
                        <m:r>
                          <a:rPr lang="pt-BR" sz="800">
                            <a:latin typeface="Cambria Math" panose="02040503050406030204" pitchFamily="18" charset="0"/>
                          </a:rPr>
                          <m:t> 4</m:t>
                        </m:r>
                      </m:num>
                      <m:den>
                        <m:eqArr>
                          <m:eqArrPr>
                            <m:ctrlPr>
                              <a:rPr lang="en-US" sz="800" i="1">
                                <a:latin typeface="Cambria Math" panose="02040503050406030204" pitchFamily="18" charset="0"/>
                              </a:rPr>
                            </m:ctrlPr>
                          </m:eqArrPr>
                          <m:e>
                            <m:r>
                              <m:rPr>
                                <m:nor/>
                              </m:rPr>
                              <a:rPr lang="en-US" sz="800">
                                <a:latin typeface="Calibri" panose="020F0502020204030204" pitchFamily="34" charset="0"/>
                                <a:cs typeface="Calibri" panose="020F0502020204030204" pitchFamily="34" charset="0"/>
                              </a:rPr>
                              <m:t>M</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carteira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dos</m:t>
                            </m:r>
                            <m:r>
                              <m:rPr>
                                <m:nor/>
                              </m:rPr>
                              <a:rPr lang="en-US" sz="800">
                                <a:latin typeface="Calibri" panose="020F0502020204030204" pitchFamily="34" charset="0"/>
                                <a:cs typeface="Calibri" panose="020F0502020204030204" pitchFamily="34" charset="0"/>
                              </a:rPr>
                              <m:t> ú</m:t>
                            </m:r>
                            <m:r>
                              <m:rPr>
                                <m:nor/>
                              </m:rPr>
                              <a:rPr lang="en-US" sz="800">
                                <a:latin typeface="Calibri" panose="020F0502020204030204" pitchFamily="34" charset="0"/>
                                <a:cs typeface="Calibri" panose="020F0502020204030204" pitchFamily="34" charset="0"/>
                              </a:rPr>
                              <m:t>ltimos</m:t>
                            </m:r>
                            <m:r>
                              <m:rPr>
                                <m:nor/>
                              </m:rPr>
                              <a:rPr lang="en-US" sz="800">
                                <a:latin typeface="Calibri" panose="020F0502020204030204" pitchFamily="34" charset="0"/>
                                <a:cs typeface="Calibri" panose="020F0502020204030204" pitchFamily="34" charset="0"/>
                              </a:rPr>
                              <m:t> 2 </m:t>
                            </m:r>
                            <m:r>
                              <m:rPr>
                                <m:nor/>
                              </m:rPr>
                              <a:rPr lang="en-US" sz="800">
                                <a:latin typeface="Calibri" panose="020F0502020204030204" pitchFamily="34" charset="0"/>
                                <a:cs typeface="Calibri" panose="020F0502020204030204" pitchFamily="34" charset="0"/>
                              </a:rPr>
                              <m:t>trimestres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Receb</m:t>
                            </m:r>
                            <m:r>
                              <m:rPr>
                                <m:nor/>
                              </m:rPr>
                              <a:rPr lang="en-US" sz="800">
                                <a:latin typeface="Calibri" panose="020F0502020204030204" pitchFamily="34" charset="0"/>
                                <a:cs typeface="Calibri" panose="020F0502020204030204" pitchFamily="34" charset="0"/>
                              </a:rPr>
                              <m:t>í</m:t>
                            </m:r>
                            <m:r>
                              <m:rPr>
                                <m:nor/>
                              </m:rPr>
                              <a:rPr lang="en-US" sz="800">
                                <a:latin typeface="Calibri" panose="020F0502020204030204" pitchFamily="34" charset="0"/>
                                <a:cs typeface="Calibri" panose="020F0502020204030204" pitchFamily="34" charset="0"/>
                              </a:rPr>
                              <m:t>veis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n</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remunerados</m:t>
                            </m:r>
                            <m:r>
                              <m:rPr>
                                <m:nor/>
                              </m:rPr>
                              <a:rPr lang="pt-BR"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institui</m:t>
                            </m:r>
                            <m:r>
                              <m:rPr>
                                <m:nor/>
                              </m:rPr>
                              <a:rPr lang="en-US" sz="800">
                                <a:latin typeface="Calibri" panose="020F0502020204030204" pitchFamily="34" charset="0"/>
                                <a:cs typeface="Calibri" panose="020F0502020204030204" pitchFamily="34" charset="0"/>
                              </a:rPr>
                              <m:t>çõ</m:t>
                            </m:r>
                            <m:r>
                              <m:rPr>
                                <m:nor/>
                              </m:rPr>
                              <a:rPr lang="en-US" sz="800">
                                <a:latin typeface="Calibri" panose="020F0502020204030204" pitchFamily="34" charset="0"/>
                                <a:cs typeface="Calibri" panose="020F0502020204030204" pitchFamily="34" charset="0"/>
                              </a:rPr>
                              <m:t>esfinanceiras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Valores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Mobili</m:t>
                            </m:r>
                            <m:r>
                              <m:rPr>
                                <m:nor/>
                              </m:rPr>
                              <a:rPr lang="en-US" sz="800">
                                <a:latin typeface="Calibri" panose="020F0502020204030204" pitchFamily="34" charset="0"/>
                                <a:cs typeface="Calibri" panose="020F0502020204030204" pitchFamily="34" charset="0"/>
                              </a:rPr>
                              <m:t>á</m:t>
                            </m:r>
                            <m:r>
                              <m:rPr>
                                <m:nor/>
                              </m:rPr>
                              <a:rPr lang="en-US" sz="800">
                                <a:latin typeface="Calibri" panose="020F0502020204030204" pitchFamily="34" charset="0"/>
                                <a:cs typeface="Calibri" panose="020F0502020204030204" pitchFamily="34" charset="0"/>
                              </a:rPr>
                              <m:t>rios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Derivativos</m:t>
                            </m:r>
                            <m:r>
                              <m:rPr>
                                <m:nor/>
                              </m:rPr>
                              <a:rPr lang="en-US" sz="800">
                                <a:latin typeface="Calibri" panose="020F0502020204030204" pitchFamily="34" charset="0"/>
                                <a:cs typeface="Calibri" panose="020F0502020204030204" pitchFamily="34" charset="0"/>
                              </a:rPr>
                              <m:t> + </m:t>
                            </m:r>
                            <m:r>
                              <m:rPr>
                                <m:nor/>
                              </m:rPr>
                              <a:rPr lang="en-US" sz="800">
                                <a:latin typeface="Calibri" panose="020F0502020204030204" pitchFamily="34" charset="0"/>
                                <a:cs typeface="Calibri" panose="020F0502020204030204" pitchFamily="34" charset="0"/>
                              </a:rPr>
                              <m:t>Empr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stimos</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adiantamentos</m:t>
                            </m:r>
                            <m:r>
                              <m:rPr>
                                <m:nor/>
                              </m:rPr>
                              <a:rPr lang="en-US" sz="800">
                                <a:latin typeface="Calibri" panose="020F0502020204030204" pitchFamily="34" charset="0"/>
                                <a:cs typeface="Calibri" panose="020F0502020204030204" pitchFamily="34" charset="0"/>
                              </a:rPr>
                              <m:t> </m:t>
                            </m:r>
                          </m:e>
                          <m:e>
                            <m:r>
                              <m:rPr>
                                <m:nor/>
                              </m:rPr>
                              <a:rPr lang="en-US" sz="800">
                                <a:latin typeface="Calibri" panose="020F0502020204030204" pitchFamily="34" charset="0"/>
                                <a:cs typeface="Calibri" panose="020F0502020204030204" pitchFamily="34" charset="0"/>
                              </a:rPr>
                              <m:t>a</m:t>
                            </m:r>
                            <m:r>
                              <a:rPr lang="pt-BR" sz="800">
                                <a:latin typeface="Cambria Math" panose="02040503050406030204" pitchFamily="18" charset="0"/>
                              </a:rPr>
                              <m:t> </m:t>
                            </m:r>
                            <m:r>
                              <m:rPr>
                                <m:sty m:val="p"/>
                              </m:rPr>
                              <a:rPr lang="pt-BR" sz="800">
                                <a:latin typeface="Cambria Math" panose="02040503050406030204" pitchFamily="18" charset="0"/>
                              </a:rPr>
                              <m:t>clientes</m:t>
                            </m:r>
                            <m:r>
                              <m:rPr>
                                <m:nor/>
                              </m:rPr>
                              <a:rPr lang="pt-BR"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 </m:t>
                            </m:r>
                            <m:r>
                              <m:rPr>
                                <m:nor/>
                              </m:rPr>
                              <a:rPr lang="pt-BR" sz="800">
                                <a:latin typeface="Calibri" panose="020F0502020204030204" pitchFamily="34" charset="0"/>
                                <a:cs typeface="Calibri" panose="020F0502020204030204" pitchFamily="34" charset="0"/>
                              </a:rPr>
                              <m:t>C</m:t>
                            </m:r>
                            <m:r>
                              <m:rPr>
                                <m:nor/>
                              </m:rPr>
                              <a:rPr lang="en-US" sz="800">
                                <a:latin typeface="Calibri" panose="020F0502020204030204" pitchFamily="34" charset="0"/>
                                <a:cs typeface="Calibri" panose="020F0502020204030204" pitchFamily="34" charset="0"/>
                              </a:rPr>
                              <m:t>arteira</m:t>
                            </m:r>
                            <m:r>
                              <m:rPr>
                                <m:nor/>
                              </m:rPr>
                              <a:rPr lang="en-US" sz="800">
                                <a:latin typeface="Calibri" panose="020F0502020204030204" pitchFamily="34" charset="0"/>
                                <a:cs typeface="Calibri" panose="020F0502020204030204" pitchFamily="34" charset="0"/>
                              </a:rPr>
                              <m:t> à </m:t>
                            </m:r>
                            <m:r>
                              <m:rPr>
                                <m:nor/>
                              </m:rPr>
                              <a:rPr lang="en-US" sz="800">
                                <a:latin typeface="Calibri" panose="020F0502020204030204" pitchFamily="34" charset="0"/>
                                <a:cs typeface="Calibri" panose="020F0502020204030204" pitchFamily="34" charset="0"/>
                              </a:rPr>
                              <m:t>vista</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cart</m:t>
                            </m:r>
                            <m:r>
                              <m:rPr>
                                <m:nor/>
                              </m:rPr>
                              <a:rPr lang="en-US" sz="800">
                                <a:latin typeface="Calibri" panose="020F0502020204030204" pitchFamily="34" charset="0"/>
                                <a:cs typeface="Calibri" panose="020F0502020204030204" pitchFamily="34" charset="0"/>
                              </a:rPr>
                              <m:t>ã</m:t>
                            </m:r>
                            <m:r>
                              <m:rPr>
                                <m:nor/>
                              </m:rPr>
                              <a:rPr lang="en-US" sz="800">
                                <a:latin typeface="Calibri" panose="020F0502020204030204" pitchFamily="34" charset="0"/>
                                <a:cs typeface="Calibri" panose="020F0502020204030204" pitchFamily="34" charset="0"/>
                              </a:rPr>
                              <m:t>o</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de</m:t>
                            </m:r>
                            <m:r>
                              <m:rPr>
                                <m:nor/>
                              </m:rPr>
                              <a:rPr lang="en-US" sz="800">
                                <a:latin typeface="Calibri" panose="020F0502020204030204" pitchFamily="34" charset="0"/>
                                <a:cs typeface="Calibri" panose="020F0502020204030204" pitchFamily="34" charset="0"/>
                              </a:rPr>
                              <m:t> </m:t>
                            </m:r>
                            <m:r>
                              <m:rPr>
                                <m:nor/>
                              </m:rPr>
                              <a:rPr lang="en-US" sz="800">
                                <a:latin typeface="Calibri" panose="020F0502020204030204" pitchFamily="34" charset="0"/>
                                <a:cs typeface="Calibri" panose="020F0502020204030204" pitchFamily="34" charset="0"/>
                              </a:rPr>
                              <m:t>cr</m:t>
                            </m:r>
                            <m:r>
                              <m:rPr>
                                <m:nor/>
                              </m:rPr>
                              <a:rPr lang="en-US" sz="800">
                                <a:latin typeface="Calibri" panose="020F0502020204030204" pitchFamily="34" charset="0"/>
                                <a:cs typeface="Calibri" panose="020F0502020204030204" pitchFamily="34" charset="0"/>
                              </a:rPr>
                              <m:t>é</m:t>
                            </m:r>
                            <m:r>
                              <m:rPr>
                                <m:nor/>
                              </m:rPr>
                              <a:rPr lang="en-US" sz="800">
                                <a:latin typeface="Calibri" panose="020F0502020204030204" pitchFamily="34" charset="0"/>
                                <a:cs typeface="Calibri" panose="020F0502020204030204" pitchFamily="34" charset="0"/>
                              </a:rPr>
                              <m:t>dito</m:t>
                            </m:r>
                            <m:r>
                              <a:rPr lang="pt-BR" sz="800">
                                <a:latin typeface="Cambria Math" panose="02040503050406030204" pitchFamily="18" charset="0"/>
                              </a:rPr>
                              <m:t>)</m:t>
                            </m:r>
                            <m:r>
                              <m:rPr>
                                <m:nor/>
                              </m:rPr>
                              <a:rPr lang="pt-BR" sz="800">
                                <a:latin typeface="Calibri" panose="020F0502020204030204" pitchFamily="34" charset="0"/>
                                <a:cs typeface="Calibri" panose="020F0502020204030204" pitchFamily="34" charset="0"/>
                              </a:rPr>
                              <m:t> </m:t>
                            </m:r>
                          </m:e>
                        </m:eqArr>
                      </m:den>
                    </m:f>
                  </m:oMath>
                </m:oMathPara>
              </a14:m>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Saldo</m:t>
                        </m:r>
                        <m:r>
                          <a:rPr lang="pt-BR" sz="800" i="0">
                            <a:latin typeface="Cambria Math" panose="02040503050406030204" pitchFamily="18" charset="0"/>
                          </a:rPr>
                          <m:t> </m:t>
                        </m:r>
                        <m:r>
                          <m:rPr>
                            <m:sty m:val="p"/>
                          </m:rPr>
                          <a:rPr lang="pt-BR" sz="800" i="0">
                            <a:latin typeface="Cambria Math" panose="02040503050406030204" pitchFamily="18" charset="0"/>
                          </a:rPr>
                          <m:t>vencido</m:t>
                        </m:r>
                        <m:r>
                          <a:rPr lang="pt-BR" sz="800" i="0">
                            <a:latin typeface="Cambria Math" panose="02040503050406030204" pitchFamily="18" charset="0"/>
                          </a:rPr>
                          <m:t> </m:t>
                        </m:r>
                        <m:r>
                          <m:rPr>
                            <m:sty m:val="p"/>
                          </m:rPr>
                          <a:rPr lang="pt-BR" sz="800" b="0" i="0">
                            <a:latin typeface="Cambria Math" panose="02040503050406030204" pitchFamily="18" charset="0"/>
                          </a:rPr>
                          <m:t>entre</m:t>
                        </m:r>
                        <m:r>
                          <a:rPr lang="pt-BR" sz="800" b="0" i="0">
                            <a:latin typeface="Cambria Math" panose="02040503050406030204" pitchFamily="18" charset="0"/>
                          </a:rPr>
                          <m:t> 15 </m:t>
                        </m:r>
                        <m:r>
                          <m:rPr>
                            <m:sty m:val="p"/>
                          </m:rPr>
                          <a:rPr lang="pt-BR" sz="800" b="0" i="0">
                            <a:latin typeface="Cambria Math" panose="02040503050406030204" pitchFamily="18" charset="0"/>
                          </a:rPr>
                          <m:t>e</m:t>
                        </m:r>
                        <m:r>
                          <a:rPr lang="pt-BR" sz="800" b="0" i="0">
                            <a:latin typeface="Cambria Math" panose="02040503050406030204" pitchFamily="18" charset="0"/>
                          </a:rPr>
                          <m:t> 90 </m:t>
                        </m:r>
                        <m:r>
                          <m:rPr>
                            <m:sty m:val="p"/>
                          </m:rPr>
                          <a:rPr lang="pt-BR" sz="80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r>
                      <a:rPr lang="pt-BR" sz="800" b="0" i="1">
                        <a:latin typeface="Cambria Math" panose="02040503050406030204" pitchFamily="18" charset="0"/>
                      </a:rPr>
                      <m:t> </m:t>
                    </m:r>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m:rPr>
                            <m:sty m:val="p"/>
                          </m:rPr>
                          <a:rPr lang="pt-BR" sz="800" i="0">
                            <a:latin typeface="Cambria Math" panose="02040503050406030204" pitchFamily="18" charset="0"/>
                          </a:rPr>
                          <m:t>S</m:t>
                        </m:r>
                        <m:r>
                          <m:rPr>
                            <m:sty m:val="p"/>
                          </m:rPr>
                          <a:rPr lang="pt-BR" sz="800" b="0" i="0">
                            <a:latin typeface="Cambria Math" panose="02040503050406030204" pitchFamily="18" charset="0"/>
                          </a:rPr>
                          <m:t>aldo</m:t>
                        </m:r>
                        <m:r>
                          <a:rPr lang="pt-BR" sz="800" b="0" i="0">
                            <a:latin typeface="Cambria Math" panose="02040503050406030204" pitchFamily="18" charset="0"/>
                          </a:rPr>
                          <m:t> </m:t>
                        </m:r>
                        <m:r>
                          <m:rPr>
                            <m:sty m:val="p"/>
                          </m:rPr>
                          <a:rPr lang="pt-BR" sz="800" b="0" i="0">
                            <a:latin typeface="Cambria Math" panose="02040503050406030204" pitchFamily="18" charset="0"/>
                          </a:rPr>
                          <m:t>vencido</m:t>
                        </m:r>
                        <m:r>
                          <a:rPr lang="pt-BR" sz="800" b="0" i="0">
                            <a:latin typeface="Cambria Math" panose="02040503050406030204" pitchFamily="18" charset="0"/>
                          </a:rPr>
                          <m:t> </m:t>
                        </m:r>
                        <m:r>
                          <m:rPr>
                            <m:sty m:val="p"/>
                          </m:rPr>
                          <a:rPr lang="pt-BR" sz="800" b="0" i="0">
                            <a:latin typeface="Cambria Math" panose="02040503050406030204" pitchFamily="18" charset="0"/>
                          </a:rPr>
                          <m:t>a</m:t>
                        </m:r>
                        <m:r>
                          <a:rPr lang="pt-BR" sz="800" b="0" i="0">
                            <a:latin typeface="Cambria Math" panose="02040503050406030204" pitchFamily="18" charset="0"/>
                          </a:rPr>
                          <m:t> </m:t>
                        </m:r>
                        <m:r>
                          <m:rPr>
                            <m:sty m:val="p"/>
                          </m:rPr>
                          <a:rPr lang="pt-BR" sz="800" b="0" i="0">
                            <a:latin typeface="Cambria Math" panose="02040503050406030204" pitchFamily="18" charset="0"/>
                          </a:rPr>
                          <m:t>mais</m:t>
                        </m:r>
                        <m:r>
                          <a:rPr lang="pt-BR" sz="800" b="0" i="0">
                            <a:latin typeface="Cambria Math" panose="02040503050406030204" pitchFamily="18" charset="0"/>
                          </a:rPr>
                          <m:t> </m:t>
                        </m:r>
                        <m:r>
                          <m:rPr>
                            <m:sty m:val="p"/>
                          </m:rPr>
                          <a:rPr lang="pt-BR" sz="800" b="0" i="0">
                            <a:latin typeface="Cambria Math" panose="02040503050406030204" pitchFamily="18" charset="0"/>
                          </a:rPr>
                          <m:t>de</m:t>
                        </m:r>
                        <m:r>
                          <a:rPr lang="pt-BR" sz="800" b="0" i="0">
                            <a:latin typeface="Cambria Math" panose="02040503050406030204" pitchFamily="18" charset="0"/>
                          </a:rPr>
                          <m:t> 90 </m:t>
                        </m:r>
                        <m:r>
                          <m:rPr>
                            <m:sty m:val="p"/>
                          </m:rPr>
                          <a:rPr lang="pt-BR" sz="800" b="0" i="0">
                            <a:latin typeface="Cambria Math" panose="02040503050406030204" pitchFamily="18" charset="0"/>
                          </a:rPr>
                          <m:t>dias</m:t>
                        </m:r>
                      </m:num>
                      <m:den>
                        <m:r>
                          <m:rPr>
                            <m:sty m:val="p"/>
                          </m:rPr>
                          <a:rPr lang="pt-BR" sz="800" i="0">
                            <a:latin typeface="Cambria Math" panose="02040503050406030204" pitchFamily="18" charset="0"/>
                          </a:rPr>
                          <m:t>Empr</m:t>
                        </m:r>
                        <m:r>
                          <a:rPr lang="pt-BR" sz="800" i="0">
                            <a:latin typeface="Cambria Math" panose="02040503050406030204" pitchFamily="18" charset="0"/>
                          </a:rPr>
                          <m:t>é</m:t>
                        </m:r>
                        <m:r>
                          <m:rPr>
                            <m:sty m:val="p"/>
                          </m:rPr>
                          <a:rPr lang="pt-BR" sz="800" i="0">
                            <a:latin typeface="Cambria Math" panose="02040503050406030204" pitchFamily="18" charset="0"/>
                          </a:rPr>
                          <m:t>stimos</m:t>
                        </m:r>
                        <m:r>
                          <a:rPr lang="pt-BR" sz="800" i="0">
                            <a:latin typeface="Cambria Math" panose="02040503050406030204" pitchFamily="18" charset="0"/>
                          </a:rPr>
                          <m:t> </m:t>
                        </m:r>
                        <m:r>
                          <m:rPr>
                            <m:sty m:val="p"/>
                          </m:rPr>
                          <a:rPr lang="pt-BR" sz="800" i="0">
                            <a:latin typeface="Cambria Math" panose="02040503050406030204" pitchFamily="18" charset="0"/>
                          </a:rPr>
                          <m:t>e</m:t>
                        </m:r>
                        <m:r>
                          <a:rPr lang="pt-BR" sz="800" i="0">
                            <a:latin typeface="Cambria Math" panose="02040503050406030204" pitchFamily="18" charset="0"/>
                          </a:rPr>
                          <m:t> </m:t>
                        </m:r>
                        <m:r>
                          <m:rPr>
                            <m:sty m:val="p"/>
                          </m:rPr>
                          <a:rPr lang="pt-BR" sz="800" i="0">
                            <a:latin typeface="Cambria Math" panose="02040503050406030204" pitchFamily="18" charset="0"/>
                          </a:rPr>
                          <m:t>adiantamento</m:t>
                        </m:r>
                        <m:r>
                          <a:rPr lang="pt-BR" sz="800" i="0">
                            <a:latin typeface="Cambria Math" panose="02040503050406030204" pitchFamily="18" charset="0"/>
                          </a:rPr>
                          <m:t> </m:t>
                        </m:r>
                        <m:r>
                          <m:rPr>
                            <m:sty m:val="p"/>
                          </m:rPr>
                          <a:rPr lang="pt-BR" sz="800" i="0">
                            <a:latin typeface="Cambria Math" panose="02040503050406030204" pitchFamily="18" charset="0"/>
                          </a:rPr>
                          <m:t>a</m:t>
                        </m:r>
                        <m:r>
                          <a:rPr lang="pt-BR" sz="800" i="0">
                            <a:latin typeface="Cambria Math" panose="02040503050406030204" pitchFamily="18" charset="0"/>
                          </a:rPr>
                          <m:t> </m:t>
                        </m:r>
                        <m:r>
                          <m:rPr>
                            <m:sty m:val="p"/>
                          </m:rPr>
                          <a:rPr lang="pt-BR" sz="800" i="0">
                            <a:latin typeface="Cambria Math" panose="02040503050406030204" pitchFamily="18" charset="0"/>
                          </a:rPr>
                          <m:t>clientes</m:t>
                        </m:r>
                        <m:r>
                          <a:rPr lang="pt-BR" sz="800" i="0">
                            <a:latin typeface="Cambria Math" panose="02040503050406030204" pitchFamily="18" charset="0"/>
                          </a:rPr>
                          <m:t>+</m:t>
                        </m:r>
                        <m:r>
                          <m:rPr>
                            <m:sty m:val="p"/>
                          </m:rPr>
                          <a:rPr lang="pt-BR" sz="800" i="0">
                            <a:latin typeface="Cambria Math" panose="02040503050406030204" pitchFamily="18" charset="0"/>
                          </a:rPr>
                          <m:t>Receb</m:t>
                        </m:r>
                        <m:r>
                          <a:rPr lang="pt-BR" sz="800" i="0">
                            <a:latin typeface="Cambria Math" panose="02040503050406030204" pitchFamily="18" charset="0"/>
                          </a:rPr>
                          <m:t>í</m:t>
                        </m:r>
                        <m:r>
                          <m:rPr>
                            <m:sty m:val="p"/>
                          </m:rPr>
                          <a:rPr lang="pt-BR" sz="800" i="0">
                            <a:latin typeface="Cambria Math" panose="02040503050406030204" pitchFamily="18" charset="0"/>
                          </a:rPr>
                          <m:t>veis</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Cart</m:t>
                        </m:r>
                        <m:r>
                          <a:rPr lang="pt-BR" sz="800" i="0">
                            <a:latin typeface="Cambria Math" panose="02040503050406030204" pitchFamily="18" charset="0"/>
                          </a:rPr>
                          <m:t>ã</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de</m:t>
                        </m:r>
                        <m:r>
                          <a:rPr lang="pt-BR" sz="800" i="0">
                            <a:latin typeface="Cambria Math" panose="02040503050406030204" pitchFamily="18" charset="0"/>
                          </a:rPr>
                          <m:t> </m:t>
                        </m:r>
                        <m:r>
                          <m:rPr>
                            <m:sty m:val="p"/>
                          </m:rPr>
                          <a:rPr lang="pt-BR" sz="800" i="0">
                            <a:latin typeface="Cambria Math" panose="02040503050406030204" pitchFamily="18" charset="0"/>
                          </a:rPr>
                          <m:t>Cr</m:t>
                        </m:r>
                        <m:r>
                          <a:rPr lang="pt-BR" sz="800" i="0">
                            <a:latin typeface="Cambria Math" panose="02040503050406030204" pitchFamily="18" charset="0"/>
                          </a:rPr>
                          <m:t>é</m:t>
                        </m:r>
                        <m:r>
                          <m:rPr>
                            <m:sty m:val="p"/>
                          </m:rPr>
                          <a:rPr lang="pt-BR" sz="800" i="0">
                            <a:latin typeface="Cambria Math" panose="02040503050406030204" pitchFamily="18" charset="0"/>
                          </a:rPr>
                          <m:t>dito</m:t>
                        </m:r>
                      </m:den>
                    </m:f>
                  </m:oMath>
                </m:oMathPara>
              </a14:m>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
                  </m:oMathParaPr>
                  <m:oMath xmlns:m="http://schemas.openxmlformats.org/officeDocument/2006/math">
                    <m:r>
                      <m:rPr>
                        <m:sty m:val="p"/>
                      </m:rPr>
                      <a:rPr lang="pt-BR" sz="800" b="0" i="0">
                        <a:latin typeface="Cambria Math" panose="02040503050406030204" pitchFamily="18" charset="0"/>
                        <a:cs typeface="Sora" pitchFamily="2" charset="0"/>
                      </a:rPr>
                      <m:t>Receita</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de</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juros</m:t>
                    </m:r>
                    <m:r>
                      <a:rPr lang="pt-BR" sz="800" i="0">
                        <a:latin typeface="Cambria Math" panose="02040503050406030204" pitchFamily="18" charset="0"/>
                        <a:cs typeface="Sora" pitchFamily="2" charset="0"/>
                      </a:rPr>
                      <m:t>+ </m:t>
                    </m:r>
                    <m:d>
                      <m:dPr>
                        <m:ctrlPr>
                          <a:rPr lang="pt-BR" sz="800" i="1">
                            <a:latin typeface="Cambria Math" panose="02040503050406030204" pitchFamily="18" charset="0"/>
                            <a:cs typeface="Sora" pitchFamily="2" charset="0"/>
                          </a:rPr>
                        </m:ctrlPr>
                      </m:dPr>
                      <m:e>
                        <m:r>
                          <m:rPr>
                            <m:sty m:val="p"/>
                          </m:rPr>
                          <a:rPr lang="pt-BR" sz="800" i="0">
                            <a:latin typeface="Cambria Math" panose="02040503050406030204" pitchFamily="18" charset="0"/>
                            <a:cs typeface="Sora" pitchFamily="2" charset="0"/>
                          </a:rPr>
                          <m:t>Receitas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servi</m:t>
                        </m:r>
                        <m:r>
                          <a:rPr lang="pt-BR" sz="800" i="0">
                            <a:latin typeface="Cambria Math" panose="02040503050406030204" pitchFamily="18" charset="0"/>
                            <a:cs typeface="Sora" pitchFamily="2" charset="0"/>
                          </a:rPr>
                          <m:t>ç</m:t>
                        </m:r>
                        <m:r>
                          <m:rPr>
                            <m:sty m:val="p"/>
                          </m:rPr>
                          <a:rPr lang="pt-BR" sz="800" i="0">
                            <a:latin typeface="Cambria Math" panose="02040503050406030204" pitchFamily="18" charset="0"/>
                            <a:cs typeface="Sora" pitchFamily="2" charset="0"/>
                          </a:rPr>
                          <m:t>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comiss</m:t>
                        </m:r>
                        <m:r>
                          <a:rPr lang="pt-BR" sz="800" i="0">
                            <a:latin typeface="Cambria Math" panose="02040503050406030204" pitchFamily="18" charset="0"/>
                            <a:cs typeface="Sora" pitchFamily="2" charset="0"/>
                          </a:rPr>
                          <m:t>õ</m:t>
                        </m:r>
                        <m:r>
                          <m:rPr>
                            <m:sty m:val="p"/>
                          </m:rPr>
                          <a:rPr lang="pt-BR" sz="800" i="0">
                            <a:latin typeface="Cambria Math" panose="02040503050406030204" pitchFamily="18" charset="0"/>
                            <a:cs typeface="Sora" pitchFamily="2" charset="0"/>
                          </a:rPr>
                          <m:t>es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despesas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com</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cashback</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Inter</m:t>
                        </m:r>
                        <m:r>
                          <a:rPr lang="pt-BR" sz="800" b="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rewards</m:t>
                        </m:r>
                      </m:e>
                    </m:d>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Resultado</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t</m:t>
                    </m:r>
                    <m:r>
                      <a:rPr lang="pt-BR" sz="800" i="0">
                        <a:latin typeface="Cambria Math" panose="02040503050406030204" pitchFamily="18" charset="0"/>
                        <a:cs typeface="Sora" pitchFamily="2" charset="0"/>
                      </a:rPr>
                      <m:t>í</m:t>
                    </m:r>
                    <m:r>
                      <m:rPr>
                        <m:sty m:val="p"/>
                      </m:rPr>
                      <a:rPr lang="pt-BR" sz="800" i="0">
                        <a:latin typeface="Cambria Math" panose="02040503050406030204" pitchFamily="18" charset="0"/>
                        <a:cs typeface="Sora" pitchFamily="2" charset="0"/>
                      </a:rPr>
                      <m:t>tulos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e</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valores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mobili</m:t>
                    </m:r>
                    <m:r>
                      <a:rPr lang="pt-BR" sz="800" i="0">
                        <a:latin typeface="Cambria Math" panose="02040503050406030204" pitchFamily="18" charset="0"/>
                        <a:cs typeface="Sora" pitchFamily="2" charset="0"/>
                      </a:rPr>
                      <m:t>á</m:t>
                    </m:r>
                    <m:r>
                      <m:rPr>
                        <m:sty m:val="p"/>
                      </m:rPr>
                      <a:rPr lang="pt-BR" sz="800" i="0">
                        <a:latin typeface="Cambria Math" panose="02040503050406030204" pitchFamily="18" charset="0"/>
                        <a:cs typeface="Sora" pitchFamily="2" charset="0"/>
                      </a:rPr>
                      <m:t>rios</m:t>
                    </m:r>
                    <m:r>
                      <a:rPr lang="pt-BR" sz="800" i="0">
                        <a:latin typeface="Cambria Math" panose="02040503050406030204" pitchFamily="18" charset="0"/>
                        <a:cs typeface="Sora" pitchFamily="2" charset="0"/>
                      </a:rPr>
                      <m:t> </m:t>
                    </m:r>
                    <m:r>
                      <m:rPr>
                        <m:sty m:val="p"/>
                      </m:rPr>
                      <a:rPr lang="pt-BR" sz="800" b="0" i="0">
                        <a:latin typeface="Cambria Math" panose="02040503050406030204" pitchFamily="18" charset="0"/>
                        <a:cs typeface="Sora" pitchFamily="2" charset="0"/>
                      </a:rPr>
                      <m:t>e</m:t>
                    </m:r>
                    <m:r>
                      <a:rPr lang="pt-BR" sz="800" b="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derivativos</m:t>
                    </m:r>
                    <m:r>
                      <a:rPr lang="pt-BR" sz="800" i="0">
                        <a:latin typeface="Cambria Math" panose="02040503050406030204" pitchFamily="18" charset="0"/>
                        <a:cs typeface="Sora" pitchFamily="2" charset="0"/>
                      </a:rPr>
                      <m:t> + </m:t>
                    </m:r>
                    <m:r>
                      <m:rPr>
                        <m:sty m:val="p"/>
                      </m:rPr>
                      <a:rPr lang="pt-BR" sz="800" i="0">
                        <a:latin typeface="Cambria Math" panose="02040503050406030204" pitchFamily="18" charset="0"/>
                        <a:cs typeface="Sora" pitchFamily="2" charset="0"/>
                      </a:rPr>
                      <m:t>Outras</m:t>
                    </m:r>
                    <m:r>
                      <a:rPr lang="pt-BR" sz="800" i="0">
                        <a:latin typeface="Cambria Math" panose="02040503050406030204" pitchFamily="18" charset="0"/>
                        <a:cs typeface="Sora" pitchFamily="2" charset="0"/>
                      </a:rPr>
                      <m:t> </m:t>
                    </m:r>
                    <m:r>
                      <m:rPr>
                        <m:sty m:val="p"/>
                      </m:rPr>
                      <a:rPr lang="pt-BR" sz="800" i="0">
                        <a:latin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Choice>
      <mc:Fallback xmlns="">
        <xdr:sp macro="" textlink="">
          <xdr:nvSpPr>
            <xdr:cNvPr id="51" name="Retângulo 9">
              <a:extLst>
                <a:ext uri="{FF2B5EF4-FFF2-40B4-BE49-F238E27FC236}">
                  <a16:creationId xmlns:a16="http://schemas.microsoft.com/office/drawing/2014/main" id="{A0707A7C-D8EB-26A2-0525-185CDA121C9A}"/>
                </a:ext>
              </a:extLst>
            </xdr:cNvPr>
            <xdr:cNvSpPr/>
          </xdr:nvSpPr>
          <xdr:spPr>
            <a:xfrm>
              <a:off x="6803887" y="31366055"/>
              <a:ext cx="5764771" cy="5341399"/>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NIM 1.0 - Baseado na carteira remunerada + recebíveis de cartão de crédito não remunerados</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4)/█(Média da carteira remunerada dos últimos 2 trimestres (Empréstimos a instituições financeiras+ Valores Mobiliários + @Derivativos + Empréstimos e adiantamentos a clientes</a:t>
              </a:r>
              <a:r>
                <a:rPr lang="pt-BR" sz="800" b="0" i="0">
                  <a:latin typeface="Cambria Math" panose="02040503050406030204" pitchFamily="18" charset="0"/>
                </a:rPr>
                <a:t>)) </a:t>
              </a:r>
              <a:r>
                <a:rPr lang="pt-BR" sz="80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pPr algn="ct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NIM 2.0 - Baseado na carteira remunerada</a:t>
              </a:r>
              <a:br>
                <a:rPr lang="en-US" sz="800" b="1">
                  <a:latin typeface="Calibri" panose="020F0502020204030204" pitchFamily="34" charset="0"/>
                  <a:cs typeface="Calibri" panose="020F0502020204030204" pitchFamily="34" charset="0"/>
                </a:rPr>
              </a:br>
              <a:endParaRPr lang="en-US" sz="800" b="1">
                <a:latin typeface="Calibri" panose="020F0502020204030204" pitchFamily="34" charset="0"/>
                <a:cs typeface="Calibri" panose="020F0502020204030204" pitchFamily="34" charset="0"/>
              </a:endParaRPr>
            </a:p>
            <a:p>
              <a:pPr algn="ctr"/>
              <a:r>
                <a:rPr lang="pt-BR" sz="800" i="0">
                  <a:latin typeface="Cambria Math" panose="02040503050406030204" pitchFamily="18" charset="0"/>
                </a:rPr>
                <a:t>(Resultado líquido de juros x 4)/</a:t>
              </a:r>
              <a:r>
                <a:rPr lang="en-US" sz="800" i="0">
                  <a:latin typeface="Cambria Math" panose="02040503050406030204" pitchFamily="18" charset="0"/>
                </a:rPr>
                <a:t>█("</a:t>
              </a:r>
              <a:r>
                <a:rPr lang="en-US" sz="800" i="0">
                  <a:latin typeface="Calibri" panose="020F0502020204030204" pitchFamily="34" charset="0"/>
                  <a:cs typeface="Calibri" panose="020F0502020204030204" pitchFamily="34" charset="0"/>
                </a:rPr>
                <a:t>Média da carteira remunerada dos últimos 2 trimestres – Recebíveis cartãode crédito não remunerados</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r>
                <a:rPr lang="en-US" sz="800" i="0">
                  <a:latin typeface="Cambria Math" panose="02040503050406030204" pitchFamily="18" charset="0"/>
                  <a:cs typeface="Calibri" panose="020F0502020204030204" pitchFamily="34" charset="0"/>
                </a:rPr>
                <a:t>"</a:t>
              </a:r>
              <a:r>
                <a:rPr lang="en-US" sz="800" i="0">
                  <a:latin typeface="Calibri" panose="020F0502020204030204" pitchFamily="34" charset="0"/>
                  <a:cs typeface="Calibri" panose="020F0502020204030204" pitchFamily="34" charset="0"/>
                </a:rPr>
                <a:t>(Empréstimos a instituiçõesfinanceiras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Valores Mobiliários+ Derivativos + Empréstimos e adiantamentos </a:t>
              </a:r>
              <a:r>
                <a:rPr lang="en-US" sz="800" i="0">
                  <a:latin typeface="Cambria Math" panose="02040503050406030204" pitchFamily="18" charset="0"/>
                  <a:cs typeface="Calibri" panose="020F0502020204030204" pitchFamily="34" charset="0"/>
                </a:rPr>
                <a:t>" @"</a:t>
              </a:r>
              <a:r>
                <a:rPr lang="en-US" sz="800" i="0">
                  <a:latin typeface="Calibri" panose="020F0502020204030204" pitchFamily="34" charset="0"/>
                  <a:cs typeface="Calibri" panose="020F0502020204030204" pitchFamily="34" charset="0"/>
                </a:rPr>
                <a:t>a</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 clientes"</a:t>
              </a:r>
              <a:r>
                <a:rPr lang="pt-BR" sz="800" i="0">
                  <a:latin typeface="Calibri" panose="020F0502020204030204" pitchFamily="34" charset="0"/>
                  <a:cs typeface="Calibri" panose="020F0502020204030204" pitchFamily="34" charset="0"/>
                </a:rPr>
                <a:t> </a:t>
              </a:r>
              <a:r>
                <a:rPr lang="en-US" sz="800" i="0">
                  <a:latin typeface="Calibri" panose="020F0502020204030204" pitchFamily="34" charset="0"/>
                  <a:cs typeface="Calibri" panose="020F0502020204030204" pitchFamily="34" charset="0"/>
                </a:rPr>
                <a:t>– </a:t>
              </a:r>
              <a:r>
                <a:rPr lang="pt-BR" sz="800" i="0">
                  <a:latin typeface="Calibri" panose="020F0502020204030204" pitchFamily="34" charset="0"/>
                  <a:cs typeface="Calibri" panose="020F0502020204030204" pitchFamily="34" charset="0"/>
                </a:rPr>
                <a:t>C</a:t>
              </a:r>
              <a:r>
                <a:rPr lang="en-US" sz="800" i="0">
                  <a:latin typeface="Calibri" panose="020F0502020204030204" pitchFamily="34" charset="0"/>
                  <a:cs typeface="Calibri" panose="020F0502020204030204" pitchFamily="34" charset="0"/>
                </a:rPr>
                <a:t>arteira à vista de cartão de crédito</a:t>
              </a:r>
              <a:r>
                <a:rPr lang="pt-BR" sz="800" i="0">
                  <a:latin typeface="Cambria Math" panose="02040503050406030204" pitchFamily="18" charset="0"/>
                  <a:cs typeface="Calibri" panose="020F0502020204030204" pitchFamily="34" charset="0"/>
                </a:rPr>
                <a:t>" </a:t>
              </a:r>
              <a:r>
                <a:rPr lang="pt-BR" sz="800" i="0">
                  <a:latin typeface="Cambria Math" panose="02040503050406030204" pitchFamily="18" charset="0"/>
                </a:rPr>
                <a:t>)"</a:t>
              </a:r>
              <a:r>
                <a:rPr lang="pt-BR" sz="800" i="0">
                  <a:latin typeface="Calibri" panose="020F0502020204030204" pitchFamily="34" charset="0"/>
                  <a:cs typeface="Calibri" panose="020F0502020204030204" pitchFamily="34" charset="0"/>
                </a:rPr>
                <a:t> </a:t>
              </a:r>
              <a:r>
                <a:rPr lang="pt-BR" sz="800" i="0">
                  <a:latin typeface="Cambria Math" panose="02040503050406030204" pitchFamily="18" charset="0"/>
                  <a:cs typeface="Calibri" panose="020F0502020204030204" pitchFamily="34" charset="0"/>
                </a:rPr>
                <a:t>" )</a:t>
              </a:r>
              <a:endParaRPr lang="en-US" sz="800">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15 a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(Saldo vencido </a:t>
              </a:r>
              <a:r>
                <a:rPr lang="pt-BR" sz="800" b="0" i="0">
                  <a:latin typeface="Cambria Math" panose="02040503050406030204" pitchFamily="18" charset="0"/>
                </a:rPr>
                <a:t>entre 15 e 90 </a:t>
              </a:r>
              <a:r>
                <a:rPr lang="pt-BR" sz="800" i="0">
                  <a:latin typeface="Cambria Math" panose="02040503050406030204" pitchFamily="18" charset="0"/>
                </a:rPr>
                <a:t>dias)/(Empréstimos e adiantamento a clientes+Recebíveis de Cartão de Crédito)</a:t>
              </a:r>
              <a:r>
                <a:rPr lang="pt-BR" sz="800" b="0" i="0">
                  <a:latin typeface="Cambria Math" panose="02040503050406030204" pitchFamily="18" charset="0"/>
                </a:rPr>
                <a:t>  </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NPL &gt; 90 dias:</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(S</a:t>
              </a:r>
              <a:r>
                <a:rPr lang="pt-BR" sz="800" b="0" i="0">
                  <a:latin typeface="Cambria Math" panose="02040503050406030204" pitchFamily="18" charset="0"/>
                </a:rPr>
                <a:t>aldo vencido a mais de 90 dias)/(</a:t>
              </a:r>
              <a:r>
                <a:rPr lang="pt-BR" sz="800" i="0">
                  <a:latin typeface="Cambria Math" panose="02040503050406030204" pitchFamily="18" charset="0"/>
                </a:rPr>
                <a:t>Empréstimos e adiantamento a clientes+Recebíveis de Cartão de Crédito)</a:t>
              </a:r>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bruta total:</a:t>
              </a:r>
            </a:p>
            <a:p>
              <a:endParaRPr lang="pt-BR" sz="800">
                <a:solidFill>
                  <a:schemeClr val="tx1">
                    <a:lumMod val="85000"/>
                    <a:lumOff val="15000"/>
                  </a:schemeClr>
                </a:solidFill>
                <a:latin typeface="Calibri" panose="020F0502020204030204" pitchFamily="34" charset="0"/>
                <a:ea typeface="Inter" panose="020B0502030000000004" pitchFamily="34" charset="0"/>
                <a:cs typeface="Calibri" panose="020F0502020204030204" pitchFamily="34" charset="0"/>
              </a:endParaRPr>
            </a:p>
            <a:p>
              <a:pPr/>
              <a:r>
                <a:rPr lang="pt-BR" sz="800" b="0" i="0">
                  <a:latin typeface="Cambria Math" panose="02040503050406030204" pitchFamily="18" charset="0"/>
                  <a:cs typeface="Sora" pitchFamily="2" charset="0"/>
                </a:rPr>
                <a:t>Receita de juros</a:t>
              </a:r>
              <a:r>
                <a:rPr lang="pt-BR" sz="800" i="0">
                  <a:latin typeface="Cambria Math" panose="02040503050406030204" pitchFamily="18" charset="0"/>
                  <a:cs typeface="Sora" pitchFamily="2" charset="0"/>
                </a:rPr>
                <a:t>+ (Receitas de serviços e comissões – despesas com cashback</a:t>
              </a:r>
              <a:r>
                <a:rPr lang="pt-BR" sz="800" b="0" i="0">
                  <a:latin typeface="Cambria Math" panose="02040503050406030204" pitchFamily="18" charset="0"/>
                  <a:cs typeface="Sora" pitchFamily="2" charset="0"/>
                </a:rPr>
                <a:t> −Inter rewards)</a:t>
              </a:r>
              <a:r>
                <a:rPr lang="pt-BR" sz="800" i="0">
                  <a:latin typeface="Cambria Math" panose="02040503050406030204" pitchFamily="18" charset="0"/>
                  <a:cs typeface="Sora" pitchFamily="2" charset="0"/>
                </a:rPr>
                <a:t>+ Resultado de títulos e valores mobiliários </a:t>
              </a:r>
              <a:r>
                <a:rPr lang="pt-BR" sz="800" b="0" i="0">
                  <a:latin typeface="Cambria Math" panose="02040503050406030204" pitchFamily="18" charset="0"/>
                  <a:cs typeface="Sora" pitchFamily="2" charset="0"/>
                </a:rPr>
                <a:t>e </a:t>
              </a:r>
              <a:r>
                <a:rPr lang="pt-BR" sz="800" i="0">
                  <a:latin typeface="Cambria Math" panose="02040503050406030204" pitchFamily="18" charset="0"/>
                  <a:cs typeface="Sora" pitchFamily="2" charset="0"/>
                </a:rPr>
                <a:t>derivativos +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de floating:</a:t>
              </a:r>
            </a:p>
            <a:p>
              <a:r>
                <a:rPr lang="pt-BR" sz="800">
                  <a:latin typeface="Calibri" panose="020F0502020204030204" pitchFamily="34" charset="0"/>
                  <a:ea typeface="Inter" panose="020B0502030000000004" pitchFamily="34" charset="0"/>
                  <a:cs typeface="Calibri" panose="020F0502020204030204" pitchFamily="34" charset="0"/>
                </a:rPr>
                <a:t>A receita de floating é um cálculo gerencial e se dá pela multiplicação do saldo de depósitos à vista (líquido de compulsório) por 100% da taxa CDI.</a:t>
              </a:r>
            </a:p>
            <a:p>
              <a:endParaRPr lang="pt-BR"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xdr:txBody>
        </xdr:sp>
      </mc:Fallback>
    </mc:AlternateContent>
    <xdr:clientData/>
  </xdr:twoCellAnchor>
  <xdr:twoCellAnchor>
    <xdr:from>
      <xdr:col>8</xdr:col>
      <xdr:colOff>218784</xdr:colOff>
      <xdr:row>200</xdr:row>
      <xdr:rowOff>0</xdr:rowOff>
    </xdr:from>
    <xdr:to>
      <xdr:col>15</xdr:col>
      <xdr:colOff>186984</xdr:colOff>
      <xdr:row>227</xdr:row>
      <xdr:rowOff>15069</xdr:rowOff>
    </xdr:to>
    <mc:AlternateContent xmlns:mc="http://schemas.openxmlformats.org/markup-compatibility/2006" xmlns:a14="http://schemas.microsoft.com/office/drawing/2010/main">
      <mc:Choice Requires="a14">
        <xdr:sp macro="" textlink="">
          <xdr:nvSpPr>
            <xdr:cNvPr id="52" name="Retângulo 9">
              <a:extLst>
                <a:ext uri="{FF2B5EF4-FFF2-40B4-BE49-F238E27FC236}">
                  <a16:creationId xmlns:a16="http://schemas.microsoft.com/office/drawing/2014/main" id="{00000000-0008-0000-1600-000034000000}"/>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Para xmlns:m="http://schemas.openxmlformats.org/officeDocument/2006/math">
                  <m:oMathParaPr>
                    <m:jc m:val="centerGroup"/>
                  </m:oMathParaPr>
                  <m:oMath xmlns:m="http://schemas.openxmlformats.org/officeDocument/2006/math">
                    <m:r>
                      <m:rPr>
                        <m:sty m:val="p"/>
                      </m:rP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l</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quido</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servi</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ç</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comiss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õ</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Outras</m:t>
                    </m:r>
                    <m: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receitas</m:t>
                    </m:r>
                  </m:oMath>
                </m:oMathPara>
              </a14:m>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14:m>
                <m:oMath xmlns:m="http://schemas.openxmlformats.org/officeDocument/2006/math">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Receita</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Despesas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juros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Resultado</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de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í</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tulos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e</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Valores</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 </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Mobili</m:t>
                  </m:r>
                  <m: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á</m:t>
                  </m:r>
                  <m:r>
                    <m:rPr>
                      <m:sty m:val="p"/>
                    </m:rPr>
                    <a:rPr lang="pt-BR" sz="80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m:t>rios</m:t>
                  </m:r>
                </m:oMath>
              </a14:m>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14:m>
                <m:oMathPara xmlns:m="http://schemas.openxmlformats.org/officeDocument/2006/math">
                  <m:oMathParaPr>
                    <m:jc m:val="centerGroup"/>
                  </m:oMathParaPr>
                  <m:oMath xmlns:m="http://schemas.openxmlformats.org/officeDocument/2006/math">
                    <m:f>
                      <m:fPr>
                        <m:ctrlPr>
                          <a:rPr lang="pt-BR" sz="800" i="1">
                            <a:latin typeface="Cambria Math" panose="02040503050406030204" pitchFamily="18" charset="0"/>
                          </a:rPr>
                        </m:ctrlPr>
                      </m:fPr>
                      <m:num>
                        <m:r>
                          <a:rPr lang="pt-BR" sz="800" i="0">
                            <a:latin typeface="Cambria Math" panose="02040503050406030204" pitchFamily="18" charset="0"/>
                          </a:rPr>
                          <m:t>(</m:t>
                        </m:r>
                        <m:r>
                          <m:rPr>
                            <m:sty m:val="p"/>
                          </m:rPr>
                          <a:rPr lang="pt-BR" sz="800" i="0">
                            <a:latin typeface="Cambria Math" panose="02040503050406030204" pitchFamily="18" charset="0"/>
                          </a:rPr>
                          <m:t>Lucro</m:t>
                        </m:r>
                        <m:r>
                          <a:rPr lang="pt-BR" sz="800" i="0">
                            <a:latin typeface="Cambria Math" panose="02040503050406030204" pitchFamily="18" charset="0"/>
                          </a:rPr>
                          <m:t> /</m:t>
                        </m:r>
                        <m:d>
                          <m:dPr>
                            <m:ctrlPr>
                              <a:rPr lang="pt-BR" sz="800" i="1">
                                <a:latin typeface="Cambria Math" panose="02040503050406030204" pitchFamily="18" charset="0"/>
                              </a:rPr>
                            </m:ctrlPr>
                          </m:dPr>
                          <m:e>
                            <m:r>
                              <m:rPr>
                                <m:sty m:val="p"/>
                              </m:rPr>
                              <a:rPr lang="pt-BR" sz="800" i="0">
                                <a:latin typeface="Cambria Math" panose="02040503050406030204" pitchFamily="18" charset="0"/>
                              </a:rPr>
                              <m:t>perda</m:t>
                            </m:r>
                          </m:e>
                        </m:d>
                        <m:r>
                          <a:rPr lang="pt-BR" sz="800" i="0">
                            <a:latin typeface="Cambria Math" panose="02040503050406030204" pitchFamily="18" charset="0"/>
                          </a:rPr>
                          <m:t> </m:t>
                        </m:r>
                        <m:r>
                          <m:rPr>
                            <m:sty m:val="p"/>
                          </m:rPr>
                          <a:rPr lang="pt-BR" sz="800" i="0">
                            <a:latin typeface="Cambria Math" panose="02040503050406030204" pitchFamily="18" charset="0"/>
                          </a:rPr>
                          <m:t>para</m:t>
                        </m:r>
                        <m:r>
                          <a:rPr lang="pt-BR" sz="800" i="0">
                            <a:latin typeface="Cambria Math" panose="02040503050406030204" pitchFamily="18" charset="0"/>
                          </a:rPr>
                          <m:t> </m:t>
                        </m:r>
                        <m:r>
                          <m:rPr>
                            <m:sty m:val="p"/>
                          </m:rPr>
                          <a:rPr lang="pt-BR" sz="800" i="0">
                            <a:latin typeface="Cambria Math" panose="02040503050406030204" pitchFamily="18" charset="0"/>
                          </a:rPr>
                          <m:t>o</m:t>
                        </m:r>
                        <m:r>
                          <a:rPr lang="pt-BR" sz="800" i="0">
                            <a:latin typeface="Cambria Math" panose="02040503050406030204" pitchFamily="18" charset="0"/>
                          </a:rPr>
                          <m:t> </m:t>
                        </m:r>
                        <m:r>
                          <m:rPr>
                            <m:sty m:val="p"/>
                          </m:rPr>
                          <a:rPr lang="pt-BR" sz="800" i="0">
                            <a:latin typeface="Cambria Math" panose="02040503050406030204" pitchFamily="18" charset="0"/>
                          </a:rPr>
                          <m:t>ano</m:t>
                        </m:r>
                        <m:r>
                          <a:rPr lang="pt-BR" sz="800" i="0">
                            <a:latin typeface="Cambria Math" panose="02040503050406030204" pitchFamily="18" charset="0"/>
                          </a:rPr>
                          <m:t>) × 4</m:t>
                        </m:r>
                      </m:num>
                      <m:den>
                        <m:r>
                          <m:rPr>
                            <m:sty m:val="p"/>
                          </m:rPr>
                          <a:rPr lang="pt-BR" sz="800" i="0">
                            <a:latin typeface="Cambria Math" panose="02040503050406030204" pitchFamily="18" charset="0"/>
                          </a:rPr>
                          <m:t>M</m:t>
                        </m:r>
                        <m:r>
                          <a:rPr lang="pt-BR" sz="800" i="0">
                            <a:latin typeface="Cambria Math" panose="02040503050406030204" pitchFamily="18" charset="0"/>
                          </a:rPr>
                          <m:t>é</m:t>
                        </m:r>
                        <m:r>
                          <m:rPr>
                            <m:sty m:val="p"/>
                          </m:rPr>
                          <a:rPr lang="pt-BR" sz="800" i="0">
                            <a:latin typeface="Cambria Math" panose="02040503050406030204" pitchFamily="18" charset="0"/>
                          </a:rPr>
                          <m:t>dia</m:t>
                        </m:r>
                        <m:r>
                          <a:rPr lang="pt-BR" sz="800" i="0">
                            <a:latin typeface="Cambria Math" panose="02040503050406030204" pitchFamily="18" charset="0"/>
                          </a:rPr>
                          <m:t> </m:t>
                        </m:r>
                        <m:r>
                          <m:rPr>
                            <m:sty m:val="p"/>
                          </m:rPr>
                          <a:rPr lang="pt-BR" sz="800" i="0">
                            <a:latin typeface="Cambria Math" panose="02040503050406030204" pitchFamily="18" charset="0"/>
                          </a:rPr>
                          <m:t>do</m:t>
                        </m:r>
                        <m:r>
                          <a:rPr lang="pt-BR" sz="800" i="0">
                            <a:latin typeface="Cambria Math" panose="02040503050406030204" pitchFamily="18" charset="0"/>
                          </a:rPr>
                          <m:t> </m:t>
                        </m:r>
                        <m:r>
                          <m:rPr>
                            <m:sty m:val="p"/>
                          </m:rPr>
                          <a:rPr lang="pt-BR" sz="800" i="0">
                            <a:latin typeface="Cambria Math" panose="02040503050406030204" pitchFamily="18" charset="0"/>
                          </a:rPr>
                          <m:t>patrim</m:t>
                        </m:r>
                        <m:r>
                          <a:rPr lang="pt-BR" sz="800" i="0">
                            <a:latin typeface="Cambria Math" panose="02040503050406030204" pitchFamily="18" charset="0"/>
                          </a:rPr>
                          <m:t>ô</m:t>
                        </m:r>
                        <m:r>
                          <m:rPr>
                            <m:sty m:val="p"/>
                          </m:rPr>
                          <a:rPr lang="pt-BR" sz="800" i="0">
                            <a:latin typeface="Cambria Math" panose="02040503050406030204" pitchFamily="18" charset="0"/>
                          </a:rPr>
                          <m:t>nio</m:t>
                        </m:r>
                        <m:r>
                          <a:rPr lang="pt-BR" sz="800" i="0">
                            <a:latin typeface="Cambria Math" panose="02040503050406030204" pitchFamily="18" charset="0"/>
                          </a:rPr>
                          <m:t> </m:t>
                        </m:r>
                        <m:r>
                          <m:rPr>
                            <m:sty m:val="p"/>
                          </m:rPr>
                          <a:rPr lang="pt-BR" sz="800" i="0">
                            <a:latin typeface="Cambria Math" panose="02040503050406030204" pitchFamily="18" charset="0"/>
                          </a:rPr>
                          <m:t>l</m:t>
                        </m:r>
                        <m:r>
                          <a:rPr lang="pt-BR" sz="800" i="0">
                            <a:latin typeface="Cambria Math" panose="02040503050406030204" pitchFamily="18" charset="0"/>
                          </a:rPr>
                          <m:t>í</m:t>
                        </m:r>
                        <m:r>
                          <m:rPr>
                            <m:sty m:val="p"/>
                          </m:rPr>
                          <a:rPr lang="pt-BR" sz="800" i="0">
                            <a:latin typeface="Cambria Math" panose="02040503050406030204" pitchFamily="18" charset="0"/>
                          </a:rPr>
                          <m:t>quido</m:t>
                        </m:r>
                        <m:r>
                          <a:rPr lang="pt-BR" sz="800" i="0">
                            <a:latin typeface="Cambria Math" panose="02040503050406030204" pitchFamily="18" charset="0"/>
                          </a:rPr>
                          <m:t> </m:t>
                        </m:r>
                        <m:r>
                          <m:rPr>
                            <m:sty m:val="p"/>
                          </m:rPr>
                          <a:rPr lang="pt-BR" sz="800" i="0">
                            <a:latin typeface="Cambria Math" panose="02040503050406030204" pitchFamily="18" charset="0"/>
                          </a:rPr>
                          <m:t>dos</m:t>
                        </m:r>
                        <m:r>
                          <a:rPr lang="pt-BR" sz="800" i="0">
                            <a:latin typeface="Cambria Math" panose="02040503050406030204" pitchFamily="18" charset="0"/>
                          </a:rPr>
                          <m:t> ú</m:t>
                        </m:r>
                        <m:r>
                          <m:rPr>
                            <m:sty m:val="p"/>
                          </m:rPr>
                          <a:rPr lang="pt-BR" sz="800" i="0">
                            <a:latin typeface="Cambria Math" panose="02040503050406030204" pitchFamily="18" charset="0"/>
                          </a:rPr>
                          <m:t>ltimos</m:t>
                        </m:r>
                        <m:r>
                          <a:rPr lang="pt-BR" sz="800" i="0">
                            <a:latin typeface="Cambria Math" panose="02040503050406030204" pitchFamily="18" charset="0"/>
                          </a:rPr>
                          <m:t> 2 </m:t>
                        </m:r>
                        <m:r>
                          <m:rPr>
                            <m:sty m:val="p"/>
                          </m:rPr>
                          <a:rPr lang="pt-BR" sz="800" i="0">
                            <a:latin typeface="Cambria Math" panose="02040503050406030204" pitchFamily="18" charset="0"/>
                          </a:rPr>
                          <m:t>trimestres</m:t>
                        </m:r>
                        <m:r>
                          <a:rPr lang="pt-BR" sz="800" i="0">
                            <a:latin typeface="Cambria Math" panose="02040503050406030204" pitchFamily="18" charset="0"/>
                          </a:rPr>
                          <m:t> </m:t>
                        </m:r>
                      </m:den>
                    </m:f>
                  </m:oMath>
                </m:oMathPara>
              </a14:m>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14:m>
                <m:oMath xmlns:m="http://schemas.openxmlformats.org/officeDocument/2006/math">
                  <m:r>
                    <m:rPr>
                      <m:sty m:val="p"/>
                    </m:rPr>
                    <a:rPr lang="pt-BR" sz="800" b="0" i="0">
                      <a:latin typeface="Cambria Math" panose="02040503050406030204" pitchFamily="18" charset="0"/>
                      <a:ea typeface="Cambria Math" panose="02040503050406030204" pitchFamily="18" charset="0"/>
                      <a:cs typeface="Sora" pitchFamily="2" charset="0"/>
                    </a:rPr>
                    <m:t>Despesas</m:t>
                  </m:r>
                  <m:r>
                    <a:rPr lang="pt-BR" sz="800" b="0" i="0">
                      <a:latin typeface="Cambria Math" panose="02040503050406030204" pitchFamily="18" charset="0"/>
                      <a:ea typeface="Cambria Math" panose="02040503050406030204" pitchFamily="18" charset="0"/>
                      <a:cs typeface="Sora" pitchFamily="2" charset="0"/>
                    </a:rPr>
                    <m:t> </m:t>
                  </m:r>
                  <m:r>
                    <m:rPr>
                      <m:sty m:val="p"/>
                    </m:rPr>
                    <a:rPr lang="pt-BR" sz="800" b="0" i="0">
                      <a:latin typeface="Cambria Math" panose="02040503050406030204" pitchFamily="18" charset="0"/>
                      <a:ea typeface="Cambria Math" panose="02040503050406030204" pitchFamily="18" charset="0"/>
                      <a:cs typeface="Sora" pitchFamily="2" charset="0"/>
                    </a:rPr>
                    <m:t>Administrativas</m:t>
                  </m:r>
                  <m:r>
                    <a:rPr lang="pt-BR" sz="800" b="0" i="0">
                      <a:latin typeface="Cambria Math" panose="02040503050406030204" pitchFamily="18" charset="0"/>
                      <a:ea typeface="Cambria Math" panose="02040503050406030204" pitchFamily="18" charset="0"/>
                      <a:cs typeface="Sora" pitchFamily="2" charset="0"/>
                    </a:rPr>
                    <m:t> </m:t>
                  </m:r>
                </m:oMath>
              </a14:m>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Choice>
      <mc:Fallback xmlns="">
        <xdr:sp macro="" textlink="">
          <xdr:nvSpPr>
            <xdr:cNvPr id="52" name="Retângulo 9">
              <a:extLst>
                <a:ext uri="{FF2B5EF4-FFF2-40B4-BE49-F238E27FC236}">
                  <a16:creationId xmlns:a16="http://schemas.microsoft.com/office/drawing/2014/main" id="{3E89D0AB-9666-E04D-4A66-644C70C6A489}"/>
                </a:ext>
              </a:extLst>
            </xdr:cNvPr>
            <xdr:cNvSpPr/>
          </xdr:nvSpPr>
          <xdr:spPr>
            <a:xfrm>
              <a:off x="6844871" y="36811594"/>
              <a:ext cx="5766026" cy="4984634"/>
            </a:xfrm>
            <a:prstGeom prst="rect">
              <a:avLst/>
            </a:prstGeom>
          </xdr:spPr>
          <xdr:txBody>
            <a:bodyPr wrap="square" numCol="1">
              <a:spAutoFit/>
            </a:bodyPr>
            <a:lstStyle>
              <a:defPPr>
                <a:defRPr lang="en-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b="1">
                  <a:latin typeface="Calibri" panose="020F0502020204030204" pitchFamily="34" charset="0"/>
                  <a:cs typeface="Calibri" panose="020F0502020204030204" pitchFamily="34" charset="0"/>
                </a:rPr>
                <a:t>Receita de serviços de cartão:</a:t>
              </a:r>
            </a:p>
            <a:p>
              <a:pPr algn="just"/>
              <a:r>
                <a:rPr lang="en-US" sz="800">
                  <a:latin typeface="Calibri" panose="020F0502020204030204" pitchFamily="34" charset="0"/>
                  <a:ea typeface="Inter" panose="020B0502030000000004" pitchFamily="34" charset="0"/>
                  <a:cs typeface="Calibri" panose="020F0502020204030204" pitchFamily="34" charset="0"/>
                </a:rPr>
                <a:t>É parte das linhas “Receita de serviços e comissões” e “Outras receitas” da Demonstração de Resultado IFRS. </a:t>
              </a:r>
            </a:p>
            <a:p>
              <a:pPr algn="just"/>
              <a:endParaRPr lang="en-US" sz="800" b="1">
                <a:latin typeface="Calibri" panose="020F0502020204030204" pitchFamily="34" charset="0"/>
                <a:ea typeface="Inter" panose="020B05020300000000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sultado líquido de juros + Resultado líquido de serviços e comissões</a:t>
              </a:r>
              <a:r>
                <a:rPr lang="pt-BR" sz="800" b="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a:t>
              </a: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 Outras receitas</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serviços: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Receitas de serviços e comissões + Outras receitas</a:t>
              </a:r>
              <a:endPar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endParaRPr>
            </a:p>
            <a:p>
              <a:endParaRPr lang="pt-BR" sz="800">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r>
                <a:rPr lang="pt-BR" sz="800" b="1">
                  <a:latin typeface="Calibri" panose="020F0502020204030204" pitchFamily="34" charset="0"/>
                  <a:cs typeface="Calibri" panose="020F0502020204030204" pitchFamily="34" charset="0"/>
                </a:rPr>
                <a:t>Receita líquida de juros:</a:t>
              </a:r>
            </a:p>
            <a:p>
              <a:endParaRPr lang="pt-BR" sz="800">
                <a:solidFill>
                  <a:schemeClr val="tx1">
                    <a:lumMod val="85000"/>
                    <a:lumOff val="15000"/>
                  </a:schemeClr>
                </a:solidFill>
                <a:highlight>
                  <a:srgbClr val="FFFF00"/>
                </a:highlight>
                <a:latin typeface="Calibri" panose="020F0502020204030204" pitchFamily="34" charset="0"/>
                <a:ea typeface="Inter" panose="020B0502030000000004" pitchFamily="34" charset="0"/>
                <a:cs typeface="Calibri" panose="020F0502020204030204" pitchFamily="34" charset="0"/>
              </a:endParaRPr>
            </a:p>
            <a:p>
              <a:pPr algn="ctr"/>
              <a:r>
                <a:rPr lang="pt-BR" sz="800" i="0">
                  <a:solidFill>
                    <a:schemeClr val="tx1">
                      <a:lumMod val="85000"/>
                      <a:lumOff val="15000"/>
                    </a:schemeClr>
                  </a:solidFill>
                  <a:latin typeface="Cambria Math" panose="02040503050406030204" pitchFamily="18" charset="0"/>
                  <a:ea typeface="Cambria Math" panose="02040503050406030204" pitchFamily="18" charset="0"/>
                  <a:cs typeface="Sora" pitchFamily="2" charset="0"/>
                </a:rPr>
                <a:t>Receita de juros+Despesas de juros+Resultado de Títulos e Valores Mobiliários</a:t>
              </a:r>
              <a:r>
                <a:rPr lang="pt-BR" sz="800">
                  <a:solidFill>
                    <a:schemeClr val="tx1">
                      <a:lumMod val="85000"/>
                      <a:lumOff val="15000"/>
                    </a:schemeClr>
                  </a:solidFill>
                  <a:latin typeface="Calibri" panose="020F0502020204030204" pitchFamily="34" charset="0"/>
                  <a:ea typeface="Cambria Math" panose="02040503050406030204" pitchFamily="18" charset="0"/>
                  <a:cs typeface="Calibri" panose="020F0502020204030204" pitchFamily="34" charset="0"/>
                </a:rPr>
                <a:t> e Derivativos</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Retorno sobre patrimônio líquido médio (ROE): </a:t>
              </a:r>
            </a:p>
            <a:p>
              <a:endParaRPr lang="en-US" sz="800" b="1">
                <a:latin typeface="Calibri" panose="020F0502020204030204" pitchFamily="34" charset="0"/>
                <a:cs typeface="Calibri" panose="020F0502020204030204" pitchFamily="34" charset="0"/>
              </a:endParaRPr>
            </a:p>
            <a:p>
              <a:pPr/>
              <a:r>
                <a:rPr lang="pt-BR" sz="800" i="0">
                  <a:latin typeface="Cambria Math" panose="02040503050406030204" pitchFamily="18" charset="0"/>
                </a:rPr>
                <a:t>((Lucro /(perda)  para o ano) × 4)/(Média do patrimônio líquido dos últimos 2 trimestres )</a:t>
              </a:r>
              <a:endParaRPr lang="en-US" sz="800" b="1">
                <a:latin typeface="Calibri" panose="020F0502020204030204" pitchFamily="34" charset="0"/>
                <a:cs typeface="Calibri" panose="020F0502020204030204" pitchFamily="34" charset="0"/>
              </a:endParaRPr>
            </a:p>
            <a:p>
              <a:endParaRPr lang="pt-BR"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ea typeface="Cambria Math" panose="02040503050406030204" pitchFamily="18" charset="0"/>
                  <a:cs typeface="Calibri" panose="020F0502020204030204" pitchFamily="34" charset="0"/>
                </a:rPr>
                <a:t>SG&amp;A:</a:t>
              </a:r>
            </a:p>
            <a:p>
              <a:endParaRPr lang="en-US" sz="800" b="1" i="0">
                <a:latin typeface="Calibri" panose="020F0502020204030204" pitchFamily="34" charset="0"/>
                <a:ea typeface="Cambria Math" panose="02040503050406030204" pitchFamily="18" charset="0"/>
                <a:cs typeface="Calibri" panose="020F0502020204030204" pitchFamily="34" charset="0"/>
              </a:endParaRPr>
            </a:p>
            <a:p>
              <a:pPr algn="ctr"/>
              <a:r>
                <a:rPr lang="pt-BR" sz="800" b="0" i="0">
                  <a:latin typeface="Cambria Math" panose="02040503050406030204" pitchFamily="18" charset="0"/>
                  <a:ea typeface="Cambria Math" panose="02040503050406030204" pitchFamily="18" charset="0"/>
                  <a:cs typeface="Sora" pitchFamily="2" charset="0"/>
                </a:rPr>
                <a:t>Despesas Administrativas </a:t>
              </a:r>
              <a:r>
                <a:rPr lang="en-US" sz="800">
                  <a:latin typeface="Calibri" panose="020F0502020204030204" pitchFamily="34" charset="0"/>
                  <a:ea typeface="Cambria Math" panose="02040503050406030204" pitchFamily="18" charset="0"/>
                  <a:cs typeface="Calibri" panose="020F0502020204030204" pitchFamily="34" charset="0"/>
                </a:rPr>
                <a:t>+ Despesa de Pessoal + Depreciação e Amortização</a:t>
              </a:r>
            </a:p>
            <a:p>
              <a:endParaRPr lang="en-US" sz="800" b="1">
                <a:latin typeface="Calibri" panose="020F0502020204030204" pitchFamily="34" charset="0"/>
                <a:cs typeface="Calibri" panose="020F0502020204030204" pitchFamily="34" charset="0"/>
              </a:endParaRPr>
            </a:p>
            <a:p>
              <a:endParaRPr lang="en-US" sz="800" b="1">
                <a:latin typeface="Calibri" panose="020F0502020204030204" pitchFamily="34" charset="0"/>
                <a:cs typeface="Calibri" panose="020F0502020204030204" pitchFamily="34" charset="0"/>
              </a:endParaRPr>
            </a:p>
            <a:p>
              <a:r>
                <a:rPr lang="en-US" sz="800" b="1">
                  <a:latin typeface="Calibri" panose="020F0502020204030204" pitchFamily="34" charset="0"/>
                  <a:cs typeface="Calibri" panose="020F0502020204030204" pitchFamily="34" charset="0"/>
                </a:rPr>
                <a:t>Taxas anualizadas:</a:t>
              </a:r>
            </a:p>
            <a:p>
              <a:pPr algn="just"/>
              <a:r>
                <a:rPr lang="en-US" sz="800">
                  <a:latin typeface="Calibri" panose="020F0502020204030204" pitchFamily="34" charset="0"/>
                  <a:ea typeface="Inter" panose="020B0502030000000004" pitchFamily="34" charset="0"/>
                  <a:cs typeface="Calibri" panose="020F0502020204030204" pitchFamily="34" charset="0"/>
                </a:rPr>
                <a:t>Taxa anual calculada multiplicando a taxa de juros trimestral por 4, dividida pela média da carteira dos últimos dois trimestres. Taxa de juros consolidada inclui imobiliário, consignado + FGTS, PMEs, cartão de crédito excluindo recebíveis de cartão de crédito não remunerados, e antecipação de recebíveis de cartão de crédito.</a:t>
              </a:r>
            </a:p>
          </xdr:txBody>
        </xdr:sp>
      </mc:Fallback>
    </mc:AlternateContent>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hyperlink" Target="https://www.bcb.gov.br/estabilidadefinanceira/estatisticaspix" TargetMode="External"/><Relationship Id="rId2" Type="http://schemas.openxmlformats.org/officeDocument/2006/relationships/hyperlink" Target="https://www.bcb.gov.br/acessoinformacao/ccsestatisticas" TargetMode="External"/><Relationship Id="rId1" Type="http://schemas.openxmlformats.org/officeDocument/2006/relationships/hyperlink" Target="https://www.bcb.gov.br/acessoinformacao/ccsestatisticas" TargetMode="External"/><Relationship Id="rId5" Type="http://schemas.openxmlformats.org/officeDocument/2006/relationships/drawing" Target="../drawings/drawing20.xml"/><Relationship Id="rId4" Type="http://schemas.openxmlformats.org/officeDocument/2006/relationships/hyperlink" Target="https://www.abecs.org.br/graficos"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5ED0-FFAF-DE43-BD1B-4F127E097C3D}">
  <dimension ref="A1:BW126"/>
  <sheetViews>
    <sheetView showGridLines="0" topLeftCell="BX1" zoomScale="81" zoomScaleNormal="100" workbookViewId="0">
      <selection activeCell="BZ39" sqref="BZ39"/>
    </sheetView>
  </sheetViews>
  <sheetFormatPr baseColWidth="10" defaultColWidth="11.5" defaultRowHeight="15"/>
  <cols>
    <col min="1" max="1" width="17" style="483" hidden="1" customWidth="1"/>
    <col min="2" max="2" width="8.83203125" style="483" hidden="1" customWidth="1"/>
    <col min="3" max="3" width="17" style="484" hidden="1" customWidth="1"/>
    <col min="4" max="8" width="17" style="483" hidden="1" customWidth="1"/>
    <col min="9" max="9" width="15" style="483" hidden="1" customWidth="1"/>
    <col min="10" max="10" width="16" style="483" hidden="1" customWidth="1"/>
    <col min="11" max="11" width="38.1640625" style="483" hidden="1" customWidth="1"/>
    <col min="12" max="12" width="47.6640625" style="483" hidden="1" customWidth="1"/>
    <col min="13" max="13" width="36.5" style="483" hidden="1" customWidth="1"/>
    <col min="14" max="14" width="46.83203125" style="483" hidden="1" customWidth="1"/>
    <col min="15" max="15" width="53.5" style="483" hidden="1" customWidth="1"/>
    <col min="16" max="16" width="59.5" style="483" hidden="1" customWidth="1"/>
    <col min="17" max="17" width="41" style="483" hidden="1" customWidth="1"/>
    <col min="18" max="18" width="40.33203125" style="483" hidden="1" customWidth="1"/>
    <col min="19" max="19" width="32.6640625" style="483" hidden="1" customWidth="1"/>
    <col min="20" max="20" width="36.5" style="483" hidden="1" customWidth="1"/>
    <col min="21" max="22" width="39.6640625" style="483" hidden="1" customWidth="1"/>
    <col min="23" max="23" width="53.1640625" style="483" hidden="1" customWidth="1"/>
    <col min="24" max="24" width="45.6640625" style="483" hidden="1" customWidth="1"/>
    <col min="25" max="25" width="54.5" style="483" hidden="1" customWidth="1"/>
    <col min="26" max="26" width="58.1640625" style="483" hidden="1" customWidth="1"/>
    <col min="27" max="31" width="75.5" style="483" hidden="1" customWidth="1"/>
    <col min="32" max="32" width="30" style="483" hidden="1" customWidth="1"/>
    <col min="33" max="33" width="27.6640625" style="483" hidden="1" customWidth="1"/>
    <col min="34" max="34" width="32.6640625" style="483" hidden="1" customWidth="1"/>
    <col min="35" max="35" width="43.33203125" style="483" hidden="1" customWidth="1"/>
    <col min="36" max="37" width="28" style="483" hidden="1" customWidth="1"/>
    <col min="38" max="38" width="27.83203125" style="483" hidden="1" customWidth="1"/>
    <col min="39" max="39" width="39.1640625" style="483" hidden="1" customWidth="1"/>
    <col min="40" max="40" width="31.83203125" style="483" hidden="1" customWidth="1"/>
    <col min="41" max="41" width="31.1640625" style="483" hidden="1" customWidth="1"/>
    <col min="42" max="42" width="44.1640625" style="483" hidden="1" customWidth="1"/>
    <col min="43" max="43" width="49.83203125" style="483" hidden="1" customWidth="1"/>
    <col min="44" max="44" width="25.33203125" style="483" hidden="1" customWidth="1"/>
    <col min="45" max="45" width="14.5" style="483" hidden="1" customWidth="1"/>
    <col min="46" max="46" width="218.6640625" style="483" hidden="1" customWidth="1"/>
    <col min="47" max="47" width="110.6640625" style="483" hidden="1" customWidth="1"/>
    <col min="48" max="48" width="36" style="483" hidden="1" customWidth="1"/>
    <col min="49" max="49" width="39.5" style="483" hidden="1" customWidth="1"/>
    <col min="50" max="50" width="45.1640625" style="483" hidden="1" customWidth="1"/>
    <col min="51" max="51" width="27.1640625" style="483" hidden="1" customWidth="1"/>
    <col min="52" max="63" width="0" style="483" hidden="1" customWidth="1"/>
    <col min="64" max="64" width="25.83203125" style="483" hidden="1" customWidth="1"/>
    <col min="65" max="67" width="0" style="483" hidden="1" customWidth="1"/>
    <col min="68" max="68" width="43" style="483" hidden="1" customWidth="1"/>
    <col min="69" max="69" width="255.83203125" style="483" hidden="1" customWidth="1"/>
    <col min="70" max="70" width="27.1640625" style="483" hidden="1" customWidth="1"/>
    <col min="71" max="71" width="34.1640625" style="483" hidden="1" customWidth="1"/>
    <col min="72" max="72" width="129.6640625" style="483" hidden="1" customWidth="1"/>
    <col min="73" max="73" width="0" style="483" hidden="1" customWidth="1"/>
    <col min="74" max="74" width="28.5" style="483" hidden="1" customWidth="1"/>
    <col min="75" max="75" width="27.1640625" style="483" hidden="1" customWidth="1"/>
    <col min="76" max="16384" width="11.5" style="483"/>
  </cols>
  <sheetData>
    <row r="1" spans="1:75">
      <c r="A1" s="483" t="s">
        <v>0</v>
      </c>
      <c r="B1" s="483" t="s">
        <v>1</v>
      </c>
      <c r="C1" s="484" t="s">
        <v>2</v>
      </c>
      <c r="D1" s="483" t="s">
        <v>3</v>
      </c>
      <c r="E1" s="483" t="s">
        <v>4</v>
      </c>
      <c r="F1" s="483" t="s">
        <v>5</v>
      </c>
      <c r="G1" s="483" t="s">
        <v>6</v>
      </c>
      <c r="H1" s="483" t="s">
        <v>7</v>
      </c>
      <c r="I1" s="483" t="s">
        <v>8</v>
      </c>
      <c r="J1" s="483" t="s">
        <v>9</v>
      </c>
      <c r="K1" s="483" t="s">
        <v>10</v>
      </c>
      <c r="L1" s="483" t="s">
        <v>11</v>
      </c>
      <c r="M1" s="483" t="s">
        <v>12</v>
      </c>
      <c r="N1" s="483" t="s">
        <v>13</v>
      </c>
      <c r="O1" s="483" t="s">
        <v>14</v>
      </c>
      <c r="P1" s="483" t="s">
        <v>15</v>
      </c>
      <c r="Q1" s="483" t="s">
        <v>16</v>
      </c>
      <c r="R1" s="483" t="s">
        <v>17</v>
      </c>
      <c r="S1" s="483" t="s">
        <v>18</v>
      </c>
      <c r="T1" s="483" t="s">
        <v>19</v>
      </c>
      <c r="U1" s="483" t="s">
        <v>20</v>
      </c>
      <c r="V1" s="483" t="s">
        <v>20</v>
      </c>
      <c r="W1" s="483" t="s">
        <v>21</v>
      </c>
      <c r="X1" s="483" t="s">
        <v>22</v>
      </c>
      <c r="Y1" s="483" t="s">
        <v>23</v>
      </c>
      <c r="Z1" s="483" t="s">
        <v>24</v>
      </c>
      <c r="AA1" s="483" t="s">
        <v>25</v>
      </c>
      <c r="AB1" s="483" t="s">
        <v>26</v>
      </c>
      <c r="AC1" s="483" t="s">
        <v>27</v>
      </c>
      <c r="AD1" s="483" t="s">
        <v>28</v>
      </c>
      <c r="AE1" s="483" t="s">
        <v>28</v>
      </c>
      <c r="AF1" s="483" t="s">
        <v>29</v>
      </c>
      <c r="AG1" s="483" t="s">
        <v>30</v>
      </c>
      <c r="AH1" s="483" t="s">
        <v>31</v>
      </c>
      <c r="AI1" s="483" t="s">
        <v>32</v>
      </c>
      <c r="AJ1" s="483" t="s">
        <v>33</v>
      </c>
      <c r="AK1" s="483" t="s">
        <v>34</v>
      </c>
      <c r="AL1" s="483" t="s">
        <v>35</v>
      </c>
      <c r="AM1" s="483" t="s">
        <v>36</v>
      </c>
      <c r="AN1" s="483" t="s">
        <v>37</v>
      </c>
      <c r="AO1" s="483" t="s">
        <v>38</v>
      </c>
      <c r="AP1" s="483" t="s">
        <v>39</v>
      </c>
      <c r="AQ1" s="483" t="s">
        <v>40</v>
      </c>
      <c r="AR1" s="485" t="s">
        <v>41</v>
      </c>
      <c r="AS1" s="485" t="s">
        <v>42</v>
      </c>
      <c r="AT1" s="483" t="s">
        <v>43</v>
      </c>
      <c r="AU1" s="483" t="s">
        <v>44</v>
      </c>
      <c r="AV1" s="483" t="s">
        <v>45</v>
      </c>
      <c r="AW1" s="483" t="s">
        <v>46</v>
      </c>
      <c r="AX1" s="483" t="s">
        <v>47</v>
      </c>
      <c r="AY1" s="483" t="s">
        <v>48</v>
      </c>
      <c r="BB1" s="483" t="s">
        <v>896</v>
      </c>
      <c r="BC1" s="483" t="s">
        <v>897</v>
      </c>
      <c r="BG1" s="483" t="str">
        <f>IF('Summary | Sumário'!$D$6=Names!$B$3,Names!$AR$1,Names!$AS$1)</f>
        <v>Back to summary</v>
      </c>
      <c r="BI1" s="483" t="str">
        <f>IF('Summary | Sumário'!$D$6=Names!$B$3,Names!$G$2,Names!$H$2)</f>
        <v>Operational Data</v>
      </c>
      <c r="BL1" s="483" t="s">
        <v>898</v>
      </c>
      <c r="BM1" s="483" t="s">
        <v>899</v>
      </c>
      <c r="BP1" s="486" t="s">
        <v>968</v>
      </c>
      <c r="BQ1" s="483" t="s">
        <v>969</v>
      </c>
      <c r="BR1" s="483" t="s">
        <v>49</v>
      </c>
      <c r="BS1" s="483" t="s">
        <v>50</v>
      </c>
      <c r="BV1" s="483" t="s">
        <v>51</v>
      </c>
      <c r="BW1" s="483" t="s">
        <v>52</v>
      </c>
    </row>
    <row r="2" spans="1:75" ht="14" customHeight="1">
      <c r="A2" s="483">
        <v>1</v>
      </c>
      <c r="B2" s="483" t="s">
        <v>53</v>
      </c>
      <c r="C2" s="484">
        <v>2019</v>
      </c>
      <c r="D2" s="484">
        <v>2019</v>
      </c>
      <c r="E2" s="484" t="s">
        <v>54</v>
      </c>
      <c r="F2" s="484" t="s">
        <v>55</v>
      </c>
      <c r="G2" s="484" t="s">
        <v>56</v>
      </c>
      <c r="H2" s="484" t="s">
        <v>57</v>
      </c>
      <c r="I2" s="483" t="s">
        <v>58</v>
      </c>
      <c r="J2" s="483" t="s">
        <v>59</v>
      </c>
      <c r="K2" s="483" t="s">
        <v>60</v>
      </c>
      <c r="L2" s="483" t="s">
        <v>61</v>
      </c>
      <c r="M2" s="483" t="s">
        <v>62</v>
      </c>
      <c r="N2" s="483" t="s">
        <v>63</v>
      </c>
      <c r="O2" s="483" t="s">
        <v>64</v>
      </c>
      <c r="P2" s="483" t="s">
        <v>65</v>
      </c>
      <c r="Q2" s="483" t="s">
        <v>66</v>
      </c>
      <c r="R2" s="483" t="s">
        <v>67</v>
      </c>
      <c r="V2" s="483" t="s">
        <v>20</v>
      </c>
      <c r="W2" s="483" t="s">
        <v>68</v>
      </c>
      <c r="AB2" s="483" t="s">
        <v>69</v>
      </c>
      <c r="AC2" s="483" t="s">
        <v>70</v>
      </c>
      <c r="AD2" s="483" t="s">
        <v>71</v>
      </c>
      <c r="AE2" s="483" t="s">
        <v>71</v>
      </c>
      <c r="AJ2" s="483" t="s">
        <v>72</v>
      </c>
      <c r="AK2" s="483" t="s">
        <v>72</v>
      </c>
      <c r="AL2" s="483" t="s">
        <v>73</v>
      </c>
      <c r="AM2" s="483" t="s">
        <v>73</v>
      </c>
      <c r="AN2" s="483" t="s">
        <v>74</v>
      </c>
      <c r="AO2" s="483" t="s">
        <v>75</v>
      </c>
      <c r="AP2" s="483" t="s">
        <v>39</v>
      </c>
      <c r="AQ2" s="483" t="s">
        <v>76</v>
      </c>
      <c r="AT2" s="483" t="s">
        <v>77</v>
      </c>
      <c r="AU2" s="483" t="s">
        <v>78</v>
      </c>
      <c r="BG2" s="483" t="str">
        <f>_xlfn.CONCAT("    ",BG1)</f>
        <v xml:space="preserve">    Back to summary</v>
      </c>
      <c r="BI2" s="483" t="str">
        <f>IF('Summary | Sumário'!$D$6=Names!$B$3,Names!$G$3,Names!$H$3)</f>
        <v>Others</v>
      </c>
      <c r="BL2" s="483" t="s">
        <v>79</v>
      </c>
      <c r="BM2" s="483" t="s">
        <v>80</v>
      </c>
      <c r="BP2" s="487" t="s">
        <v>972</v>
      </c>
      <c r="BQ2" s="482" t="s">
        <v>973</v>
      </c>
      <c r="BR2" s="483" t="s">
        <v>81</v>
      </c>
      <c r="BS2" s="483" t="s">
        <v>82</v>
      </c>
    </row>
    <row r="3" spans="1:75">
      <c r="A3" s="483">
        <v>2</v>
      </c>
      <c r="B3" s="483" t="s">
        <v>83</v>
      </c>
      <c r="C3" s="484">
        <v>2020</v>
      </c>
      <c r="D3" s="484">
        <v>2020</v>
      </c>
      <c r="E3" s="484" t="s">
        <v>84</v>
      </c>
      <c r="F3" s="484" t="s">
        <v>85</v>
      </c>
      <c r="G3" s="484" t="s">
        <v>86</v>
      </c>
      <c r="H3" s="484" t="s">
        <v>87</v>
      </c>
      <c r="I3" s="483" t="s">
        <v>88</v>
      </c>
      <c r="J3" s="483" t="s">
        <v>89</v>
      </c>
      <c r="K3" s="483" t="s">
        <v>90</v>
      </c>
      <c r="L3" s="483" t="s">
        <v>91</v>
      </c>
      <c r="M3" s="483" t="s">
        <v>92</v>
      </c>
      <c r="N3" s="483" t="s">
        <v>93</v>
      </c>
      <c r="O3" s="483" t="s">
        <v>94</v>
      </c>
      <c r="P3" s="483" t="s">
        <v>95</v>
      </c>
      <c r="Q3" s="483" t="s">
        <v>96</v>
      </c>
      <c r="R3" s="483" t="s">
        <v>97</v>
      </c>
      <c r="S3" s="483" t="s">
        <v>98</v>
      </c>
      <c r="T3" s="483" t="s">
        <v>99</v>
      </c>
      <c r="U3" s="483" t="s">
        <v>100</v>
      </c>
      <c r="V3" s="483" t="s">
        <v>101</v>
      </c>
      <c r="W3" s="483" t="s">
        <v>102</v>
      </c>
      <c r="X3" s="483" t="s">
        <v>103</v>
      </c>
      <c r="Y3" s="483" t="s">
        <v>104</v>
      </c>
      <c r="Z3" s="483" t="s">
        <v>105</v>
      </c>
      <c r="AA3" s="483" t="s">
        <v>106</v>
      </c>
      <c r="AB3" s="483" t="s">
        <v>107</v>
      </c>
      <c r="AC3" s="483" t="s">
        <v>108</v>
      </c>
      <c r="AD3" s="483" t="s">
        <v>109</v>
      </c>
      <c r="AE3" s="483" t="s">
        <v>110</v>
      </c>
      <c r="AF3" s="483" t="s">
        <v>111</v>
      </c>
      <c r="AG3" s="483" t="s">
        <v>112</v>
      </c>
      <c r="AH3" s="483" t="s">
        <v>113</v>
      </c>
      <c r="AI3" s="483" t="s">
        <v>114</v>
      </c>
      <c r="AJ3" s="483" t="s">
        <v>115</v>
      </c>
      <c r="AK3" s="483" t="s">
        <v>116</v>
      </c>
      <c r="AL3" s="483" t="s">
        <v>117</v>
      </c>
      <c r="AM3" s="483" t="s">
        <v>118</v>
      </c>
      <c r="AN3" s="483" t="s">
        <v>119</v>
      </c>
      <c r="AO3" s="483" t="s">
        <v>120</v>
      </c>
      <c r="AP3" s="483" t="s">
        <v>121</v>
      </c>
      <c r="AQ3" s="483" t="s">
        <v>121</v>
      </c>
      <c r="AT3" s="483" t="s">
        <v>122</v>
      </c>
      <c r="AU3" s="483" t="s">
        <v>123</v>
      </c>
      <c r="AV3" s="483" t="s">
        <v>124</v>
      </c>
      <c r="AW3" s="483" t="s">
        <v>125</v>
      </c>
      <c r="AX3" s="483" t="s">
        <v>126</v>
      </c>
      <c r="AY3" s="483" t="s">
        <v>126</v>
      </c>
      <c r="BL3" s="483" t="s">
        <v>127</v>
      </c>
      <c r="BM3" s="483" t="s">
        <v>127</v>
      </c>
      <c r="BP3" s="486" t="s">
        <v>128</v>
      </c>
      <c r="BQ3" s="483" t="s">
        <v>129</v>
      </c>
      <c r="BV3" s="483" t="s">
        <v>130</v>
      </c>
      <c r="BW3" s="483" t="s">
        <v>130</v>
      </c>
    </row>
    <row r="4" spans="1:75">
      <c r="A4" s="483">
        <v>3</v>
      </c>
      <c r="C4" s="484">
        <v>2021</v>
      </c>
      <c r="D4" s="484">
        <v>2021</v>
      </c>
      <c r="E4" s="484" t="s">
        <v>131</v>
      </c>
      <c r="F4" s="484" t="s">
        <v>132</v>
      </c>
      <c r="G4" s="484"/>
      <c r="H4" s="484"/>
      <c r="I4" s="483" t="s">
        <v>133</v>
      </c>
      <c r="J4" s="483" t="s">
        <v>134</v>
      </c>
      <c r="K4" s="483" t="s">
        <v>135</v>
      </c>
      <c r="L4" s="483" t="s">
        <v>136</v>
      </c>
      <c r="M4" s="483" t="s">
        <v>903</v>
      </c>
      <c r="N4" s="483" t="s">
        <v>904</v>
      </c>
      <c r="O4" s="483" t="s">
        <v>139</v>
      </c>
      <c r="P4" s="483" t="s">
        <v>140</v>
      </c>
      <c r="Q4" s="483" t="s">
        <v>141</v>
      </c>
      <c r="R4" s="483" t="s">
        <v>142</v>
      </c>
      <c r="S4" s="483" t="s">
        <v>143</v>
      </c>
      <c r="T4" s="483" t="s">
        <v>144</v>
      </c>
      <c r="U4" s="483" t="s">
        <v>145</v>
      </c>
      <c r="V4" s="483" t="s">
        <v>146</v>
      </c>
      <c r="W4" s="483" t="s">
        <v>147</v>
      </c>
      <c r="X4" s="483" t="s">
        <v>148</v>
      </c>
      <c r="Y4" s="483" t="s">
        <v>149</v>
      </c>
      <c r="Z4" s="483" t="s">
        <v>150</v>
      </c>
      <c r="AA4" s="483" t="s">
        <v>151</v>
      </c>
      <c r="AB4" s="483" t="s">
        <v>152</v>
      </c>
      <c r="AC4" s="483" t="s">
        <v>153</v>
      </c>
      <c r="AD4" s="483" t="s">
        <v>154</v>
      </c>
      <c r="AE4" s="483" t="s">
        <v>155</v>
      </c>
      <c r="AF4" s="483" t="s">
        <v>156</v>
      </c>
      <c r="AG4" s="483" t="s">
        <v>157</v>
      </c>
      <c r="AH4" s="483" t="s">
        <v>158</v>
      </c>
      <c r="AI4" s="483" t="s">
        <v>159</v>
      </c>
      <c r="AJ4" s="483" t="s">
        <v>160</v>
      </c>
      <c r="AK4" s="483" t="s">
        <v>161</v>
      </c>
      <c r="AL4" s="483" t="s">
        <v>162</v>
      </c>
      <c r="AM4" s="483" t="s">
        <v>163</v>
      </c>
      <c r="AN4" s="483" t="s">
        <v>164</v>
      </c>
      <c r="AO4" s="483" t="s">
        <v>165</v>
      </c>
      <c r="AP4" s="483" t="s">
        <v>166</v>
      </c>
      <c r="AQ4" s="483" t="s">
        <v>166</v>
      </c>
      <c r="AT4" s="483" t="s">
        <v>167</v>
      </c>
      <c r="AU4" s="483" t="s">
        <v>168</v>
      </c>
      <c r="AV4" s="483" t="s">
        <v>169</v>
      </c>
      <c r="AW4" s="483" t="s">
        <v>170</v>
      </c>
      <c r="AX4" s="483" t="s">
        <v>171</v>
      </c>
      <c r="AY4" s="483" t="s">
        <v>172</v>
      </c>
      <c r="BL4" s="483" t="s">
        <v>173</v>
      </c>
      <c r="BM4" s="483" t="s">
        <v>173</v>
      </c>
      <c r="BP4" s="483" t="s">
        <v>88</v>
      </c>
      <c r="BQ4" s="483" t="s">
        <v>89</v>
      </c>
      <c r="BR4" s="486" t="s">
        <v>961</v>
      </c>
      <c r="BS4" s="486" t="s">
        <v>962</v>
      </c>
      <c r="BV4" s="483" t="s">
        <v>174</v>
      </c>
      <c r="BW4" s="483" t="s">
        <v>175</v>
      </c>
    </row>
    <row r="5" spans="1:75">
      <c r="A5" s="483">
        <v>4</v>
      </c>
      <c r="C5" s="484">
        <v>2022</v>
      </c>
      <c r="D5" s="484">
        <v>2022</v>
      </c>
      <c r="E5" s="484" t="s">
        <v>176</v>
      </c>
      <c r="F5" s="484" t="s">
        <v>177</v>
      </c>
      <c r="G5" s="484"/>
      <c r="H5" s="484"/>
      <c r="I5" s="483" t="s">
        <v>178</v>
      </c>
      <c r="J5" s="483" t="s">
        <v>178</v>
      </c>
      <c r="K5" s="483" t="s">
        <v>179</v>
      </c>
      <c r="L5" s="483" t="s">
        <v>180</v>
      </c>
      <c r="M5" s="483" t="s">
        <v>901</v>
      </c>
      <c r="N5" s="483" t="s">
        <v>902</v>
      </c>
      <c r="O5" s="483" t="s">
        <v>183</v>
      </c>
      <c r="P5" s="483" t="s">
        <v>184</v>
      </c>
      <c r="Q5" s="483" t="s">
        <v>185</v>
      </c>
      <c r="R5" s="483" t="s">
        <v>186</v>
      </c>
      <c r="S5" s="483" t="s">
        <v>187</v>
      </c>
      <c r="T5" s="483" t="s">
        <v>188</v>
      </c>
      <c r="U5" s="483" t="s">
        <v>189</v>
      </c>
      <c r="V5" s="483" t="s">
        <v>190</v>
      </c>
      <c r="W5" s="483" t="s">
        <v>191</v>
      </c>
      <c r="X5" s="483" t="s">
        <v>192</v>
      </c>
      <c r="Y5" s="483" t="s">
        <v>193</v>
      </c>
      <c r="Z5" s="483" t="s">
        <v>194</v>
      </c>
      <c r="AA5" s="483" t="s">
        <v>194</v>
      </c>
      <c r="AB5" s="483" t="s">
        <v>195</v>
      </c>
      <c r="AC5" s="483" t="s">
        <v>196</v>
      </c>
      <c r="AD5" s="483" t="s">
        <v>197</v>
      </c>
      <c r="AE5" s="483" t="s">
        <v>198</v>
      </c>
      <c r="AF5" s="483" t="s">
        <v>199</v>
      </c>
      <c r="AG5" s="483" t="s">
        <v>200</v>
      </c>
      <c r="AH5" s="483" t="s">
        <v>201</v>
      </c>
      <c r="AI5" s="483" t="s">
        <v>202</v>
      </c>
      <c r="AJ5" s="483" t="s">
        <v>203</v>
      </c>
      <c r="AK5" s="483" t="s">
        <v>204</v>
      </c>
      <c r="AL5" s="483" t="s">
        <v>205</v>
      </c>
      <c r="AM5" s="483" t="s">
        <v>206</v>
      </c>
      <c r="AN5" s="483" t="s">
        <v>207</v>
      </c>
      <c r="AO5" s="483" t="s">
        <v>134</v>
      </c>
      <c r="AP5" s="483" t="s">
        <v>208</v>
      </c>
      <c r="AQ5" s="483" t="s">
        <v>209</v>
      </c>
      <c r="AV5" s="483" t="s">
        <v>210</v>
      </c>
      <c r="AW5" s="483" t="s">
        <v>211</v>
      </c>
      <c r="AX5" s="483" t="s">
        <v>212</v>
      </c>
      <c r="AY5" s="483" t="s">
        <v>213</v>
      </c>
      <c r="BL5" s="483" t="s">
        <v>214</v>
      </c>
      <c r="BM5" s="483" t="s">
        <v>215</v>
      </c>
      <c r="BP5" s="483" t="s">
        <v>216</v>
      </c>
      <c r="BQ5" s="483" t="s">
        <v>217</v>
      </c>
      <c r="BR5" s="483" t="s">
        <v>960</v>
      </c>
      <c r="BS5" s="483" t="s">
        <v>218</v>
      </c>
      <c r="BT5" s="483" t="s">
        <v>219</v>
      </c>
      <c r="BV5" s="483" t="s">
        <v>220</v>
      </c>
      <c r="BW5" s="483" t="s">
        <v>221</v>
      </c>
    </row>
    <row r="6" spans="1:75">
      <c r="A6" s="483">
        <v>5</v>
      </c>
      <c r="C6" s="484" t="s">
        <v>131</v>
      </c>
      <c r="D6" s="484" t="s">
        <v>132</v>
      </c>
      <c r="E6" s="484" t="s">
        <v>222</v>
      </c>
      <c r="F6" s="484" t="s">
        <v>223</v>
      </c>
      <c r="G6" s="484"/>
      <c r="H6" s="484"/>
      <c r="I6" s="483" t="s">
        <v>224</v>
      </c>
      <c r="J6" s="483" t="s">
        <v>225</v>
      </c>
      <c r="K6" s="483" t="s">
        <v>226</v>
      </c>
      <c r="L6" s="483" t="s">
        <v>227</v>
      </c>
      <c r="M6" s="483" t="s">
        <v>98</v>
      </c>
      <c r="N6" s="483" t="s">
        <v>99</v>
      </c>
      <c r="O6" s="483" t="s">
        <v>228</v>
      </c>
      <c r="P6" s="483" t="s">
        <v>229</v>
      </c>
      <c r="Q6" s="483" t="s">
        <v>230</v>
      </c>
      <c r="R6" s="483" t="s">
        <v>231</v>
      </c>
      <c r="S6" s="483" t="s">
        <v>232</v>
      </c>
      <c r="T6" s="483" t="s">
        <v>233</v>
      </c>
      <c r="U6" s="483" t="s">
        <v>234</v>
      </c>
      <c r="V6" s="483" t="s">
        <v>235</v>
      </c>
      <c r="W6" s="483" t="s">
        <v>236</v>
      </c>
      <c r="X6" s="483" t="s">
        <v>237</v>
      </c>
      <c r="Y6" s="483" t="s">
        <v>238</v>
      </c>
      <c r="Z6" s="483" t="s">
        <v>181</v>
      </c>
      <c r="AA6" s="483" t="s">
        <v>182</v>
      </c>
      <c r="AB6" s="483" t="s">
        <v>94</v>
      </c>
      <c r="AC6" s="483" t="s">
        <v>95</v>
      </c>
      <c r="AD6" s="483" t="s">
        <v>239</v>
      </c>
      <c r="AE6" s="483" t="s">
        <v>239</v>
      </c>
      <c r="AF6" s="483" t="s">
        <v>210</v>
      </c>
      <c r="AG6" s="483" t="s">
        <v>211</v>
      </c>
      <c r="AH6" s="483" t="s">
        <v>62</v>
      </c>
      <c r="AI6" s="483" t="s">
        <v>182</v>
      </c>
      <c r="AJ6" s="483" t="s">
        <v>240</v>
      </c>
      <c r="AK6" s="483" t="s">
        <v>241</v>
      </c>
      <c r="AL6" s="483" t="s">
        <v>242</v>
      </c>
      <c r="AM6" s="483" t="s">
        <v>243</v>
      </c>
      <c r="AN6" s="483" t="s">
        <v>244</v>
      </c>
      <c r="AO6" s="483" t="s">
        <v>245</v>
      </c>
      <c r="AP6" s="483" t="s">
        <v>246</v>
      </c>
      <c r="AQ6" s="483" t="s">
        <v>247</v>
      </c>
      <c r="AV6" s="483" t="s">
        <v>248</v>
      </c>
      <c r="AW6" s="483" t="s">
        <v>249</v>
      </c>
      <c r="AX6" s="483" t="s">
        <v>250</v>
      </c>
      <c r="AY6" s="483" t="s">
        <v>250</v>
      </c>
      <c r="BL6" s="483" t="s">
        <v>251</v>
      </c>
      <c r="BM6" s="483" t="s">
        <v>252</v>
      </c>
      <c r="BP6" s="483" t="s">
        <v>253</v>
      </c>
      <c r="BQ6" s="483" t="s">
        <v>254</v>
      </c>
      <c r="BR6" s="483" t="s">
        <v>255</v>
      </c>
      <c r="BS6" s="483" t="s">
        <v>256</v>
      </c>
      <c r="BT6" s="483" t="s">
        <v>219</v>
      </c>
      <c r="BV6" s="483" t="s">
        <v>257</v>
      </c>
      <c r="BW6" s="483" t="s">
        <v>258</v>
      </c>
    </row>
    <row r="7" spans="1:75">
      <c r="A7" s="483">
        <v>6</v>
      </c>
      <c r="C7" s="484" t="s">
        <v>176</v>
      </c>
      <c r="D7" s="484" t="s">
        <v>177</v>
      </c>
      <c r="E7" s="484" t="s">
        <v>259</v>
      </c>
      <c r="F7" s="484" t="s">
        <v>260</v>
      </c>
      <c r="G7" s="484"/>
      <c r="H7" s="484"/>
      <c r="I7" s="483" t="s">
        <v>261</v>
      </c>
      <c r="J7" s="483" t="s">
        <v>21</v>
      </c>
      <c r="K7" s="483" t="s">
        <v>262</v>
      </c>
      <c r="L7" s="483" t="s">
        <v>263</v>
      </c>
      <c r="M7" s="483" t="s">
        <v>264</v>
      </c>
      <c r="N7" s="483" t="s">
        <v>265</v>
      </c>
      <c r="O7" s="483" t="s">
        <v>266</v>
      </c>
      <c r="P7" s="483" t="s">
        <v>267</v>
      </c>
      <c r="Q7" s="483" t="s">
        <v>268</v>
      </c>
      <c r="R7" s="483" t="s">
        <v>269</v>
      </c>
      <c r="S7" s="483" t="s">
        <v>270</v>
      </c>
      <c r="T7" s="483" t="s">
        <v>271</v>
      </c>
      <c r="U7" s="483" t="s">
        <v>111</v>
      </c>
      <c r="V7" s="483" t="s">
        <v>272</v>
      </c>
      <c r="W7" s="483" t="s">
        <v>273</v>
      </c>
      <c r="X7" s="483" t="s">
        <v>274</v>
      </c>
      <c r="Y7" s="483" t="s">
        <v>275</v>
      </c>
      <c r="Z7" s="483" t="s">
        <v>276</v>
      </c>
      <c r="AA7" s="483" t="s">
        <v>277</v>
      </c>
      <c r="AB7" s="483" t="s">
        <v>278</v>
      </c>
      <c r="AC7" s="483" t="s">
        <v>279</v>
      </c>
      <c r="AF7" s="483" t="s">
        <v>248</v>
      </c>
      <c r="AG7" s="483" t="s">
        <v>249</v>
      </c>
      <c r="AH7" s="483" t="s">
        <v>137</v>
      </c>
      <c r="AI7" s="483" t="s">
        <v>138</v>
      </c>
      <c r="AJ7" s="483" t="s">
        <v>280</v>
      </c>
      <c r="AK7" s="483" t="s">
        <v>280</v>
      </c>
      <c r="AL7" s="483" t="s">
        <v>281</v>
      </c>
      <c r="AM7" s="483" t="s">
        <v>282</v>
      </c>
      <c r="AP7" s="483" t="s">
        <v>283</v>
      </c>
      <c r="AQ7" s="483" t="s">
        <v>284</v>
      </c>
      <c r="AV7" s="483" t="s">
        <v>285</v>
      </c>
      <c r="AW7" s="483" t="s">
        <v>286</v>
      </c>
      <c r="AX7" s="483" t="s">
        <v>287</v>
      </c>
      <c r="AY7" s="483" t="s">
        <v>288</v>
      </c>
      <c r="BL7" s="483" t="s">
        <v>289</v>
      </c>
      <c r="BM7" s="483" t="s">
        <v>290</v>
      </c>
      <c r="BP7" s="483" t="s">
        <v>291</v>
      </c>
      <c r="BQ7" s="483" t="s">
        <v>292</v>
      </c>
      <c r="BV7" s="483" t="s">
        <v>293</v>
      </c>
      <c r="BW7" s="483" t="s">
        <v>294</v>
      </c>
    </row>
    <row r="8" spans="1:75">
      <c r="A8" s="483">
        <v>7</v>
      </c>
      <c r="C8" s="484" t="s">
        <v>222</v>
      </c>
      <c r="D8" s="484" t="s">
        <v>223</v>
      </c>
      <c r="E8" s="484" t="s">
        <v>295</v>
      </c>
      <c r="F8" s="484" t="s">
        <v>296</v>
      </c>
      <c r="G8" s="484"/>
      <c r="H8" s="484"/>
      <c r="I8" s="483" t="s">
        <v>100</v>
      </c>
      <c r="J8" s="483" t="s">
        <v>297</v>
      </c>
      <c r="K8" s="483" t="s">
        <v>298</v>
      </c>
      <c r="L8" s="483" t="s">
        <v>299</v>
      </c>
      <c r="M8" s="483" t="s">
        <v>300</v>
      </c>
      <c r="N8" s="483" t="s">
        <v>301</v>
      </c>
      <c r="O8" s="483" t="s">
        <v>302</v>
      </c>
      <c r="P8" s="483" t="s">
        <v>303</v>
      </c>
      <c r="Q8" s="483" t="s">
        <v>304</v>
      </c>
      <c r="R8" s="483" t="s">
        <v>305</v>
      </c>
      <c r="S8" s="483" t="s">
        <v>306</v>
      </c>
      <c r="T8" s="483" t="s">
        <v>87</v>
      </c>
      <c r="U8" s="483" t="s">
        <v>307</v>
      </c>
      <c r="V8" s="483" t="s">
        <v>308</v>
      </c>
      <c r="W8" s="483" t="s">
        <v>309</v>
      </c>
      <c r="X8" s="483" t="s">
        <v>310</v>
      </c>
      <c r="Y8" s="483" t="s">
        <v>311</v>
      </c>
      <c r="Z8" s="483" t="s">
        <v>312</v>
      </c>
      <c r="AA8" s="483" t="s">
        <v>313</v>
      </c>
      <c r="AB8" s="483" t="s">
        <v>314</v>
      </c>
      <c r="AC8" s="483" t="s">
        <v>315</v>
      </c>
      <c r="AD8" s="483" t="s">
        <v>272</v>
      </c>
      <c r="AE8" s="483" t="s">
        <v>273</v>
      </c>
      <c r="AF8" s="483" t="s">
        <v>285</v>
      </c>
      <c r="AG8" s="483" t="s">
        <v>286</v>
      </c>
      <c r="AH8" s="483" t="s">
        <v>98</v>
      </c>
      <c r="AI8" s="483" t="s">
        <v>99</v>
      </c>
      <c r="AJ8" s="483" t="s">
        <v>316</v>
      </c>
      <c r="AK8" s="483" t="s">
        <v>317</v>
      </c>
      <c r="AL8" s="483" t="s">
        <v>318</v>
      </c>
      <c r="AM8" s="483" t="s">
        <v>318</v>
      </c>
      <c r="AN8" s="483" t="s">
        <v>319</v>
      </c>
      <c r="AO8" s="483" t="s">
        <v>320</v>
      </c>
      <c r="AP8" s="483" t="s">
        <v>321</v>
      </c>
      <c r="AQ8" s="483" t="s">
        <v>322</v>
      </c>
      <c r="AV8" s="483" t="s">
        <v>323</v>
      </c>
      <c r="AW8" s="483" t="s">
        <v>324</v>
      </c>
      <c r="AX8" s="483" t="s">
        <v>325</v>
      </c>
      <c r="AY8" s="483" t="s">
        <v>326</v>
      </c>
      <c r="BL8" s="483" t="s">
        <v>327</v>
      </c>
      <c r="BM8" s="483" t="s">
        <v>327</v>
      </c>
      <c r="BP8" s="483" t="s">
        <v>71</v>
      </c>
      <c r="BQ8" s="483" t="s">
        <v>71</v>
      </c>
      <c r="BV8" s="483" t="s">
        <v>328</v>
      </c>
      <c r="BW8" s="483" t="s">
        <v>329</v>
      </c>
    </row>
    <row r="9" spans="1:75">
      <c r="A9" s="483">
        <v>8</v>
      </c>
      <c r="C9" s="484" t="s">
        <v>259</v>
      </c>
      <c r="D9" s="484" t="s">
        <v>260</v>
      </c>
      <c r="E9" s="484" t="s">
        <v>330</v>
      </c>
      <c r="F9" s="484" t="s">
        <v>331</v>
      </c>
      <c r="G9" s="484"/>
      <c r="H9" s="484"/>
      <c r="I9" s="483" t="s">
        <v>332</v>
      </c>
      <c r="J9" s="483" t="s">
        <v>332</v>
      </c>
      <c r="K9" s="483" t="s">
        <v>333</v>
      </c>
      <c r="L9" s="483" t="s">
        <v>334</v>
      </c>
      <c r="M9" s="483" t="s">
        <v>276</v>
      </c>
      <c r="N9" s="483" t="s">
        <v>277</v>
      </c>
      <c r="O9" s="483" t="s">
        <v>335</v>
      </c>
      <c r="P9" s="483" t="s">
        <v>336</v>
      </c>
      <c r="Q9" s="483" t="s">
        <v>337</v>
      </c>
      <c r="R9" s="483" t="s">
        <v>338</v>
      </c>
      <c r="S9" s="483" t="s">
        <v>339</v>
      </c>
      <c r="T9" s="483" t="s">
        <v>340</v>
      </c>
      <c r="U9" s="483" t="s">
        <v>341</v>
      </c>
      <c r="V9" s="483" t="s">
        <v>342</v>
      </c>
      <c r="W9" s="483" t="s">
        <v>343</v>
      </c>
      <c r="X9" s="483" t="s">
        <v>344</v>
      </c>
      <c r="Y9" s="483" t="s">
        <v>345</v>
      </c>
      <c r="Z9" s="483" t="s">
        <v>346</v>
      </c>
      <c r="AA9" s="483" t="s">
        <v>347</v>
      </c>
      <c r="AB9" s="483" t="s">
        <v>348</v>
      </c>
      <c r="AC9" s="483" t="s">
        <v>349</v>
      </c>
      <c r="AD9" s="483" t="s">
        <v>235</v>
      </c>
      <c r="AE9" s="483" t="s">
        <v>236</v>
      </c>
      <c r="AF9" s="483" t="s">
        <v>350</v>
      </c>
      <c r="AG9" s="483" t="s">
        <v>351</v>
      </c>
      <c r="AH9" s="483" t="s">
        <v>276</v>
      </c>
      <c r="AI9" s="483" t="s">
        <v>277</v>
      </c>
      <c r="AJ9" s="483" t="s">
        <v>352</v>
      </c>
      <c r="AK9" s="483" t="s">
        <v>353</v>
      </c>
      <c r="AL9" s="483" t="s">
        <v>354</v>
      </c>
      <c r="AM9" s="483" t="s">
        <v>354</v>
      </c>
      <c r="AN9" s="483" t="s">
        <v>355</v>
      </c>
      <c r="AO9" s="483" t="s">
        <v>294</v>
      </c>
      <c r="AP9" s="483" t="s">
        <v>356</v>
      </c>
      <c r="AQ9" s="483" t="s">
        <v>357</v>
      </c>
      <c r="AV9" s="483" t="s">
        <v>901</v>
      </c>
      <c r="AW9" s="483" t="s">
        <v>902</v>
      </c>
      <c r="AX9" s="483" t="s">
        <v>358</v>
      </c>
      <c r="AY9" s="483" t="s">
        <v>359</v>
      </c>
      <c r="BL9" s="483" t="s">
        <v>239</v>
      </c>
      <c r="BM9" s="483" t="s">
        <v>239</v>
      </c>
      <c r="BP9" s="483" t="s">
        <v>235</v>
      </c>
      <c r="BQ9" s="483" t="s">
        <v>236</v>
      </c>
      <c r="BR9" s="486" t="s">
        <v>360</v>
      </c>
      <c r="BS9" s="486" t="s">
        <v>360</v>
      </c>
      <c r="BV9" s="483" t="s">
        <v>361</v>
      </c>
      <c r="BW9" s="483" t="s">
        <v>362</v>
      </c>
    </row>
    <row r="10" spans="1:75">
      <c r="A10" s="483">
        <v>9</v>
      </c>
      <c r="C10" s="484" t="s">
        <v>295</v>
      </c>
      <c r="D10" s="484" t="s">
        <v>296</v>
      </c>
      <c r="E10" s="484" t="s">
        <v>363</v>
      </c>
      <c r="F10" s="484" t="s">
        <v>364</v>
      </c>
      <c r="G10" s="484"/>
      <c r="H10" s="484"/>
      <c r="I10" s="483" t="s">
        <v>234</v>
      </c>
      <c r="J10" s="483" t="s">
        <v>365</v>
      </c>
      <c r="K10" s="483" t="s">
        <v>366</v>
      </c>
      <c r="L10" s="483" t="s">
        <v>367</v>
      </c>
      <c r="M10" s="483" t="s">
        <v>368</v>
      </c>
      <c r="N10" s="483" t="s">
        <v>369</v>
      </c>
      <c r="O10" s="483" t="s">
        <v>370</v>
      </c>
      <c r="P10" s="483" t="s">
        <v>371</v>
      </c>
      <c r="Q10" s="483" t="s">
        <v>372</v>
      </c>
      <c r="R10" s="483" t="s">
        <v>373</v>
      </c>
      <c r="S10" s="483" t="s">
        <v>281</v>
      </c>
      <c r="T10" s="483" t="s">
        <v>374</v>
      </c>
      <c r="U10" s="483" t="s">
        <v>375</v>
      </c>
      <c r="V10" s="483" t="s">
        <v>376</v>
      </c>
      <c r="W10" s="483" t="s">
        <v>376</v>
      </c>
      <c r="X10" s="483" t="s">
        <v>377</v>
      </c>
      <c r="Y10" s="483" t="s">
        <v>378</v>
      </c>
      <c r="Z10" s="483" t="s">
        <v>135</v>
      </c>
      <c r="AA10" s="483" t="s">
        <v>136</v>
      </c>
      <c r="AD10" s="483" t="s">
        <v>216</v>
      </c>
      <c r="AE10" s="483" t="s">
        <v>217</v>
      </c>
      <c r="AF10" s="483" t="s">
        <v>379</v>
      </c>
      <c r="AG10" s="483" t="s">
        <v>380</v>
      </c>
      <c r="AH10" s="483" t="s">
        <v>368</v>
      </c>
      <c r="AI10" s="483" t="s">
        <v>369</v>
      </c>
      <c r="AN10" s="483" t="s">
        <v>257</v>
      </c>
      <c r="AO10" s="483" t="s">
        <v>258</v>
      </c>
      <c r="AP10" s="483" t="s">
        <v>381</v>
      </c>
      <c r="AQ10" s="483" t="s">
        <v>382</v>
      </c>
      <c r="AV10" s="483" t="s">
        <v>300</v>
      </c>
      <c r="AW10" s="483" t="s">
        <v>301</v>
      </c>
      <c r="AX10" s="483" t="s">
        <v>383</v>
      </c>
      <c r="AY10" s="483" t="s">
        <v>384</v>
      </c>
      <c r="BP10" s="483" t="s">
        <v>385</v>
      </c>
      <c r="BQ10" s="483" t="s">
        <v>386</v>
      </c>
      <c r="BR10" s="483" t="s">
        <v>387</v>
      </c>
      <c r="BS10" s="483" t="s">
        <v>387</v>
      </c>
      <c r="BV10" s="483" t="s">
        <v>388</v>
      </c>
      <c r="BW10" s="483" t="s">
        <v>389</v>
      </c>
    </row>
    <row r="11" spans="1:75">
      <c r="A11" s="483">
        <v>10</v>
      </c>
      <c r="C11" s="484" t="s">
        <v>330</v>
      </c>
      <c r="D11" s="484" t="s">
        <v>331</v>
      </c>
      <c r="E11" s="484" t="s">
        <v>390</v>
      </c>
      <c r="F11" s="484" t="s">
        <v>391</v>
      </c>
      <c r="G11" s="484"/>
      <c r="H11" s="484"/>
      <c r="I11" s="483" t="s">
        <v>392</v>
      </c>
      <c r="J11" s="483" t="s">
        <v>393</v>
      </c>
      <c r="K11" s="483" t="s">
        <v>394</v>
      </c>
      <c r="L11" s="483" t="s">
        <v>395</v>
      </c>
      <c r="M11" s="483" t="s">
        <v>396</v>
      </c>
      <c r="N11" s="483" t="s">
        <v>397</v>
      </c>
      <c r="O11" s="483" t="s">
        <v>298</v>
      </c>
      <c r="P11" s="483" t="s">
        <v>398</v>
      </c>
      <c r="Q11" s="483" t="s">
        <v>399</v>
      </c>
      <c r="R11" s="483" t="s">
        <v>400</v>
      </c>
      <c r="S11" s="483" t="s">
        <v>401</v>
      </c>
      <c r="T11" s="483" t="s">
        <v>401</v>
      </c>
      <c r="U11" s="483" t="s">
        <v>402</v>
      </c>
      <c r="V11" s="483" t="s">
        <v>403</v>
      </c>
      <c r="W11" s="483" t="s">
        <v>403</v>
      </c>
      <c r="X11" s="483" t="s">
        <v>404</v>
      </c>
      <c r="Y11" s="483" t="s">
        <v>405</v>
      </c>
      <c r="Z11" s="483" t="s">
        <v>226</v>
      </c>
      <c r="AA11" s="483" t="s">
        <v>227</v>
      </c>
      <c r="AB11" s="483" t="s">
        <v>406</v>
      </c>
      <c r="AC11" s="483" t="s">
        <v>406</v>
      </c>
      <c r="AD11" s="483" t="s">
        <v>407</v>
      </c>
      <c r="AE11" s="483" t="s">
        <v>408</v>
      </c>
      <c r="AF11" s="483" t="s">
        <v>409</v>
      </c>
      <c r="AG11" s="483" t="s">
        <v>410</v>
      </c>
      <c r="AH11" s="483" t="s">
        <v>411</v>
      </c>
      <c r="AI11" s="483" t="s">
        <v>412</v>
      </c>
      <c r="AN11" s="483" t="s">
        <v>328</v>
      </c>
      <c r="AO11" s="483" t="s">
        <v>329</v>
      </c>
      <c r="AV11" s="483" t="s">
        <v>276</v>
      </c>
      <c r="AW11" s="483" t="s">
        <v>277</v>
      </c>
      <c r="BL11" s="483" t="s">
        <v>88</v>
      </c>
      <c r="BM11" s="483" t="s">
        <v>89</v>
      </c>
      <c r="BP11" s="483" t="s">
        <v>58</v>
      </c>
      <c r="BQ11" s="483" t="s">
        <v>59</v>
      </c>
      <c r="BR11" s="483" t="s">
        <v>413</v>
      </c>
      <c r="BS11" s="483" t="s">
        <v>414</v>
      </c>
      <c r="BT11" s="483" t="s">
        <v>415</v>
      </c>
      <c r="BV11" s="483" t="s">
        <v>416</v>
      </c>
      <c r="BW11" s="483" t="s">
        <v>416</v>
      </c>
    </row>
    <row r="12" spans="1:75">
      <c r="A12" s="483">
        <v>11</v>
      </c>
      <c r="C12" s="484" t="s">
        <v>363</v>
      </c>
      <c r="D12" s="484" t="s">
        <v>364</v>
      </c>
      <c r="E12" s="484" t="s">
        <v>417</v>
      </c>
      <c r="F12" s="484" t="s">
        <v>418</v>
      </c>
      <c r="G12" s="484"/>
      <c r="H12" s="484"/>
      <c r="I12" s="483" t="s">
        <v>419</v>
      </c>
      <c r="J12" s="483" t="s">
        <v>419</v>
      </c>
      <c r="K12" s="483" t="s">
        <v>420</v>
      </c>
      <c r="L12" s="483" t="s">
        <v>421</v>
      </c>
      <c r="M12" s="483" t="s">
        <v>422</v>
      </c>
      <c r="N12" s="483" t="s">
        <v>423</v>
      </c>
      <c r="O12" s="483" t="s">
        <v>94</v>
      </c>
      <c r="P12" s="483" t="s">
        <v>95</v>
      </c>
      <c r="Q12" s="483" t="s">
        <v>92</v>
      </c>
      <c r="R12" s="483" t="s">
        <v>424</v>
      </c>
      <c r="S12" s="483" t="s">
        <v>264</v>
      </c>
      <c r="T12" s="483" t="s">
        <v>265</v>
      </c>
      <c r="V12" s="483" t="s">
        <v>71</v>
      </c>
      <c r="W12" s="483" t="s">
        <v>71</v>
      </c>
      <c r="X12" s="483" t="s">
        <v>425</v>
      </c>
      <c r="Y12" s="483" t="s">
        <v>426</v>
      </c>
      <c r="Z12" s="483" t="s">
        <v>298</v>
      </c>
      <c r="AA12" s="483" t="s">
        <v>398</v>
      </c>
      <c r="AB12" s="483" t="s">
        <v>107</v>
      </c>
      <c r="AC12" s="483" t="s">
        <v>108</v>
      </c>
      <c r="AD12" s="483" t="s">
        <v>427</v>
      </c>
      <c r="AE12" s="483" t="s">
        <v>428</v>
      </c>
      <c r="AF12" s="483" t="s">
        <v>429</v>
      </c>
      <c r="AG12" s="483" t="s">
        <v>430</v>
      </c>
      <c r="AH12" s="483" t="s">
        <v>431</v>
      </c>
      <c r="AI12" s="483" t="s">
        <v>380</v>
      </c>
      <c r="AJ12" s="483" t="s">
        <v>985</v>
      </c>
      <c r="AK12" s="483" t="s">
        <v>986</v>
      </c>
      <c r="AN12" s="483" t="s">
        <v>432</v>
      </c>
      <c r="AO12" s="483" t="s">
        <v>433</v>
      </c>
      <c r="AV12" s="483" t="s">
        <v>368</v>
      </c>
      <c r="AW12" s="483" t="s">
        <v>369</v>
      </c>
      <c r="BL12" s="483" t="s">
        <v>434</v>
      </c>
      <c r="BM12" s="483" t="s">
        <v>435</v>
      </c>
      <c r="BP12" s="483" t="s">
        <v>436</v>
      </c>
      <c r="BQ12" s="483" t="s">
        <v>437</v>
      </c>
      <c r="BR12" s="483" t="s">
        <v>438</v>
      </c>
      <c r="BS12" s="483" t="s">
        <v>439</v>
      </c>
      <c r="BT12" s="483" t="s">
        <v>415</v>
      </c>
    </row>
    <row r="13" spans="1:75">
      <c r="A13" s="483">
        <v>12</v>
      </c>
      <c r="C13" s="484" t="s">
        <v>390</v>
      </c>
      <c r="D13" s="484" t="s">
        <v>391</v>
      </c>
      <c r="E13" s="484" t="s">
        <v>440</v>
      </c>
      <c r="F13" s="483" t="s">
        <v>441</v>
      </c>
      <c r="G13" s="484"/>
      <c r="H13" s="484"/>
      <c r="I13" s="483" t="s">
        <v>442</v>
      </c>
      <c r="J13" s="483" t="s">
        <v>442</v>
      </c>
      <c r="K13" s="483" t="s">
        <v>443</v>
      </c>
      <c r="L13" s="483" t="s">
        <v>444</v>
      </c>
      <c r="M13" s="483" t="s">
        <v>152</v>
      </c>
      <c r="N13" s="483" t="s">
        <v>153</v>
      </c>
      <c r="O13" s="483" t="s">
        <v>445</v>
      </c>
      <c r="P13" s="483" t="s">
        <v>446</v>
      </c>
      <c r="Q13" s="483" t="s">
        <v>447</v>
      </c>
      <c r="R13" s="483" t="s">
        <v>448</v>
      </c>
      <c r="S13" s="483" t="s">
        <v>300</v>
      </c>
      <c r="T13" s="483" t="s">
        <v>301</v>
      </c>
      <c r="X13" s="483" t="s">
        <v>449</v>
      </c>
      <c r="Y13" s="483" t="s">
        <v>450</v>
      </c>
      <c r="Z13" s="483" t="s">
        <v>262</v>
      </c>
      <c r="AA13" s="483" t="s">
        <v>263</v>
      </c>
      <c r="AB13" s="483" t="s">
        <v>152</v>
      </c>
      <c r="AC13" s="483" t="s">
        <v>153</v>
      </c>
      <c r="AD13" s="483" t="s">
        <v>451</v>
      </c>
      <c r="AE13" s="483" t="s">
        <v>452</v>
      </c>
      <c r="AF13" s="483" t="s">
        <v>453</v>
      </c>
      <c r="AG13" s="483" t="s">
        <v>454</v>
      </c>
      <c r="AH13" s="483" t="s">
        <v>409</v>
      </c>
      <c r="AI13" s="483" t="s">
        <v>410</v>
      </c>
      <c r="AV13" s="483" t="s">
        <v>455</v>
      </c>
      <c r="AW13" s="483" t="s">
        <v>456</v>
      </c>
      <c r="BL13" s="483" t="s">
        <v>457</v>
      </c>
      <c r="BM13" s="483" t="s">
        <v>458</v>
      </c>
      <c r="BP13" s="483" t="s">
        <v>459</v>
      </c>
      <c r="BQ13" s="483" t="s">
        <v>460</v>
      </c>
    </row>
    <row r="14" spans="1:75">
      <c r="A14" s="483">
        <v>13</v>
      </c>
      <c r="C14" s="484" t="s">
        <v>417</v>
      </c>
      <c r="D14" s="484" t="s">
        <v>418</v>
      </c>
      <c r="E14" s="484" t="s">
        <v>461</v>
      </c>
      <c r="F14" s="484" t="s">
        <v>462</v>
      </c>
      <c r="G14" s="484"/>
      <c r="H14" s="484"/>
      <c r="I14" s="483" t="s">
        <v>463</v>
      </c>
      <c r="J14" s="483" t="s">
        <v>463</v>
      </c>
      <c r="K14" s="483" t="s">
        <v>464</v>
      </c>
      <c r="L14" s="483" t="s">
        <v>465</v>
      </c>
      <c r="M14" s="483" t="s">
        <v>210</v>
      </c>
      <c r="N14" s="483" t="s">
        <v>211</v>
      </c>
      <c r="O14" s="483" t="s">
        <v>298</v>
      </c>
      <c r="P14" s="483" t="s">
        <v>398</v>
      </c>
      <c r="Q14" s="483" t="s">
        <v>337</v>
      </c>
      <c r="R14" s="483" t="s">
        <v>338</v>
      </c>
      <c r="V14" s="483" t="s">
        <v>981</v>
      </c>
      <c r="W14" s="483" t="s">
        <v>983</v>
      </c>
      <c r="X14" s="483" t="s">
        <v>466</v>
      </c>
      <c r="Y14" s="483" t="s">
        <v>467</v>
      </c>
      <c r="Z14" s="483" t="s">
        <v>468</v>
      </c>
      <c r="AA14" s="483" t="s">
        <v>469</v>
      </c>
      <c r="AB14" s="483" t="s">
        <v>195</v>
      </c>
      <c r="AC14" s="483" t="s">
        <v>196</v>
      </c>
      <c r="AD14" s="483" t="s">
        <v>470</v>
      </c>
      <c r="AE14" s="483" t="s">
        <v>471</v>
      </c>
      <c r="AH14" s="483" t="s">
        <v>472</v>
      </c>
      <c r="AI14" s="483" t="s">
        <v>430</v>
      </c>
      <c r="AV14" s="483" t="s">
        <v>473</v>
      </c>
      <c r="AW14" s="483" t="s">
        <v>474</v>
      </c>
      <c r="BL14" s="483" t="s">
        <v>475</v>
      </c>
      <c r="BM14" s="483" t="s">
        <v>476</v>
      </c>
      <c r="BP14" s="483" t="s">
        <v>477</v>
      </c>
      <c r="BQ14" s="483" t="s">
        <v>478</v>
      </c>
      <c r="BR14" s="483" t="s">
        <v>479</v>
      </c>
      <c r="BS14" s="483" t="s">
        <v>479</v>
      </c>
    </row>
    <row r="15" spans="1:75" ht="16">
      <c r="A15" s="483">
        <v>14</v>
      </c>
      <c r="C15" s="484" t="s">
        <v>440</v>
      </c>
      <c r="D15" s="483" t="s">
        <v>441</v>
      </c>
      <c r="E15" s="484" t="s">
        <v>480</v>
      </c>
      <c r="F15" s="484" t="s">
        <v>481</v>
      </c>
      <c r="I15" s="483" t="s">
        <v>482</v>
      </c>
      <c r="J15" s="483" t="s">
        <v>482</v>
      </c>
      <c r="K15" s="483" t="s">
        <v>483</v>
      </c>
      <c r="L15" s="483" t="s">
        <v>484</v>
      </c>
      <c r="M15" s="483" t="s">
        <v>285</v>
      </c>
      <c r="N15" s="483" t="s">
        <v>286</v>
      </c>
      <c r="O15" s="483" t="s">
        <v>485</v>
      </c>
      <c r="P15" s="483" t="s">
        <v>486</v>
      </c>
      <c r="Q15" s="483" t="s">
        <v>487</v>
      </c>
      <c r="R15" s="483" t="s">
        <v>488</v>
      </c>
      <c r="S15" s="483" t="s">
        <v>915</v>
      </c>
      <c r="T15" s="483" t="s">
        <v>916</v>
      </c>
      <c r="V15" s="483" t="s">
        <v>982</v>
      </c>
      <c r="W15" s="483" t="s">
        <v>984</v>
      </c>
      <c r="X15" s="483" t="s">
        <v>489</v>
      </c>
      <c r="Y15" s="483" t="s">
        <v>490</v>
      </c>
      <c r="AB15" s="483" t="s">
        <v>370</v>
      </c>
      <c r="AC15" s="483" t="s">
        <v>95</v>
      </c>
      <c r="AD15" s="483" t="s">
        <v>491</v>
      </c>
      <c r="AE15" s="483" t="s">
        <v>492</v>
      </c>
      <c r="AH15" s="483" t="s">
        <v>493</v>
      </c>
      <c r="AI15" s="483" t="s">
        <v>494</v>
      </c>
      <c r="BL15" s="483" t="s">
        <v>495</v>
      </c>
      <c r="BM15" s="483" t="s">
        <v>496</v>
      </c>
      <c r="BP15" s="483" t="s">
        <v>497</v>
      </c>
      <c r="BQ15" s="483" t="s">
        <v>497</v>
      </c>
      <c r="BR15" s="483" t="s">
        <v>498</v>
      </c>
      <c r="BS15" s="483" t="s">
        <v>499</v>
      </c>
      <c r="BT15" s="482" t="s">
        <v>500</v>
      </c>
    </row>
    <row r="16" spans="1:75" ht="16">
      <c r="A16" s="483">
        <v>15</v>
      </c>
      <c r="C16" s="484" t="s">
        <v>461</v>
      </c>
      <c r="D16" s="484" t="s">
        <v>462</v>
      </c>
      <c r="E16" s="484" t="s">
        <v>501</v>
      </c>
      <c r="F16" s="484" t="s">
        <v>502</v>
      </c>
      <c r="I16" s="483" t="s">
        <v>503</v>
      </c>
      <c r="J16" s="483" t="s">
        <v>504</v>
      </c>
      <c r="K16" s="483" t="s">
        <v>505</v>
      </c>
      <c r="L16" s="483" t="s">
        <v>506</v>
      </c>
      <c r="M16" s="483" t="s">
        <v>455</v>
      </c>
      <c r="N16" s="483" t="s">
        <v>507</v>
      </c>
      <c r="O16" s="483" t="s">
        <v>485</v>
      </c>
      <c r="P16" s="483" t="s">
        <v>486</v>
      </c>
      <c r="Q16" s="483" t="s">
        <v>216</v>
      </c>
      <c r="R16" s="483" t="s">
        <v>508</v>
      </c>
      <c r="S16" s="483" t="s">
        <v>509</v>
      </c>
      <c r="T16" s="483" t="s">
        <v>510</v>
      </c>
      <c r="X16" s="483" t="s">
        <v>511</v>
      </c>
      <c r="Y16" s="483" t="s">
        <v>512</v>
      </c>
      <c r="Z16" s="483" t="s">
        <v>513</v>
      </c>
      <c r="AA16" s="483" t="s">
        <v>514</v>
      </c>
      <c r="AB16" s="483" t="s">
        <v>515</v>
      </c>
      <c r="AC16" s="483" t="s">
        <v>279</v>
      </c>
      <c r="AD16" s="483" t="s">
        <v>516</v>
      </c>
      <c r="AE16" s="483" t="s">
        <v>517</v>
      </c>
      <c r="BP16" s="483" t="s">
        <v>376</v>
      </c>
      <c r="BQ16" s="483" t="s">
        <v>376</v>
      </c>
      <c r="BR16" s="483" t="s">
        <v>518</v>
      </c>
      <c r="BS16" s="483" t="s">
        <v>519</v>
      </c>
      <c r="BT16" s="482" t="s">
        <v>500</v>
      </c>
    </row>
    <row r="17" spans="1:72">
      <c r="A17" s="483">
        <v>16</v>
      </c>
      <c r="C17" s="484" t="s">
        <v>480</v>
      </c>
      <c r="D17" s="484" t="s">
        <v>481</v>
      </c>
      <c r="E17" s="484" t="s">
        <v>520</v>
      </c>
      <c r="F17" s="484" t="s">
        <v>521</v>
      </c>
      <c r="I17" s="483" t="s">
        <v>39</v>
      </c>
      <c r="J17" s="483" t="s">
        <v>40</v>
      </c>
      <c r="K17" s="483" t="s">
        <v>522</v>
      </c>
      <c r="L17" s="483" t="s">
        <v>523</v>
      </c>
      <c r="M17" s="483" t="s">
        <v>248</v>
      </c>
      <c r="N17" s="483" t="s">
        <v>249</v>
      </c>
      <c r="O17" s="483" t="s">
        <v>524</v>
      </c>
      <c r="P17" s="483" t="s">
        <v>525</v>
      </c>
      <c r="Q17" s="483" t="s">
        <v>526</v>
      </c>
      <c r="R17" s="483" t="s">
        <v>527</v>
      </c>
      <c r="S17" s="483" t="s">
        <v>528</v>
      </c>
      <c r="T17" s="483" t="s">
        <v>529</v>
      </c>
      <c r="X17" s="483" t="s">
        <v>530</v>
      </c>
      <c r="Y17" s="483" t="s">
        <v>531</v>
      </c>
      <c r="Z17" s="483" t="s">
        <v>150</v>
      </c>
      <c r="AA17" s="483" t="s">
        <v>151</v>
      </c>
      <c r="AB17" s="483" t="s">
        <v>71</v>
      </c>
      <c r="AC17" s="483" t="s">
        <v>315</v>
      </c>
      <c r="AD17" s="483" t="s">
        <v>289</v>
      </c>
      <c r="AE17" s="483" t="s">
        <v>290</v>
      </c>
      <c r="AH17" s="483" t="s">
        <v>532</v>
      </c>
      <c r="AI17" s="483" t="s">
        <v>533</v>
      </c>
      <c r="AV17" s="483" t="s">
        <v>534</v>
      </c>
      <c r="AW17" s="483" t="s">
        <v>535</v>
      </c>
      <c r="BL17" s="483" t="s">
        <v>536</v>
      </c>
      <c r="BM17" s="483" t="s">
        <v>537</v>
      </c>
      <c r="BP17" s="483" t="s">
        <v>491</v>
      </c>
      <c r="BQ17" s="488" t="s">
        <v>538</v>
      </c>
    </row>
    <row r="18" spans="1:72">
      <c r="A18" s="483">
        <v>17</v>
      </c>
      <c r="C18" s="484">
        <v>2023</v>
      </c>
      <c r="D18" s="484">
        <v>2023</v>
      </c>
      <c r="E18" s="484" t="s">
        <v>539</v>
      </c>
      <c r="F18" s="484" t="s">
        <v>540</v>
      </c>
      <c r="I18" s="483" t="s">
        <v>541</v>
      </c>
      <c r="J18" s="483" t="s">
        <v>541</v>
      </c>
      <c r="K18" s="483" t="s">
        <v>96</v>
      </c>
      <c r="L18" s="483" t="s">
        <v>97</v>
      </c>
      <c r="M18" s="483" t="s">
        <v>542</v>
      </c>
      <c r="N18" s="483" t="s">
        <v>543</v>
      </c>
      <c r="O18" s="483" t="s">
        <v>109</v>
      </c>
      <c r="P18" s="483" t="s">
        <v>110</v>
      </c>
      <c r="Q18" s="483" t="s">
        <v>407</v>
      </c>
      <c r="R18" s="483" t="s">
        <v>544</v>
      </c>
      <c r="S18" s="483" t="s">
        <v>545</v>
      </c>
      <c r="T18" s="483" t="s">
        <v>917</v>
      </c>
      <c r="X18" s="483" t="s">
        <v>546</v>
      </c>
      <c r="Y18" s="483" t="s">
        <v>547</v>
      </c>
      <c r="Z18" s="483" t="s">
        <v>194</v>
      </c>
      <c r="AA18" s="483" t="s">
        <v>194</v>
      </c>
      <c r="AD18" s="483" t="s">
        <v>548</v>
      </c>
      <c r="AE18" s="483" t="s">
        <v>549</v>
      </c>
      <c r="AH18" s="483" t="s">
        <v>550</v>
      </c>
      <c r="AI18" s="483" t="s">
        <v>551</v>
      </c>
      <c r="AV18" s="483" t="s">
        <v>210</v>
      </c>
      <c r="AW18" s="483" t="s">
        <v>211</v>
      </c>
      <c r="BL18" s="483" t="s">
        <v>552</v>
      </c>
      <c r="BM18" s="483" t="s">
        <v>553</v>
      </c>
      <c r="BP18" s="486" t="s">
        <v>554</v>
      </c>
      <c r="BQ18" s="486" t="s">
        <v>555</v>
      </c>
      <c r="BR18" s="483" t="s">
        <v>556</v>
      </c>
      <c r="BS18" s="483" t="s">
        <v>557</v>
      </c>
    </row>
    <row r="19" spans="1:72">
      <c r="A19" s="483">
        <v>18</v>
      </c>
      <c r="C19" s="484" t="s">
        <v>501</v>
      </c>
      <c r="D19" s="484" t="s">
        <v>502</v>
      </c>
      <c r="E19" s="484" t="s">
        <v>558</v>
      </c>
      <c r="F19" s="484" t="s">
        <v>559</v>
      </c>
      <c r="I19" s="483" t="s">
        <v>560</v>
      </c>
      <c r="J19" s="483" t="s">
        <v>561</v>
      </c>
      <c r="K19" s="483" t="s">
        <v>304</v>
      </c>
      <c r="L19" s="483" t="s">
        <v>305</v>
      </c>
      <c r="M19" s="483" t="s">
        <v>562</v>
      </c>
      <c r="N19" s="483" t="s">
        <v>563</v>
      </c>
      <c r="O19" s="483" t="s">
        <v>564</v>
      </c>
      <c r="P19" s="483" t="s">
        <v>565</v>
      </c>
      <c r="S19" s="483" t="s">
        <v>566</v>
      </c>
      <c r="T19" s="483" t="s">
        <v>567</v>
      </c>
      <c r="X19" s="483" t="s">
        <v>568</v>
      </c>
      <c r="Y19" s="483" t="s">
        <v>569</v>
      </c>
      <c r="Z19" s="483" t="s">
        <v>181</v>
      </c>
      <c r="AA19" s="483" t="s">
        <v>182</v>
      </c>
      <c r="AD19" s="483" t="s">
        <v>570</v>
      </c>
      <c r="AE19" s="483" t="s">
        <v>571</v>
      </c>
      <c r="AH19" s="483" t="s">
        <v>572</v>
      </c>
      <c r="AI19" s="483" t="s">
        <v>573</v>
      </c>
      <c r="AV19" s="483" t="s">
        <v>323</v>
      </c>
      <c r="AW19" s="483" t="s">
        <v>324</v>
      </c>
      <c r="BL19" s="483" t="s">
        <v>574</v>
      </c>
      <c r="BM19" s="483" t="s">
        <v>575</v>
      </c>
      <c r="BP19" s="483" t="s">
        <v>970</v>
      </c>
      <c r="BQ19" s="483" t="s">
        <v>971</v>
      </c>
    </row>
    <row r="20" spans="1:72">
      <c r="A20" s="483">
        <v>19</v>
      </c>
      <c r="C20" s="484" t="s">
        <v>520</v>
      </c>
      <c r="D20" s="484" t="s">
        <v>521</v>
      </c>
      <c r="I20" s="483" t="s">
        <v>576</v>
      </c>
      <c r="J20" s="483" t="s">
        <v>576</v>
      </c>
      <c r="K20" s="483" t="s">
        <v>577</v>
      </c>
      <c r="L20" s="483" t="s">
        <v>578</v>
      </c>
      <c r="M20" s="483" t="s">
        <v>579</v>
      </c>
      <c r="N20" s="483" t="s">
        <v>580</v>
      </c>
      <c r="O20" s="483" t="s">
        <v>581</v>
      </c>
      <c r="P20" s="483" t="s">
        <v>582</v>
      </c>
      <c r="Q20" s="483" t="s">
        <v>583</v>
      </c>
      <c r="R20" s="483" t="s">
        <v>584</v>
      </c>
      <c r="S20" s="483" t="s">
        <v>585</v>
      </c>
      <c r="T20" s="483" t="s">
        <v>586</v>
      </c>
      <c r="X20" s="483" t="s">
        <v>587</v>
      </c>
      <c r="Y20" s="483" t="s">
        <v>588</v>
      </c>
      <c r="Z20" s="483" t="s">
        <v>276</v>
      </c>
      <c r="AA20" s="483" t="s">
        <v>277</v>
      </c>
      <c r="AD20" s="483" t="s">
        <v>105</v>
      </c>
      <c r="AE20" s="483" t="s">
        <v>106</v>
      </c>
      <c r="AH20" s="483" t="s">
        <v>62</v>
      </c>
      <c r="AI20" s="483" t="s">
        <v>182</v>
      </c>
      <c r="AV20" s="483" t="s">
        <v>181</v>
      </c>
      <c r="AW20" s="483" t="s">
        <v>182</v>
      </c>
      <c r="BL20" s="483" t="s">
        <v>589</v>
      </c>
      <c r="BM20" s="483" t="s">
        <v>590</v>
      </c>
      <c r="BP20" s="483" t="s">
        <v>591</v>
      </c>
      <c r="BQ20" s="483" t="s">
        <v>591</v>
      </c>
      <c r="BR20" s="483" t="s">
        <v>592</v>
      </c>
      <c r="BS20" s="483" t="s">
        <v>593</v>
      </c>
      <c r="BT20" s="483" t="s">
        <v>963</v>
      </c>
    </row>
    <row r="21" spans="1:72">
      <c r="A21" s="483">
        <v>20</v>
      </c>
      <c r="C21" s="484" t="s">
        <v>539</v>
      </c>
      <c r="D21" s="484" t="s">
        <v>540</v>
      </c>
      <c r="I21" s="483" t="s">
        <v>594</v>
      </c>
      <c r="J21" s="483" t="s">
        <v>595</v>
      </c>
      <c r="K21" s="483" t="s">
        <v>596</v>
      </c>
      <c r="L21" s="483" t="s">
        <v>597</v>
      </c>
      <c r="M21" s="483" t="s">
        <v>598</v>
      </c>
      <c r="N21" s="483" t="s">
        <v>599</v>
      </c>
      <c r="O21" s="483" t="s">
        <v>600</v>
      </c>
      <c r="P21" s="483" t="s">
        <v>582</v>
      </c>
      <c r="Q21" s="483" t="s">
        <v>601</v>
      </c>
      <c r="R21" s="483" t="s">
        <v>602</v>
      </c>
      <c r="S21" s="483" t="s">
        <v>368</v>
      </c>
      <c r="T21" s="483" t="s">
        <v>369</v>
      </c>
      <c r="X21" s="483" t="s">
        <v>603</v>
      </c>
      <c r="Y21" s="483" t="s">
        <v>604</v>
      </c>
      <c r="Z21" s="483" t="s">
        <v>605</v>
      </c>
      <c r="AA21" s="483" t="s">
        <v>606</v>
      </c>
      <c r="AD21" s="483" t="s">
        <v>513</v>
      </c>
      <c r="AE21" s="483" t="s">
        <v>514</v>
      </c>
      <c r="AH21" s="483" t="s">
        <v>137</v>
      </c>
      <c r="AI21" s="483" t="s">
        <v>138</v>
      </c>
      <c r="AV21" s="483" t="s">
        <v>300</v>
      </c>
      <c r="AW21" s="483" t="s">
        <v>301</v>
      </c>
      <c r="BL21" s="483" t="s">
        <v>607</v>
      </c>
      <c r="BM21" s="483" t="s">
        <v>608</v>
      </c>
      <c r="BP21" s="483" t="s">
        <v>970</v>
      </c>
      <c r="BQ21" s="483" t="s">
        <v>971</v>
      </c>
    </row>
    <row r="22" spans="1:72">
      <c r="A22" s="483">
        <v>21</v>
      </c>
      <c r="C22" s="484" t="s">
        <v>558</v>
      </c>
      <c r="D22" s="484" t="s">
        <v>559</v>
      </c>
      <c r="I22" s="483" t="s">
        <v>609</v>
      </c>
      <c r="J22" s="483" t="s">
        <v>610</v>
      </c>
      <c r="K22" s="483" t="s">
        <v>611</v>
      </c>
      <c r="L22" s="483" t="s">
        <v>612</v>
      </c>
      <c r="M22" s="483" t="s">
        <v>613</v>
      </c>
      <c r="N22" s="483" t="s">
        <v>614</v>
      </c>
      <c r="O22" s="483" t="s">
        <v>615</v>
      </c>
      <c r="P22" s="483" t="s">
        <v>616</v>
      </c>
      <c r="Q22" s="483" t="s">
        <v>596</v>
      </c>
      <c r="R22" s="483" t="s">
        <v>597</v>
      </c>
      <c r="Z22" s="483" t="s">
        <v>617</v>
      </c>
      <c r="AA22" s="483" t="s">
        <v>618</v>
      </c>
      <c r="AD22" s="483" t="s">
        <v>579</v>
      </c>
      <c r="AE22" s="483" t="s">
        <v>580</v>
      </c>
      <c r="AH22" s="483" t="s">
        <v>98</v>
      </c>
      <c r="AI22" s="483" t="s">
        <v>99</v>
      </c>
      <c r="AV22" s="483" t="s">
        <v>276</v>
      </c>
      <c r="AW22" s="483" t="s">
        <v>277</v>
      </c>
      <c r="BP22" s="486" t="s">
        <v>619</v>
      </c>
      <c r="BQ22" s="483" t="s">
        <v>620</v>
      </c>
      <c r="BR22" s="483" t="s">
        <v>621</v>
      </c>
      <c r="BS22" s="483" t="s">
        <v>622</v>
      </c>
      <c r="BT22" s="483" t="s">
        <v>964</v>
      </c>
    </row>
    <row r="23" spans="1:72">
      <c r="A23" s="483">
        <v>22</v>
      </c>
      <c r="C23" s="484">
        <v>2024</v>
      </c>
      <c r="D23" s="484">
        <v>2024</v>
      </c>
      <c r="K23" s="483" t="s">
        <v>623</v>
      </c>
      <c r="L23" s="483" t="s">
        <v>624</v>
      </c>
      <c r="M23" s="483" t="s">
        <v>625</v>
      </c>
      <c r="N23" s="483" t="s">
        <v>626</v>
      </c>
      <c r="O23" s="483" t="s">
        <v>154</v>
      </c>
      <c r="P23" s="483" t="s">
        <v>155</v>
      </c>
      <c r="S23" s="483" t="s">
        <v>627</v>
      </c>
      <c r="T23" s="483" t="s">
        <v>628</v>
      </c>
      <c r="Z23" s="483" t="s">
        <v>135</v>
      </c>
      <c r="AA23" s="483" t="s">
        <v>136</v>
      </c>
      <c r="AD23" s="483" t="s">
        <v>629</v>
      </c>
      <c r="AE23" s="483" t="s">
        <v>630</v>
      </c>
      <c r="AH23" s="483" t="s">
        <v>276</v>
      </c>
      <c r="AI23" s="483" t="s">
        <v>277</v>
      </c>
      <c r="AV23" s="483" t="s">
        <v>368</v>
      </c>
      <c r="AW23" s="483" t="s">
        <v>369</v>
      </c>
      <c r="BL23" s="483" t="s">
        <v>631</v>
      </c>
      <c r="BM23" s="483" t="s">
        <v>632</v>
      </c>
      <c r="BP23" s="483" t="s">
        <v>633</v>
      </c>
      <c r="BQ23" s="483" t="s">
        <v>634</v>
      </c>
      <c r="BR23" s="483" t="s">
        <v>183</v>
      </c>
      <c r="BS23" s="483" t="s">
        <v>184</v>
      </c>
      <c r="BT23" s="483" t="s">
        <v>965</v>
      </c>
    </row>
    <row r="24" spans="1:72">
      <c r="A24" s="483">
        <v>23</v>
      </c>
      <c r="I24" s="483" t="s">
        <v>635</v>
      </c>
      <c r="J24" s="483" t="s">
        <v>636</v>
      </c>
      <c r="K24" s="483" t="s">
        <v>637</v>
      </c>
      <c r="L24" s="1" t="s">
        <v>638</v>
      </c>
      <c r="M24" s="483" t="s">
        <v>629</v>
      </c>
      <c r="N24" s="483" t="s">
        <v>630</v>
      </c>
      <c r="O24" s="483" t="s">
        <v>639</v>
      </c>
      <c r="P24" s="483" t="s">
        <v>640</v>
      </c>
      <c r="Q24" s="483" t="s">
        <v>641</v>
      </c>
      <c r="R24" s="483" t="s">
        <v>642</v>
      </c>
      <c r="S24" s="483" t="s">
        <v>300</v>
      </c>
      <c r="T24" s="483" t="s">
        <v>99</v>
      </c>
      <c r="Z24" s="483" t="s">
        <v>226</v>
      </c>
      <c r="AA24" s="483" t="s">
        <v>227</v>
      </c>
      <c r="AD24" s="483" t="s">
        <v>403</v>
      </c>
      <c r="AE24" s="483" t="s">
        <v>403</v>
      </c>
      <c r="AH24" s="483" t="s">
        <v>368</v>
      </c>
      <c r="AI24" s="483" t="s">
        <v>369</v>
      </c>
      <c r="AV24" s="483" t="s">
        <v>455</v>
      </c>
      <c r="AW24" s="483" t="s">
        <v>456</v>
      </c>
      <c r="BL24" s="483" t="s">
        <v>643</v>
      </c>
      <c r="BM24" s="483" t="s">
        <v>644</v>
      </c>
      <c r="BP24" s="483" t="s">
        <v>92</v>
      </c>
      <c r="BQ24" s="483" t="s">
        <v>93</v>
      </c>
      <c r="BR24" s="483" t="s">
        <v>645</v>
      </c>
      <c r="BS24" s="483" t="s">
        <v>140</v>
      </c>
      <c r="BT24" s="483" t="s">
        <v>966</v>
      </c>
    </row>
    <row r="25" spans="1:72">
      <c r="A25" s="483">
        <v>24</v>
      </c>
      <c r="I25" s="483" t="s">
        <v>646</v>
      </c>
      <c r="J25" s="483" t="s">
        <v>647</v>
      </c>
      <c r="K25" s="483" t="s">
        <v>648</v>
      </c>
      <c r="L25" s="483" t="s">
        <v>649</v>
      </c>
      <c r="M25" s="483" t="s">
        <v>650</v>
      </c>
      <c r="N25" s="483" t="s">
        <v>651</v>
      </c>
      <c r="O25" s="483" t="s">
        <v>652</v>
      </c>
      <c r="P25" s="483" t="s">
        <v>653</v>
      </c>
      <c r="S25" s="483" t="s">
        <v>368</v>
      </c>
      <c r="T25" s="483" t="s">
        <v>369</v>
      </c>
      <c r="Z25" s="483" t="s">
        <v>654</v>
      </c>
      <c r="AA25" s="483" t="s">
        <v>655</v>
      </c>
      <c r="AH25" s="483" t="s">
        <v>411</v>
      </c>
      <c r="AI25" s="483" t="s">
        <v>412</v>
      </c>
      <c r="AV25" s="483" t="s">
        <v>656</v>
      </c>
      <c r="AW25" s="483" t="s">
        <v>657</v>
      </c>
      <c r="BL25" s="483" t="s">
        <v>658</v>
      </c>
      <c r="BM25" s="483" t="s">
        <v>658</v>
      </c>
      <c r="BP25" s="483" t="s">
        <v>181</v>
      </c>
      <c r="BQ25" s="483" t="s">
        <v>659</v>
      </c>
      <c r="BR25" s="483" t="s">
        <v>660</v>
      </c>
      <c r="BS25" s="483" t="s">
        <v>229</v>
      </c>
      <c r="BT25" s="483" t="s">
        <v>967</v>
      </c>
    </row>
    <row r="26" spans="1:72">
      <c r="A26" s="483">
        <v>25</v>
      </c>
      <c r="K26" s="483" t="s">
        <v>661</v>
      </c>
      <c r="L26" s="483" t="s">
        <v>662</v>
      </c>
      <c r="M26" s="483" t="s">
        <v>427</v>
      </c>
      <c r="N26" s="483" t="s">
        <v>663</v>
      </c>
      <c r="O26" s="483" t="s">
        <v>664</v>
      </c>
      <c r="P26" s="483" t="s">
        <v>665</v>
      </c>
      <c r="S26" s="483" t="s">
        <v>666</v>
      </c>
      <c r="T26" s="483" t="s">
        <v>667</v>
      </c>
      <c r="Z26" s="483" t="s">
        <v>298</v>
      </c>
      <c r="AA26" s="483" t="s">
        <v>398</v>
      </c>
      <c r="AH26" s="483" t="s">
        <v>92</v>
      </c>
      <c r="AI26" s="483" t="s">
        <v>93</v>
      </c>
      <c r="BL26" s="483" t="s">
        <v>668</v>
      </c>
      <c r="BM26" s="483" t="s">
        <v>669</v>
      </c>
      <c r="BR26" s="483" t="s">
        <v>86</v>
      </c>
      <c r="BS26" s="483" t="s">
        <v>87</v>
      </c>
    </row>
    <row r="27" spans="1:72">
      <c r="A27" s="483">
        <v>26</v>
      </c>
      <c r="I27" s="483" t="s">
        <v>670</v>
      </c>
      <c r="J27" s="483" t="s">
        <v>671</v>
      </c>
      <c r="K27" s="483" t="s">
        <v>672</v>
      </c>
      <c r="L27" s="483" t="s">
        <v>673</v>
      </c>
      <c r="M27" s="483" t="s">
        <v>623</v>
      </c>
      <c r="N27" s="483" t="s">
        <v>626</v>
      </c>
      <c r="O27" s="483" t="s">
        <v>674</v>
      </c>
      <c r="P27" s="483" t="s">
        <v>675</v>
      </c>
      <c r="Q27" s="483" t="s">
        <v>676</v>
      </c>
      <c r="R27" s="483" t="s">
        <v>186</v>
      </c>
      <c r="Z27" s="483" t="s">
        <v>677</v>
      </c>
      <c r="AA27" s="483" t="s">
        <v>678</v>
      </c>
      <c r="AH27" s="483" t="s">
        <v>379</v>
      </c>
      <c r="AI27" s="483" t="s">
        <v>380</v>
      </c>
      <c r="AV27" s="483" t="s">
        <v>679</v>
      </c>
      <c r="AW27" s="483" t="s">
        <v>680</v>
      </c>
      <c r="BP27" s="483" t="s">
        <v>681</v>
      </c>
      <c r="BQ27" s="483" t="s">
        <v>682</v>
      </c>
    </row>
    <row r="28" spans="1:72">
      <c r="A28" s="483">
        <v>27</v>
      </c>
      <c r="K28" s="483" t="s">
        <v>683</v>
      </c>
      <c r="L28" s="483" t="s">
        <v>684</v>
      </c>
      <c r="O28" s="483" t="s">
        <v>685</v>
      </c>
      <c r="P28" s="483" t="s">
        <v>686</v>
      </c>
      <c r="Q28" s="483" t="s">
        <v>687</v>
      </c>
      <c r="R28" s="483" t="s">
        <v>688</v>
      </c>
      <c r="S28" s="483" t="s">
        <v>689</v>
      </c>
      <c r="T28" s="483" t="s">
        <v>690</v>
      </c>
      <c r="Z28" s="483" t="s">
        <v>262</v>
      </c>
      <c r="AA28" s="483" t="s">
        <v>263</v>
      </c>
      <c r="AH28" s="483" t="s">
        <v>409</v>
      </c>
      <c r="AI28" s="483" t="s">
        <v>410</v>
      </c>
      <c r="AV28" s="483" t="s">
        <v>248</v>
      </c>
      <c r="AW28" s="483" t="s">
        <v>249</v>
      </c>
      <c r="BL28" s="483" t="s">
        <v>28</v>
      </c>
      <c r="BM28" s="483" t="s">
        <v>28</v>
      </c>
      <c r="BP28" s="483" t="s">
        <v>427</v>
      </c>
      <c r="BQ28" s="483" t="s">
        <v>428</v>
      </c>
    </row>
    <row r="29" spans="1:72">
      <c r="A29" s="483">
        <v>28</v>
      </c>
      <c r="K29" s="483" t="s">
        <v>691</v>
      </c>
      <c r="L29" s="483" t="s">
        <v>692</v>
      </c>
      <c r="M29" s="483" t="s">
        <v>693</v>
      </c>
      <c r="N29" s="483" t="s">
        <v>694</v>
      </c>
      <c r="O29" s="483" t="s">
        <v>695</v>
      </c>
      <c r="P29" s="483" t="s">
        <v>696</v>
      </c>
      <c r="Q29" s="483" t="s">
        <v>697</v>
      </c>
      <c r="R29" s="483" t="s">
        <v>602</v>
      </c>
      <c r="S29" s="483" t="s">
        <v>666</v>
      </c>
      <c r="T29" s="483" t="s">
        <v>698</v>
      </c>
      <c r="Z29" s="483" t="s">
        <v>699</v>
      </c>
      <c r="AA29" s="483" t="s">
        <v>700</v>
      </c>
      <c r="AH29" s="483" t="s">
        <v>472</v>
      </c>
      <c r="AI29" s="483" t="s">
        <v>430</v>
      </c>
      <c r="AV29" s="483" t="s">
        <v>323</v>
      </c>
      <c r="AW29" s="483" t="s">
        <v>324</v>
      </c>
      <c r="BL29" s="483" t="s">
        <v>524</v>
      </c>
      <c r="BM29" s="483" t="s">
        <v>486</v>
      </c>
      <c r="BR29" s="483" t="s">
        <v>701</v>
      </c>
      <c r="BS29" s="483" t="s">
        <v>702</v>
      </c>
    </row>
    <row r="30" spans="1:72">
      <c r="A30" s="483">
        <v>29</v>
      </c>
      <c r="K30" s="483" t="s">
        <v>703</v>
      </c>
      <c r="L30" s="483" t="s">
        <v>704</v>
      </c>
      <c r="M30" s="483" t="s">
        <v>705</v>
      </c>
      <c r="N30" s="483" t="s">
        <v>706</v>
      </c>
      <c r="O30" s="483" t="s">
        <v>707</v>
      </c>
      <c r="P30" s="483" t="s">
        <v>708</v>
      </c>
      <c r="Q30" s="483" t="s">
        <v>709</v>
      </c>
      <c r="R30" s="483" t="s">
        <v>231</v>
      </c>
      <c r="S30" s="483" t="s">
        <v>710</v>
      </c>
      <c r="T30" s="483" t="s">
        <v>711</v>
      </c>
      <c r="AH30" s="483" t="s">
        <v>712</v>
      </c>
      <c r="AI30" s="483" t="s">
        <v>713</v>
      </c>
      <c r="AV30" s="483" t="s">
        <v>181</v>
      </c>
      <c r="AW30" s="483" t="s">
        <v>182</v>
      </c>
      <c r="BL30" s="483" t="s">
        <v>615</v>
      </c>
      <c r="BM30" s="483" t="s">
        <v>714</v>
      </c>
      <c r="BP30" s="483" t="s">
        <v>152</v>
      </c>
      <c r="BQ30" s="483" t="s">
        <v>153</v>
      </c>
      <c r="BR30" s="483" t="s">
        <v>715</v>
      </c>
      <c r="BS30" s="483" t="s">
        <v>716</v>
      </c>
    </row>
    <row r="31" spans="1:72">
      <c r="A31" s="483">
        <v>30</v>
      </c>
      <c r="K31" s="483" t="s">
        <v>717</v>
      </c>
      <c r="L31" s="483" t="s">
        <v>718</v>
      </c>
      <c r="M31" s="483" t="s">
        <v>719</v>
      </c>
      <c r="N31" s="483" t="s">
        <v>720</v>
      </c>
      <c r="O31" s="483" t="s">
        <v>62</v>
      </c>
      <c r="P31" s="483" t="s">
        <v>63</v>
      </c>
      <c r="Q31" s="483" t="s">
        <v>86</v>
      </c>
      <c r="R31" s="483" t="s">
        <v>87</v>
      </c>
      <c r="S31" s="483" t="s">
        <v>194</v>
      </c>
      <c r="T31" s="483" t="s">
        <v>194</v>
      </c>
      <c r="Z31" s="483" t="s">
        <v>721</v>
      </c>
      <c r="AA31" s="483" t="s">
        <v>722</v>
      </c>
      <c r="AV31" s="483" t="s">
        <v>300</v>
      </c>
      <c r="AW31" s="483" t="s">
        <v>301</v>
      </c>
      <c r="BL31" s="483" t="s">
        <v>723</v>
      </c>
      <c r="BM31" s="483" t="s">
        <v>724</v>
      </c>
      <c r="BP31" s="483" t="s">
        <v>650</v>
      </c>
      <c r="BQ31" s="483" t="s">
        <v>651</v>
      </c>
    </row>
    <row r="32" spans="1:72">
      <c r="A32" s="483">
        <v>31</v>
      </c>
      <c r="K32" s="483" t="s">
        <v>725</v>
      </c>
      <c r="L32" s="483" t="s">
        <v>726</v>
      </c>
      <c r="O32" s="483" t="s">
        <v>62</v>
      </c>
      <c r="P32" s="483" t="s">
        <v>63</v>
      </c>
      <c r="S32" s="483" t="s">
        <v>181</v>
      </c>
      <c r="T32" s="483" t="s">
        <v>182</v>
      </c>
      <c r="Z32" s="483" t="s">
        <v>727</v>
      </c>
      <c r="AA32" s="483" t="s">
        <v>728</v>
      </c>
      <c r="AH32" s="483" t="s">
        <v>729</v>
      </c>
      <c r="AI32" s="483" t="s">
        <v>729</v>
      </c>
      <c r="AV32" s="483" t="s">
        <v>276</v>
      </c>
      <c r="AW32" s="483" t="s">
        <v>277</v>
      </c>
    </row>
    <row r="33" spans="1:69">
      <c r="A33" s="483">
        <v>32</v>
      </c>
      <c r="K33" s="483" t="s">
        <v>730</v>
      </c>
      <c r="L33" s="483" t="s">
        <v>731</v>
      </c>
      <c r="O33" s="483" t="s">
        <v>732</v>
      </c>
      <c r="P33" s="483" t="s">
        <v>95</v>
      </c>
      <c r="Q33" s="483" t="s">
        <v>733</v>
      </c>
      <c r="R33" s="483" t="s">
        <v>734</v>
      </c>
      <c r="S33" s="483" t="s">
        <v>276</v>
      </c>
      <c r="T33" s="483" t="s">
        <v>277</v>
      </c>
      <c r="Z33" s="483" t="s">
        <v>735</v>
      </c>
      <c r="AA33" s="483" t="s">
        <v>736</v>
      </c>
      <c r="AV33" s="483" t="s">
        <v>368</v>
      </c>
      <c r="AW33" s="483" t="s">
        <v>369</v>
      </c>
      <c r="BL33" s="483" t="s">
        <v>737</v>
      </c>
      <c r="BM33" s="483" t="s">
        <v>738</v>
      </c>
      <c r="BP33" s="483" t="s">
        <v>739</v>
      </c>
      <c r="BQ33" s="483" t="s">
        <v>740</v>
      </c>
    </row>
    <row r="34" spans="1:69">
      <c r="A34" s="483">
        <v>33</v>
      </c>
      <c r="K34" s="483" t="s">
        <v>741</v>
      </c>
      <c r="L34" s="483" t="s">
        <v>742</v>
      </c>
      <c r="O34" s="483" t="s">
        <v>645</v>
      </c>
      <c r="P34" s="483" t="s">
        <v>140</v>
      </c>
      <c r="Q34" s="483" t="s">
        <v>743</v>
      </c>
      <c r="R34" s="483" t="s">
        <v>744</v>
      </c>
      <c r="S34" s="483" t="s">
        <v>666</v>
      </c>
      <c r="T34" s="483" t="s">
        <v>698</v>
      </c>
      <c r="Z34" s="483" t="s">
        <v>152</v>
      </c>
      <c r="AA34" s="483" t="s">
        <v>153</v>
      </c>
      <c r="AV34" s="483" t="s">
        <v>455</v>
      </c>
      <c r="AW34" s="483" t="s">
        <v>456</v>
      </c>
      <c r="BL34" s="483" t="s">
        <v>745</v>
      </c>
      <c r="BM34" s="483" t="s">
        <v>745</v>
      </c>
      <c r="BP34" s="483" t="s">
        <v>455</v>
      </c>
      <c r="BQ34" s="483" t="s">
        <v>507</v>
      </c>
    </row>
    <row r="35" spans="1:69">
      <c r="A35" s="483">
        <v>34</v>
      </c>
      <c r="K35" s="483" t="s">
        <v>746</v>
      </c>
      <c r="L35" s="483" t="s">
        <v>747</v>
      </c>
      <c r="O35" s="483" t="s">
        <v>183</v>
      </c>
      <c r="P35" s="483" t="s">
        <v>184</v>
      </c>
      <c r="Q35" s="483" t="s">
        <v>748</v>
      </c>
      <c r="S35" s="483" t="s">
        <v>749</v>
      </c>
      <c r="T35" s="483" t="s">
        <v>750</v>
      </c>
      <c r="Z35" s="483" t="s">
        <v>751</v>
      </c>
      <c r="AA35" s="483" t="s">
        <v>752</v>
      </c>
      <c r="AV35" s="483" t="s">
        <v>753</v>
      </c>
      <c r="AW35" s="483" t="s">
        <v>754</v>
      </c>
      <c r="BL35" s="483" t="s">
        <v>755</v>
      </c>
      <c r="BM35" s="483" t="s">
        <v>756</v>
      </c>
      <c r="BP35" s="483" t="s">
        <v>757</v>
      </c>
      <c r="BQ35" s="483" t="s">
        <v>758</v>
      </c>
    </row>
    <row r="36" spans="1:69">
      <c r="A36" s="483">
        <v>35</v>
      </c>
      <c r="K36" s="483" t="s">
        <v>759</v>
      </c>
      <c r="L36" s="483" t="s">
        <v>760</v>
      </c>
      <c r="O36" s="483" t="s">
        <v>228</v>
      </c>
      <c r="P36" s="483" t="s">
        <v>229</v>
      </c>
      <c r="Q36" s="483" t="s">
        <v>761</v>
      </c>
      <c r="Z36" s="483" t="s">
        <v>762</v>
      </c>
      <c r="AA36" s="483" t="s">
        <v>763</v>
      </c>
      <c r="BL36" s="483" t="s">
        <v>764</v>
      </c>
      <c r="BM36" s="483" t="s">
        <v>765</v>
      </c>
      <c r="BP36" s="483" t="s">
        <v>579</v>
      </c>
      <c r="BQ36" s="483" t="s">
        <v>630</v>
      </c>
    </row>
    <row r="37" spans="1:69">
      <c r="A37" s="483">
        <v>36</v>
      </c>
      <c r="K37" s="483" t="s">
        <v>766</v>
      </c>
      <c r="L37" s="483" t="s">
        <v>767</v>
      </c>
      <c r="O37" s="483" t="s">
        <v>621</v>
      </c>
      <c r="P37" s="483" t="s">
        <v>267</v>
      </c>
      <c r="Q37" s="483" t="s">
        <v>768</v>
      </c>
      <c r="Z37" s="483" t="s">
        <v>769</v>
      </c>
      <c r="AA37" s="483" t="s">
        <v>770</v>
      </c>
      <c r="AV37" s="483" t="s">
        <v>771</v>
      </c>
      <c r="AW37" s="483" t="s">
        <v>772</v>
      </c>
      <c r="BL37" s="483" t="s">
        <v>773</v>
      </c>
      <c r="BM37" s="483" t="s">
        <v>774</v>
      </c>
    </row>
    <row r="38" spans="1:69">
      <c r="A38" s="483">
        <v>37</v>
      </c>
      <c r="K38" s="483" t="s">
        <v>775</v>
      </c>
      <c r="L38" s="483" t="s">
        <v>776</v>
      </c>
      <c r="O38" s="483" t="s">
        <v>302</v>
      </c>
      <c r="P38" s="483" t="s">
        <v>303</v>
      </c>
      <c r="S38" s="483" t="s">
        <v>777</v>
      </c>
      <c r="T38" s="483" t="s">
        <v>367</v>
      </c>
      <c r="BL38" s="483" t="s">
        <v>778</v>
      </c>
      <c r="BM38" s="483" t="s">
        <v>778</v>
      </c>
      <c r="BP38" s="483" t="s">
        <v>623</v>
      </c>
      <c r="BQ38" s="483" t="s">
        <v>626</v>
      </c>
    </row>
    <row r="39" spans="1:69">
      <c r="A39" s="483">
        <v>38</v>
      </c>
      <c r="O39" s="483" t="s">
        <v>135</v>
      </c>
      <c r="P39" s="483" t="s">
        <v>136</v>
      </c>
      <c r="S39" s="483" t="s">
        <v>779</v>
      </c>
      <c r="T39" s="483" t="s">
        <v>780</v>
      </c>
      <c r="BL39" s="483" t="s">
        <v>781</v>
      </c>
      <c r="BM39" s="483" t="s">
        <v>782</v>
      </c>
      <c r="BP39" s="486" t="s">
        <v>629</v>
      </c>
      <c r="BQ39" s="483" t="s">
        <v>783</v>
      </c>
    </row>
    <row r="40" spans="1:69">
      <c r="A40" s="483">
        <v>39</v>
      </c>
      <c r="O40" s="483" t="s">
        <v>784</v>
      </c>
      <c r="P40" s="483" t="s">
        <v>785</v>
      </c>
      <c r="S40" s="483" t="s">
        <v>786</v>
      </c>
      <c r="T40" s="483" t="s">
        <v>787</v>
      </c>
      <c r="Z40" s="483" t="s">
        <v>930</v>
      </c>
      <c r="AA40" s="483" t="s">
        <v>920</v>
      </c>
      <c r="AV40" s="483" t="s">
        <v>946</v>
      </c>
      <c r="AW40" s="483" t="s">
        <v>953</v>
      </c>
      <c r="BL40" s="483" t="s">
        <v>788</v>
      </c>
      <c r="BM40" s="483" t="s">
        <v>789</v>
      </c>
    </row>
    <row r="41" spans="1:69">
      <c r="A41" s="483">
        <v>40</v>
      </c>
      <c r="O41" s="483" t="s">
        <v>790</v>
      </c>
      <c r="P41" s="483" t="s">
        <v>87</v>
      </c>
      <c r="Z41" s="483" t="s">
        <v>931</v>
      </c>
      <c r="AA41" s="483" t="s">
        <v>921</v>
      </c>
      <c r="AV41" s="483" t="s">
        <v>947</v>
      </c>
      <c r="AW41" s="483" t="s">
        <v>954</v>
      </c>
      <c r="BP41" s="483" t="s">
        <v>791</v>
      </c>
      <c r="BQ41" s="483" t="s">
        <v>792</v>
      </c>
    </row>
    <row r="42" spans="1:69">
      <c r="A42" s="483">
        <v>41</v>
      </c>
      <c r="O42" s="483" t="s">
        <v>92</v>
      </c>
      <c r="P42" s="483" t="s">
        <v>93</v>
      </c>
      <c r="S42" s="483" t="s">
        <v>918</v>
      </c>
      <c r="T42" s="483" t="s">
        <v>919</v>
      </c>
      <c r="Z42" s="483" t="s">
        <v>932</v>
      </c>
      <c r="AA42" s="483" t="s">
        <v>922</v>
      </c>
      <c r="AV42" s="483" t="s">
        <v>948</v>
      </c>
      <c r="AW42" s="483" t="s">
        <v>955</v>
      </c>
      <c r="BP42" s="483" t="s">
        <v>60</v>
      </c>
      <c r="BQ42" s="483" t="s">
        <v>61</v>
      </c>
    </row>
    <row r="43" spans="1:69">
      <c r="K43" s="483" t="s">
        <v>974</v>
      </c>
      <c r="L43" s="483" t="s">
        <v>975</v>
      </c>
      <c r="O43" s="483" t="s">
        <v>903</v>
      </c>
      <c r="P43" s="483" t="s">
        <v>904</v>
      </c>
      <c r="Z43" s="483" t="s">
        <v>933</v>
      </c>
      <c r="AA43" s="483" t="s">
        <v>923</v>
      </c>
      <c r="AV43" s="483" t="s">
        <v>949</v>
      </c>
      <c r="AW43" s="483" t="s">
        <v>956</v>
      </c>
      <c r="BP43" s="483" t="s">
        <v>793</v>
      </c>
      <c r="BQ43" s="483" t="s">
        <v>794</v>
      </c>
    </row>
    <row r="44" spans="1:69">
      <c r="O44" s="483" t="s">
        <v>901</v>
      </c>
      <c r="P44" s="483" t="s">
        <v>902</v>
      </c>
      <c r="Z44" s="483" t="s">
        <v>934</v>
      </c>
      <c r="AA44" s="483" t="s">
        <v>924</v>
      </c>
      <c r="AV44" s="483" t="s">
        <v>950</v>
      </c>
      <c r="AW44" s="483" t="s">
        <v>957</v>
      </c>
      <c r="BP44" s="483" t="s">
        <v>464</v>
      </c>
      <c r="BQ44" s="483" t="s">
        <v>465</v>
      </c>
    </row>
    <row r="45" spans="1:69">
      <c r="O45" s="483" t="s">
        <v>335</v>
      </c>
      <c r="P45" s="483" t="s">
        <v>795</v>
      </c>
      <c r="Z45" s="483" t="s">
        <v>931</v>
      </c>
      <c r="AA45" s="483" t="s">
        <v>921</v>
      </c>
      <c r="AV45" s="483" t="s">
        <v>951</v>
      </c>
      <c r="AW45" s="483" t="s">
        <v>958</v>
      </c>
      <c r="BP45" s="483" t="s">
        <v>483</v>
      </c>
      <c r="BQ45" s="483" t="s">
        <v>484</v>
      </c>
    </row>
    <row r="46" spans="1:69">
      <c r="Z46" s="483" t="s">
        <v>932</v>
      </c>
      <c r="AA46" s="483" t="s">
        <v>922</v>
      </c>
      <c r="AV46" s="483" t="s">
        <v>952</v>
      </c>
      <c r="AW46" s="483" t="s">
        <v>959</v>
      </c>
    </row>
    <row r="47" spans="1:69">
      <c r="O47" s="483" t="s">
        <v>796</v>
      </c>
      <c r="P47" s="483" t="s">
        <v>797</v>
      </c>
      <c r="Z47" s="483" t="s">
        <v>935</v>
      </c>
      <c r="AA47" s="483" t="s">
        <v>925</v>
      </c>
      <c r="BP47" s="483" t="s">
        <v>766</v>
      </c>
      <c r="BQ47" s="483" t="s">
        <v>767</v>
      </c>
    </row>
    <row r="48" spans="1:69">
      <c r="O48" s="483" t="s">
        <v>695</v>
      </c>
      <c r="P48" s="483" t="s">
        <v>696</v>
      </c>
      <c r="Z48" s="483" t="s">
        <v>936</v>
      </c>
      <c r="AA48" s="483" t="s">
        <v>926</v>
      </c>
      <c r="AV48" s="483" t="s">
        <v>944</v>
      </c>
      <c r="AW48" s="483" t="s">
        <v>945</v>
      </c>
      <c r="BP48" s="483" t="s">
        <v>337</v>
      </c>
      <c r="BQ48" s="483" t="s">
        <v>338</v>
      </c>
    </row>
    <row r="49" spans="15:69">
      <c r="Z49" s="483" t="s">
        <v>937</v>
      </c>
      <c r="AA49" s="483" t="s">
        <v>728</v>
      </c>
      <c r="BP49" s="483" t="s">
        <v>672</v>
      </c>
      <c r="BQ49" s="483" t="s">
        <v>673</v>
      </c>
    </row>
    <row r="50" spans="15:69">
      <c r="O50" s="483" t="s">
        <v>92</v>
      </c>
      <c r="P50" s="483" t="s">
        <v>93</v>
      </c>
      <c r="Z50" s="483" t="s">
        <v>938</v>
      </c>
      <c r="AA50" s="483" t="s">
        <v>927</v>
      </c>
      <c r="BP50" s="483" t="s">
        <v>691</v>
      </c>
      <c r="BQ50" s="483" t="s">
        <v>692</v>
      </c>
    </row>
    <row r="51" spans="15:69">
      <c r="O51" s="483" t="s">
        <v>676</v>
      </c>
      <c r="P51" s="483" t="s">
        <v>186</v>
      </c>
      <c r="Z51" s="483" t="s">
        <v>939</v>
      </c>
      <c r="AA51" s="483" t="s">
        <v>928</v>
      </c>
      <c r="BP51" s="483" t="s">
        <v>683</v>
      </c>
      <c r="BQ51" s="483" t="s">
        <v>798</v>
      </c>
    </row>
    <row r="52" spans="15:69">
      <c r="O52" s="483" t="s">
        <v>687</v>
      </c>
      <c r="P52" s="483" t="s">
        <v>688</v>
      </c>
      <c r="Z52" s="483" t="s">
        <v>940</v>
      </c>
      <c r="AA52" s="483" t="s">
        <v>929</v>
      </c>
    </row>
    <row r="53" spans="15:69">
      <c r="O53" s="483" t="s">
        <v>799</v>
      </c>
      <c r="P53" s="483" t="s">
        <v>602</v>
      </c>
      <c r="BP53" s="483" t="s">
        <v>79</v>
      </c>
      <c r="BQ53" s="483" t="s">
        <v>800</v>
      </c>
    </row>
    <row r="54" spans="15:69">
      <c r="O54" s="483" t="s">
        <v>801</v>
      </c>
      <c r="P54" s="483" t="s">
        <v>231</v>
      </c>
    </row>
    <row r="55" spans="15:69">
      <c r="O55" s="483" t="s">
        <v>790</v>
      </c>
      <c r="P55" s="483" t="s">
        <v>87</v>
      </c>
      <c r="Z55" s="483" t="s">
        <v>944</v>
      </c>
      <c r="AA55" s="483" t="s">
        <v>913</v>
      </c>
      <c r="BP55" s="483" t="s">
        <v>802</v>
      </c>
      <c r="BQ55" s="483" t="s">
        <v>802</v>
      </c>
    </row>
    <row r="56" spans="15:69">
      <c r="O56" s="483" t="s">
        <v>903</v>
      </c>
      <c r="P56" s="483" t="s">
        <v>904</v>
      </c>
      <c r="BP56" s="483" t="s">
        <v>803</v>
      </c>
      <c r="BQ56" s="483" t="s">
        <v>804</v>
      </c>
    </row>
    <row r="57" spans="15:69">
      <c r="O57" s="483" t="s">
        <v>805</v>
      </c>
      <c r="P57" s="483" t="s">
        <v>806</v>
      </c>
      <c r="Z57" s="483" t="s">
        <v>941</v>
      </c>
      <c r="AA57" s="483" t="s">
        <v>942</v>
      </c>
      <c r="BP57" s="483" t="s">
        <v>807</v>
      </c>
      <c r="BQ57" s="483" t="s">
        <v>807</v>
      </c>
    </row>
    <row r="58" spans="15:69">
      <c r="O58" s="483" t="s">
        <v>808</v>
      </c>
      <c r="P58" s="483" t="s">
        <v>809</v>
      </c>
      <c r="BP58" s="483" t="s">
        <v>810</v>
      </c>
      <c r="BQ58" s="483" t="s">
        <v>811</v>
      </c>
    </row>
    <row r="59" spans="15:69">
      <c r="O59" s="483" t="s">
        <v>812</v>
      </c>
      <c r="P59" s="483" t="s">
        <v>813</v>
      </c>
    </row>
    <row r="60" spans="15:69">
      <c r="O60" s="483" t="s">
        <v>814</v>
      </c>
      <c r="P60" s="483" t="s">
        <v>815</v>
      </c>
      <c r="BP60" s="483" t="s">
        <v>816</v>
      </c>
      <c r="BQ60" s="483" t="s">
        <v>817</v>
      </c>
    </row>
    <row r="61" spans="15:69">
      <c r="O61" s="483" t="s">
        <v>818</v>
      </c>
      <c r="P61" s="483" t="s">
        <v>819</v>
      </c>
    </row>
    <row r="62" spans="15:69">
      <c r="O62" s="483" t="s">
        <v>820</v>
      </c>
      <c r="P62" s="483" t="s">
        <v>821</v>
      </c>
    </row>
    <row r="63" spans="15:69">
      <c r="O63" s="483" t="s">
        <v>822</v>
      </c>
      <c r="P63" s="483" t="s">
        <v>823</v>
      </c>
      <c r="BP63" s="483" t="s">
        <v>94</v>
      </c>
      <c r="BQ63" s="483" t="s">
        <v>95</v>
      </c>
    </row>
    <row r="64" spans="15:69">
      <c r="O64" s="483" t="s">
        <v>824</v>
      </c>
      <c r="P64" s="483" t="s">
        <v>825</v>
      </c>
      <c r="BP64" s="483" t="s">
        <v>826</v>
      </c>
      <c r="BQ64" s="483" t="s">
        <v>827</v>
      </c>
    </row>
    <row r="65" spans="15:16">
      <c r="O65" s="483" t="s">
        <v>828</v>
      </c>
      <c r="P65" s="483" t="s">
        <v>829</v>
      </c>
    </row>
    <row r="66" spans="15:16">
      <c r="O66" s="483" t="s">
        <v>830</v>
      </c>
      <c r="P66" s="483" t="s">
        <v>831</v>
      </c>
    </row>
    <row r="67" spans="15:16">
      <c r="O67" s="483" t="s">
        <v>832</v>
      </c>
      <c r="P67" s="483" t="s">
        <v>833</v>
      </c>
    </row>
    <row r="68" spans="15:16">
      <c r="O68" s="483" t="s">
        <v>906</v>
      </c>
      <c r="P68" s="483" t="s">
        <v>905</v>
      </c>
    </row>
    <row r="69" spans="15:16">
      <c r="O69" s="483" t="s">
        <v>834</v>
      </c>
      <c r="P69" s="483" t="s">
        <v>835</v>
      </c>
    </row>
    <row r="70" spans="15:16">
      <c r="O70" s="483" t="s">
        <v>834</v>
      </c>
      <c r="P70" s="483" t="s">
        <v>835</v>
      </c>
    </row>
    <row r="71" spans="15:16">
      <c r="O71" s="483" t="s">
        <v>836</v>
      </c>
      <c r="P71" s="483" t="s">
        <v>837</v>
      </c>
    </row>
    <row r="72" spans="15:16">
      <c r="O72" s="483" t="s">
        <v>139</v>
      </c>
      <c r="P72" s="483" t="s">
        <v>140</v>
      </c>
    </row>
    <row r="73" spans="15:16">
      <c r="O73" s="483" t="s">
        <v>838</v>
      </c>
      <c r="P73" s="483" t="s">
        <v>839</v>
      </c>
    </row>
    <row r="74" spans="15:16">
      <c r="O74" s="483" t="s">
        <v>840</v>
      </c>
      <c r="P74" s="483" t="s">
        <v>841</v>
      </c>
    </row>
    <row r="75" spans="15:16">
      <c r="O75" s="483" t="s">
        <v>183</v>
      </c>
      <c r="P75" s="483" t="s">
        <v>184</v>
      </c>
    </row>
    <row r="76" spans="15:16">
      <c r="O76" s="483" t="s">
        <v>842</v>
      </c>
      <c r="P76" s="483" t="s">
        <v>843</v>
      </c>
    </row>
    <row r="77" spans="15:16">
      <c r="O77" s="483" t="s">
        <v>228</v>
      </c>
      <c r="P77" s="483" t="s">
        <v>229</v>
      </c>
    </row>
    <row r="78" spans="15:16">
      <c r="O78" s="483" t="s">
        <v>621</v>
      </c>
      <c r="P78" s="483" t="s">
        <v>267</v>
      </c>
    </row>
    <row r="79" spans="15:16">
      <c r="O79" s="483" t="s">
        <v>302</v>
      </c>
      <c r="P79" s="483" t="s">
        <v>303</v>
      </c>
    </row>
    <row r="80" spans="15:16">
      <c r="O80" s="483" t="s">
        <v>335</v>
      </c>
      <c r="P80" s="483" t="s">
        <v>336</v>
      </c>
    </row>
    <row r="82" spans="15:16">
      <c r="O82" s="483" t="s">
        <v>844</v>
      </c>
      <c r="P82" s="483" t="s">
        <v>845</v>
      </c>
    </row>
    <row r="83" spans="15:16">
      <c r="O83" s="483" t="s">
        <v>907</v>
      </c>
      <c r="P83" s="483" t="s">
        <v>908</v>
      </c>
    </row>
    <row r="84" spans="15:16">
      <c r="O84" s="483" t="s">
        <v>846</v>
      </c>
      <c r="P84" s="483" t="s">
        <v>847</v>
      </c>
    </row>
    <row r="85" spans="15:16">
      <c r="O85" s="483" t="s">
        <v>848</v>
      </c>
      <c r="P85" s="483" t="s">
        <v>849</v>
      </c>
    </row>
    <row r="86" spans="15:16">
      <c r="O86" s="483" t="s">
        <v>850</v>
      </c>
      <c r="P86" s="483" t="s">
        <v>851</v>
      </c>
    </row>
    <row r="87" spans="15:16">
      <c r="O87" s="483" t="s">
        <v>852</v>
      </c>
      <c r="P87" s="483" t="s">
        <v>853</v>
      </c>
    </row>
    <row r="88" spans="15:16">
      <c r="O88" s="483" t="s">
        <v>854</v>
      </c>
      <c r="P88" s="483" t="s">
        <v>855</v>
      </c>
    </row>
    <row r="89" spans="15:16">
      <c r="O89" s="483" t="s">
        <v>856</v>
      </c>
      <c r="P89" s="483" t="s">
        <v>857</v>
      </c>
    </row>
    <row r="90" spans="15:16">
      <c r="O90" s="483" t="s">
        <v>909</v>
      </c>
      <c r="P90" s="483" t="s">
        <v>910</v>
      </c>
    </row>
    <row r="91" spans="15:16">
      <c r="O91" s="483" t="s">
        <v>858</v>
      </c>
      <c r="P91" s="483" t="s">
        <v>859</v>
      </c>
    </row>
    <row r="92" spans="15:16">
      <c r="O92" s="483" t="s">
        <v>139</v>
      </c>
      <c r="P92" s="483" t="s">
        <v>140</v>
      </c>
    </row>
    <row r="93" spans="15:16">
      <c r="O93" s="483" t="s">
        <v>183</v>
      </c>
      <c r="P93" s="483" t="s">
        <v>184</v>
      </c>
    </row>
    <row r="94" spans="15:16">
      <c r="O94" s="483" t="s">
        <v>228</v>
      </c>
      <c r="P94" s="483" t="s">
        <v>229</v>
      </c>
    </row>
    <row r="95" spans="15:16">
      <c r="O95" s="483" t="s">
        <v>860</v>
      </c>
      <c r="P95" s="483" t="s">
        <v>861</v>
      </c>
    </row>
    <row r="96" spans="15:16">
      <c r="O96" s="483" t="s">
        <v>266</v>
      </c>
      <c r="P96" s="483" t="s">
        <v>267</v>
      </c>
    </row>
    <row r="97" spans="15:16">
      <c r="O97" s="483" t="s">
        <v>862</v>
      </c>
      <c r="P97" s="483" t="s">
        <v>863</v>
      </c>
    </row>
    <row r="98" spans="15:16">
      <c r="O98" s="483" t="s">
        <v>302</v>
      </c>
      <c r="P98" s="483" t="s">
        <v>303</v>
      </c>
    </row>
    <row r="99" spans="15:16">
      <c r="O99" s="483" t="s">
        <v>335</v>
      </c>
      <c r="P99" s="483" t="s">
        <v>336</v>
      </c>
    </row>
    <row r="101" spans="15:16">
      <c r="O101" s="483" t="s">
        <v>864</v>
      </c>
      <c r="P101" s="483" t="s">
        <v>865</v>
      </c>
    </row>
    <row r="102" spans="15:16">
      <c r="O102" s="483" t="s">
        <v>866</v>
      </c>
      <c r="P102" s="483" t="s">
        <v>867</v>
      </c>
    </row>
    <row r="103" spans="15:16">
      <c r="O103" s="483" t="s">
        <v>868</v>
      </c>
      <c r="P103" s="483" t="s">
        <v>869</v>
      </c>
    </row>
    <row r="105" spans="15:16">
      <c r="O105" s="483" t="s">
        <v>870</v>
      </c>
      <c r="P105" s="483" t="s">
        <v>724</v>
      </c>
    </row>
    <row r="106" spans="15:16">
      <c r="O106" s="483" t="s">
        <v>871</v>
      </c>
      <c r="P106" s="483" t="s">
        <v>872</v>
      </c>
    </row>
    <row r="107" spans="15:16">
      <c r="O107" s="483" t="s">
        <v>873</v>
      </c>
      <c r="P107" s="483" t="s">
        <v>874</v>
      </c>
    </row>
    <row r="108" spans="15:16">
      <c r="O108" s="483" t="s">
        <v>875</v>
      </c>
      <c r="P108" s="483" t="s">
        <v>876</v>
      </c>
    </row>
    <row r="111" spans="15:16">
      <c r="O111" s="483" t="s">
        <v>912</v>
      </c>
      <c r="P111" s="483" t="s">
        <v>911</v>
      </c>
    </row>
    <row r="112" spans="15:16">
      <c r="O112" s="483" t="s">
        <v>226</v>
      </c>
      <c r="P112" s="483" t="s">
        <v>911</v>
      </c>
    </row>
    <row r="115" spans="15:16">
      <c r="O115" s="483" t="s">
        <v>943</v>
      </c>
      <c r="P115" s="483" t="s">
        <v>914</v>
      </c>
    </row>
    <row r="116" spans="15:16">
      <c r="O116" s="483" t="s">
        <v>944</v>
      </c>
      <c r="P116" s="483" t="s">
        <v>913</v>
      </c>
    </row>
    <row r="117" spans="15:16">
      <c r="O117" s="483" t="s">
        <v>805</v>
      </c>
      <c r="P117" s="483" t="s">
        <v>806</v>
      </c>
    </row>
    <row r="121" spans="15:16">
      <c r="O121" s="483" t="s">
        <v>870</v>
      </c>
      <c r="P121" s="483" t="s">
        <v>724</v>
      </c>
    </row>
    <row r="122" spans="15:16">
      <c r="O122" s="483" t="s">
        <v>979</v>
      </c>
      <c r="P122" s="483" t="s">
        <v>980</v>
      </c>
    </row>
    <row r="123" spans="15:16">
      <c r="O123" s="483" t="s">
        <v>873</v>
      </c>
      <c r="P123" s="483" t="s">
        <v>874</v>
      </c>
    </row>
    <row r="124" spans="15:16">
      <c r="O124" s="483" t="s">
        <v>875</v>
      </c>
      <c r="P124" s="483" t="s">
        <v>876</v>
      </c>
    </row>
    <row r="125" spans="15:16">
      <c r="O125" s="483" t="s">
        <v>564</v>
      </c>
      <c r="P125" s="483" t="s">
        <v>565</v>
      </c>
    </row>
    <row r="126" spans="15:16">
      <c r="O126" s="483" t="s">
        <v>977</v>
      </c>
      <c r="P126" s="483" t="s">
        <v>978</v>
      </c>
    </row>
  </sheetData>
  <sheetProtection algorithmName="SHA-512" hashValue="ruRYLy/i87FQMdfu1H85dnVe8dwh4HWtgri2D4erpIC2BHruCmwTvkH8eWbcAiJGST82B96Ak9S66mEK+kzY7A==" saltValue="STfPqDm6gz7YIPOfAjXQlQ==" spinCount="100000" sheet="1" objects="1" scenarios="1" selectLockedCells="1" selectUnlockedCells="1"/>
  <phoneticPr fontId="6" type="noConversion"/>
  <hyperlinks>
    <hyperlink ref="AR1" location="Summary!A1" display="Back to summary" xr:uid="{01D50603-9891-594D-ACF6-3472A9D2145C}"/>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E1AB-9968-7C46-B023-60A7EC5A8032}">
  <sheetPr codeName="Sheet1">
    <tabColor rgb="FFFFFFFF"/>
  </sheetPr>
  <dimension ref="A1:L35"/>
  <sheetViews>
    <sheetView showGridLines="0" tabSelected="1" zoomScaleNormal="100" workbookViewId="0">
      <selection activeCell="D6" sqref="D6"/>
    </sheetView>
  </sheetViews>
  <sheetFormatPr baseColWidth="10" defaultColWidth="10.83203125" defaultRowHeight="22" customHeight="1"/>
  <cols>
    <col min="1" max="2" width="3.33203125" style="8" customWidth="1"/>
    <col min="3" max="3" width="3.6640625" style="8" customWidth="1"/>
    <col min="4" max="4" width="41.1640625" style="8" bestFit="1" customWidth="1"/>
    <col min="5" max="5" width="17.33203125" style="8" customWidth="1"/>
    <col min="6" max="6" width="4.83203125" style="8" bestFit="1" customWidth="1"/>
    <col min="7" max="7" width="2" style="8" customWidth="1"/>
    <col min="8" max="8" width="45.33203125" style="8" customWidth="1"/>
    <col min="9" max="9" width="3.83203125" style="95" customWidth="1"/>
    <col min="10" max="10" width="1.1640625" style="8" customWidth="1"/>
    <col min="11" max="11" width="48" style="8" customWidth="1"/>
    <col min="12" max="12" width="4.83203125" style="8" customWidth="1"/>
    <col min="13" max="16384" width="10.83203125" style="8"/>
  </cols>
  <sheetData>
    <row r="1" spans="1:12" ht="10" customHeight="1" thickBot="1">
      <c r="A1" s="92"/>
      <c r="B1" s="92"/>
      <c r="C1" s="92"/>
      <c r="D1" s="92"/>
      <c r="E1" s="92"/>
      <c r="F1" s="93"/>
      <c r="G1" s="93"/>
      <c r="H1" s="92"/>
      <c r="I1" s="94"/>
      <c r="J1" s="93"/>
    </row>
    <row r="2" spans="1:12" ht="11" customHeight="1">
      <c r="A2" s="92"/>
      <c r="B2" s="526"/>
      <c r="C2" s="527"/>
      <c r="D2" s="527"/>
      <c r="E2" s="527"/>
      <c r="F2" s="527"/>
      <c r="G2" s="527"/>
      <c r="H2" s="527"/>
      <c r="I2" s="528"/>
      <c r="J2" s="527"/>
      <c r="K2" s="527"/>
      <c r="L2" s="529"/>
    </row>
    <row r="3" spans="1:12" ht="22" customHeight="1">
      <c r="A3" s="92"/>
      <c r="B3" s="530"/>
      <c r="C3" s="531"/>
      <c r="D3" s="532"/>
      <c r="E3" s="533"/>
      <c r="F3" s="531"/>
      <c r="G3" s="534"/>
      <c r="H3" s="531"/>
      <c r="I3" s="535"/>
      <c r="J3" s="533"/>
      <c r="K3" s="533"/>
      <c r="L3" s="536"/>
    </row>
    <row r="4" spans="1:12" ht="24" customHeight="1">
      <c r="A4" s="92"/>
      <c r="B4" s="530"/>
      <c r="C4" s="531"/>
      <c r="D4" s="525" t="s">
        <v>877</v>
      </c>
      <c r="E4" s="531"/>
      <c r="F4" s="537"/>
      <c r="G4" s="537"/>
      <c r="H4" s="537"/>
      <c r="I4" s="538"/>
      <c r="J4" s="537"/>
      <c r="K4" s="537"/>
      <c r="L4" s="536"/>
    </row>
    <row r="5" spans="1:12" ht="9" customHeight="1">
      <c r="A5" s="92"/>
      <c r="B5" s="530"/>
      <c r="C5" s="531"/>
      <c r="D5" s="533"/>
      <c r="E5" s="531"/>
      <c r="F5" s="537"/>
      <c r="G5" s="537"/>
      <c r="H5" s="537"/>
      <c r="I5" s="538"/>
      <c r="J5" s="537"/>
      <c r="K5" s="537"/>
      <c r="L5" s="536"/>
    </row>
    <row r="6" spans="1:12" ht="25" customHeight="1">
      <c r="A6" s="92"/>
      <c r="B6" s="530"/>
      <c r="C6" s="531"/>
      <c r="D6" s="525" t="s">
        <v>83</v>
      </c>
      <c r="E6" s="531"/>
      <c r="F6" s="713" t="str">
        <f>IF('Summary | Sumário'!D6=Names!B3,Names!BB1,Names!BC1)</f>
        <v>4Q24 Historical Data</v>
      </c>
      <c r="G6" s="713"/>
      <c r="H6" s="713"/>
      <c r="I6" s="713"/>
      <c r="J6" s="713"/>
      <c r="K6" s="713"/>
      <c r="L6" s="536"/>
    </row>
    <row r="7" spans="1:12" ht="18" customHeight="1">
      <c r="A7" s="92"/>
      <c r="B7" s="530"/>
      <c r="C7" s="531"/>
      <c r="D7" s="531"/>
      <c r="E7" s="539"/>
      <c r="F7" s="713"/>
      <c r="G7" s="713"/>
      <c r="H7" s="713"/>
      <c r="I7" s="713"/>
      <c r="J7" s="713"/>
      <c r="K7" s="713"/>
      <c r="L7" s="540"/>
    </row>
    <row r="8" spans="1:12" ht="47">
      <c r="A8" s="92"/>
      <c r="B8" s="530"/>
      <c r="C8" s="531"/>
      <c r="D8" s="531"/>
      <c r="E8" s="539"/>
      <c r="F8" s="541"/>
      <c r="G8" s="541"/>
      <c r="H8" s="542"/>
      <c r="I8" s="543"/>
      <c r="J8" s="541"/>
      <c r="K8" s="542"/>
      <c r="L8" s="540"/>
    </row>
    <row r="9" spans="1:12" ht="13" customHeight="1">
      <c r="A9" s="92"/>
      <c r="B9" s="530"/>
      <c r="C9" s="531"/>
      <c r="D9" s="531"/>
      <c r="E9" s="539"/>
      <c r="F9" s="544"/>
      <c r="G9" s="544"/>
      <c r="H9" s="539"/>
      <c r="I9" s="545"/>
      <c r="J9" s="544"/>
      <c r="K9" s="539"/>
      <c r="L9" s="546"/>
    </row>
    <row r="10" spans="1:12" ht="22" customHeight="1">
      <c r="A10" s="92"/>
      <c r="B10" s="530"/>
      <c r="C10" s="531"/>
      <c r="D10" s="531"/>
      <c r="E10" s="547"/>
      <c r="F10" s="548" t="s">
        <v>878</v>
      </c>
      <c r="G10" s="533"/>
      <c r="H10" s="531" t="str">
        <f>IF('Summary | Sumário'!D6=Names!B3,Names!I22,Names!J22)</f>
        <v>Highlights</v>
      </c>
      <c r="I10" s="548" t="s">
        <v>878</v>
      </c>
      <c r="J10" s="549"/>
      <c r="K10" s="531" t="str">
        <f>IF('Summary | Sumário'!D6=Names!B3,Names!I13,Names!J13)</f>
        <v>Inter Invest</v>
      </c>
      <c r="L10" s="536"/>
    </row>
    <row r="11" spans="1:12" ht="10" customHeight="1">
      <c r="A11" s="92"/>
      <c r="B11" s="530"/>
      <c r="C11" s="531"/>
      <c r="D11" s="531"/>
      <c r="E11" s="547"/>
      <c r="F11" s="533"/>
      <c r="G11" s="533"/>
      <c r="H11" s="531"/>
      <c r="I11" s="548"/>
      <c r="J11" s="549"/>
      <c r="K11" s="531"/>
      <c r="L11" s="536"/>
    </row>
    <row r="12" spans="1:12" ht="22" customHeight="1">
      <c r="A12" s="92"/>
      <c r="B12" s="530"/>
      <c r="C12" s="531"/>
      <c r="D12" s="531"/>
      <c r="E12" s="547"/>
      <c r="F12" s="548" t="s">
        <v>879</v>
      </c>
      <c r="G12" s="549"/>
      <c r="H12" s="531" t="str">
        <f>IF('Summary | Sumário'!D6=Names!B3,Names!I2,Names!J2)</f>
        <v>Balance Sheet</v>
      </c>
      <c r="I12" s="548" t="s">
        <v>879</v>
      </c>
      <c r="J12" s="549"/>
      <c r="K12" s="531" t="str">
        <f>IF('Summary | Sumário'!D6=Names!B3,Names!I14,Names!J14)</f>
        <v>Inter Seguros</v>
      </c>
      <c r="L12" s="536"/>
    </row>
    <row r="13" spans="1:12" ht="10" customHeight="1">
      <c r="A13" s="92"/>
      <c r="B13" s="530"/>
      <c r="C13" s="531"/>
      <c r="D13" s="531"/>
      <c r="E13" s="547"/>
      <c r="F13" s="548"/>
      <c r="G13" s="549"/>
      <c r="H13" s="531"/>
      <c r="I13" s="548"/>
      <c r="J13" s="549"/>
      <c r="K13" s="531"/>
      <c r="L13" s="536"/>
    </row>
    <row r="14" spans="1:12" ht="22" customHeight="1">
      <c r="A14" s="92"/>
      <c r="B14" s="530"/>
      <c r="C14" s="531"/>
      <c r="D14" s="531"/>
      <c r="E14" s="547"/>
      <c r="F14" s="548" t="s">
        <v>880</v>
      </c>
      <c r="G14" s="549"/>
      <c r="H14" s="531" t="str">
        <f>IF('Summary | Sumário'!D6=Names!B3,Names!I3,Names!J3)</f>
        <v>Income Statement</v>
      </c>
      <c r="I14" s="548" t="s">
        <v>880</v>
      </c>
      <c r="J14" s="549"/>
      <c r="K14" s="531" t="str">
        <f>IF('Summary | Sumário'!D6=Names!B3,Names!I15,Names!J15)</f>
        <v>Inter Shop</v>
      </c>
      <c r="L14" s="536"/>
    </row>
    <row r="15" spans="1:12" ht="10" customHeight="1">
      <c r="A15" s="92"/>
      <c r="B15" s="530"/>
      <c r="C15" s="531"/>
      <c r="D15" s="531"/>
      <c r="E15" s="547"/>
      <c r="F15" s="548"/>
      <c r="G15" s="549"/>
      <c r="H15" s="531"/>
      <c r="I15" s="548"/>
      <c r="J15" s="549"/>
      <c r="K15" s="531"/>
      <c r="L15" s="550"/>
    </row>
    <row r="16" spans="1:12" ht="22" customHeight="1">
      <c r="A16" s="92"/>
      <c r="B16" s="530"/>
      <c r="C16" s="531"/>
      <c r="D16" s="531"/>
      <c r="E16" s="547"/>
      <c r="F16" s="548" t="s">
        <v>881</v>
      </c>
      <c r="G16" s="549"/>
      <c r="H16" s="531" t="str">
        <f>IF('Summary | Sumário'!D6=Names!B3,Names!I4,Names!J4)</f>
        <v xml:space="preserve">Credit </v>
      </c>
      <c r="I16" s="548" t="s">
        <v>881</v>
      </c>
      <c r="J16" s="549"/>
      <c r="K16" s="531" t="str">
        <f>IF('Summary | Sumário'!D6=Names!B3,Names!I16,Names!J16)</f>
        <v>Digital Account</v>
      </c>
      <c r="L16" s="550"/>
    </row>
    <row r="17" spans="1:12" ht="10" customHeight="1">
      <c r="A17" s="92"/>
      <c r="B17" s="530"/>
      <c r="C17" s="531"/>
      <c r="D17" s="531"/>
      <c r="E17" s="547"/>
      <c r="F17" s="548"/>
      <c r="G17" s="549"/>
      <c r="H17" s="531"/>
      <c r="I17" s="548"/>
      <c r="J17" s="549"/>
      <c r="K17" s="531"/>
      <c r="L17" s="550"/>
    </row>
    <row r="18" spans="1:12" ht="22" customHeight="1">
      <c r="A18" s="92"/>
      <c r="B18" s="530"/>
      <c r="C18" s="531"/>
      <c r="D18" s="531"/>
      <c r="E18" s="547"/>
      <c r="F18" s="548" t="s">
        <v>882</v>
      </c>
      <c r="G18" s="549"/>
      <c r="H18" s="531" t="str">
        <f>IF('Summary | Sumário'!D6=Names!B3,Names!I5,Names!J5)</f>
        <v>Funding</v>
      </c>
      <c r="I18" s="548" t="s">
        <v>882</v>
      </c>
      <c r="J18" s="549"/>
      <c r="K18" s="531" t="str">
        <f>IF('Summary | Sumário'!D6=Names!B3,Names!I17,Names!J17)</f>
        <v>Operational KPIs</v>
      </c>
      <c r="L18" s="550"/>
    </row>
    <row r="19" spans="1:12" ht="10" customHeight="1">
      <c r="B19" s="551"/>
      <c r="C19" s="552"/>
      <c r="D19" s="552"/>
      <c r="E19" s="553"/>
      <c r="F19" s="548"/>
      <c r="G19" s="549"/>
      <c r="H19" s="531"/>
      <c r="I19" s="534"/>
      <c r="J19" s="549"/>
      <c r="K19" s="531"/>
      <c r="L19" s="550"/>
    </row>
    <row r="20" spans="1:12" ht="22" customHeight="1">
      <c r="B20" s="551"/>
      <c r="C20" s="554"/>
      <c r="D20" s="554"/>
      <c r="E20" s="555"/>
      <c r="F20" s="548" t="s">
        <v>883</v>
      </c>
      <c r="G20" s="549"/>
      <c r="H20" s="531" t="str">
        <f>IF('Summary | Sumário'!D6=Names!B3,Names!I6,Names!J6)</f>
        <v>Fee Revenue</v>
      </c>
      <c r="I20" s="534"/>
      <c r="J20" s="549"/>
      <c r="K20" s="531"/>
      <c r="L20" s="550"/>
    </row>
    <row r="21" spans="1:12" ht="10" customHeight="1">
      <c r="B21" s="551"/>
      <c r="C21" s="554"/>
      <c r="D21" s="554"/>
      <c r="E21" s="555"/>
      <c r="F21" s="548"/>
      <c r="G21" s="549"/>
      <c r="H21" s="531"/>
      <c r="I21" s="534"/>
      <c r="J21" s="544"/>
      <c r="K21" s="531"/>
      <c r="L21" s="550"/>
    </row>
    <row r="22" spans="1:12" ht="22" customHeight="1">
      <c r="B22" s="551"/>
      <c r="C22" s="552"/>
      <c r="D22" s="552"/>
      <c r="E22" s="553"/>
      <c r="F22" s="548" t="s">
        <v>884</v>
      </c>
      <c r="G22" s="549"/>
      <c r="H22" s="531" t="str">
        <f>IF('Summary | Sumário'!D6=Names!B3,Names!I7,Names!J7)</f>
        <v>Financial KPIs</v>
      </c>
      <c r="I22" s="534"/>
      <c r="J22" s="544"/>
      <c r="K22" s="531"/>
      <c r="L22" s="550"/>
    </row>
    <row r="23" spans="1:12" ht="10" customHeight="1">
      <c r="B23" s="551"/>
      <c r="C23" s="552"/>
      <c r="D23" s="552"/>
      <c r="E23" s="553"/>
      <c r="F23" s="544"/>
      <c r="G23" s="544"/>
      <c r="H23" s="531"/>
      <c r="I23" s="534"/>
      <c r="J23" s="544"/>
      <c r="K23" s="531"/>
      <c r="L23" s="550"/>
    </row>
    <row r="24" spans="1:12" ht="22" customHeight="1">
      <c r="B24" s="551"/>
      <c r="C24" s="531"/>
      <c r="D24" s="531"/>
      <c r="E24" s="556"/>
      <c r="F24" s="544"/>
      <c r="G24" s="544" t="s">
        <v>885</v>
      </c>
      <c r="H24" s="531" t="str">
        <f>IF('Summary | Sumário'!D6=Names!B3,Names!I8,Names!J8)</f>
        <v>Tier I Ratio</v>
      </c>
      <c r="I24" s="548" t="s">
        <v>878</v>
      </c>
      <c r="J24" s="544"/>
      <c r="K24" s="531" t="str">
        <f>IF('Summary | Sumário'!D6=Names!B3,Names!I27,Names!J27)</f>
        <v>Market Data</v>
      </c>
      <c r="L24" s="550"/>
    </row>
    <row r="25" spans="1:12" ht="10" customHeight="1">
      <c r="B25" s="551"/>
      <c r="C25" s="531"/>
      <c r="D25" s="531"/>
      <c r="E25" s="556"/>
      <c r="F25" s="544"/>
      <c r="G25" s="544"/>
      <c r="H25" s="531"/>
      <c r="I25" s="534"/>
      <c r="J25" s="544"/>
      <c r="K25" s="531"/>
      <c r="L25" s="550"/>
    </row>
    <row r="26" spans="1:12" ht="22" customHeight="1">
      <c r="B26" s="551"/>
      <c r="C26" s="531"/>
      <c r="D26" s="531"/>
      <c r="E26" s="556"/>
      <c r="F26" s="544"/>
      <c r="G26" s="544" t="s">
        <v>886</v>
      </c>
      <c r="H26" s="531" t="str">
        <f>IF('Summary | Sumário'!D6=Names!B3,Names!I9,Names!J9)</f>
        <v>NIMs</v>
      </c>
      <c r="I26" s="548" t="s">
        <v>879</v>
      </c>
      <c r="J26" s="544"/>
      <c r="K26" s="531" t="str">
        <f>IF('Summary | Sumário'!D6=Names!B3,Names!I19,Names!J19)</f>
        <v>Financial Statements Simulation</v>
      </c>
      <c r="L26" s="550"/>
    </row>
    <row r="27" spans="1:12" ht="10" customHeight="1">
      <c r="B27" s="551"/>
      <c r="C27" s="531"/>
      <c r="D27" s="531"/>
      <c r="E27" s="556"/>
      <c r="F27" s="544"/>
      <c r="G27" s="544"/>
      <c r="H27" s="531"/>
      <c r="I27" s="534"/>
      <c r="J27" s="544"/>
      <c r="K27" s="531"/>
      <c r="L27" s="550"/>
    </row>
    <row r="28" spans="1:12" ht="22" customHeight="1">
      <c r="B28" s="551"/>
      <c r="C28" s="531"/>
      <c r="D28" s="531"/>
      <c r="E28" s="556"/>
      <c r="F28" s="544"/>
      <c r="G28" s="544" t="s">
        <v>887</v>
      </c>
      <c r="H28" s="531" t="str">
        <f>IF('Summary | Sumário'!D6=Names!B3,Names!I10,Names!J10)</f>
        <v>Efficiency Ratio</v>
      </c>
      <c r="I28" s="548" t="s">
        <v>880</v>
      </c>
      <c r="J28" s="544"/>
      <c r="K28" s="531" t="str">
        <f>IF('Summary | Sumário'!D6=Names!B3,Names!I20,Names!J20)</f>
        <v>Disclaimer</v>
      </c>
      <c r="L28" s="550"/>
    </row>
    <row r="29" spans="1:12" ht="10" customHeight="1">
      <c r="B29" s="551"/>
      <c r="C29" s="531"/>
      <c r="D29" s="531"/>
      <c r="E29" s="556"/>
      <c r="F29" s="544"/>
      <c r="G29" s="544"/>
      <c r="H29" s="531"/>
      <c r="I29" s="534"/>
      <c r="J29" s="544"/>
      <c r="K29" s="531"/>
      <c r="L29" s="550"/>
    </row>
    <row r="30" spans="1:12" ht="22" customHeight="1">
      <c r="B30" s="551"/>
      <c r="C30" s="531"/>
      <c r="D30" s="531"/>
      <c r="E30" s="556"/>
      <c r="F30" s="544"/>
      <c r="G30" s="544" t="s">
        <v>888</v>
      </c>
      <c r="H30" s="531" t="str">
        <f>IF('Summary | Sumário'!D6=Names!B3,Names!I11,Names!J11)</f>
        <v>Cost-to-Serve</v>
      </c>
      <c r="I30" s="548">
        <v>4</v>
      </c>
      <c r="J30" s="544"/>
      <c r="K30" s="531" t="str">
        <f>IF('Summary | Sumário'!D6=Names!B3,Names!I21,Names!J21)</f>
        <v>Glossary</v>
      </c>
      <c r="L30" s="550"/>
    </row>
    <row r="31" spans="1:12" ht="10" customHeight="1">
      <c r="B31" s="551"/>
      <c r="C31" s="531"/>
      <c r="D31" s="531"/>
      <c r="E31" s="556"/>
      <c r="F31" s="544"/>
      <c r="G31" s="544"/>
      <c r="H31" s="531"/>
      <c r="I31" s="534"/>
      <c r="J31" s="544"/>
      <c r="K31" s="557"/>
      <c r="L31" s="550"/>
    </row>
    <row r="32" spans="1:12" ht="22" customHeight="1">
      <c r="B32" s="551"/>
      <c r="C32" s="531"/>
      <c r="D32" s="531"/>
      <c r="E32" s="556"/>
      <c r="F32" s="544"/>
      <c r="G32" s="544" t="s">
        <v>889</v>
      </c>
      <c r="H32" s="531" t="str">
        <f>IF('Summary | Sumário'!D6=Names!B3,Names!I12,Names!J12)</f>
        <v>ARPAC</v>
      </c>
      <c r="I32" s="534"/>
      <c r="J32" s="544"/>
      <c r="K32" s="557"/>
      <c r="L32" s="550"/>
    </row>
    <row r="33" spans="2:12" ht="10" customHeight="1">
      <c r="B33" s="551"/>
      <c r="C33" s="531"/>
      <c r="D33" s="531"/>
      <c r="E33" s="531"/>
      <c r="F33" s="544"/>
      <c r="G33" s="544"/>
      <c r="H33" s="531"/>
      <c r="I33" s="535"/>
      <c r="J33" s="557"/>
      <c r="K33" s="533"/>
      <c r="L33" s="550"/>
    </row>
    <row r="34" spans="2:12" ht="22" customHeight="1">
      <c r="B34" s="551"/>
      <c r="C34" s="533"/>
      <c r="D34" s="533"/>
      <c r="E34" s="533"/>
      <c r="F34" s="544"/>
      <c r="G34" s="544" t="s">
        <v>890</v>
      </c>
      <c r="H34" s="531" t="str">
        <f>IF('Summary | Sumário'!D6=Names!B3,Names!I18,Names!J18)</f>
        <v>Cost of Risk</v>
      </c>
      <c r="I34" s="535"/>
      <c r="J34" s="533"/>
      <c r="K34" s="533"/>
      <c r="L34" s="550"/>
    </row>
    <row r="35" spans="2:12" ht="22" customHeight="1" thickBot="1">
      <c r="B35" s="558"/>
      <c r="C35" s="559"/>
      <c r="D35" s="559"/>
      <c r="E35" s="559"/>
      <c r="F35" s="559"/>
      <c r="G35" s="559"/>
      <c r="H35" s="559"/>
      <c r="I35" s="560"/>
      <c r="J35" s="559"/>
      <c r="K35" s="559"/>
      <c r="L35" s="561"/>
    </row>
  </sheetData>
  <sheetProtection algorithmName="SHA-512" hashValue="0Jr8rCQysPYewaa9as4zDxzastEfPg+b4gLh9VGbymCg7hygWQNCR7QLl5Pe0H9DtocCyiJAoeU/8kL6DrYR+w==" saltValue="NVAzDbrDJ3bnotTcNuiiZg==" spinCount="100000" sheet="1" formatCells="0" formatColumns="0" formatRows="0" insertColumns="0" insertRows="0" insertHyperlinks="0" deleteColumns="0" deleteRows="0" sort="0" autoFilter="0" pivotTables="0"/>
  <mergeCells count="1">
    <mergeCell ref="F6:K7"/>
  </mergeCells>
  <hyperlinks>
    <hyperlink ref="H10" location="'1. Highlights'!A1" display="'1. Highlights'!A1" xr:uid="{8E48E280-F474-E143-B578-3EF91F0D3E2B}"/>
    <hyperlink ref="H12" location="'2. BS | BP'!A1" display="'2. BS | BP'!A1" xr:uid="{883A7A47-B820-B14B-B618-59906C79F422}"/>
    <hyperlink ref="H14" location="'3. IS | DRE'!A1" display="'3. IS | DRE'!A1" xr:uid="{99BD1BA0-1840-9B46-B79B-76C1766D7F5D}"/>
    <hyperlink ref="H16" location="'4. Credit | Crédito'!A1" display="'4. Credit | Crédito'!A1" xr:uid="{C29808B5-5F48-D448-B9BD-567FC9913372}"/>
    <hyperlink ref="H18" location="'5. Funding'!A1" display="'5. Funding'!A1" xr:uid="{B403E988-5EE9-C643-9222-443C2E2475B6}"/>
    <hyperlink ref="H20" location="'6. Fee Revenue | R. de Serviços'!A1" display="'6. Fee Revenue | R. de Serviços'!A1" xr:uid="{DE3C433E-9F7B-5347-BE9C-9AD18E149C71}"/>
    <hyperlink ref="H22" location="'7. Financial KPIs (Financeiros)'!A1" display="'7. Financial KPIs (Financeiros)'!A1" xr:uid="{A8CF38DC-ED88-5D45-A4D2-684A998F1C21}"/>
    <hyperlink ref="H24" location="'7.1. Tier I Ratio | Basileia'!A1" display="'7.1. Tier I Ratio | Basileia'!A1" xr:uid="{921B6869-B461-A841-824D-7EADBA19FDE3}"/>
    <hyperlink ref="H26" location="'7.2. NIMs'!A1" display="'7.2. NIMs'!A1" xr:uid="{9F7F65B2-7EC2-344D-8FED-B9CB604C9459}"/>
    <hyperlink ref="H28" location="'7.3. Efficiency | Eficiência'!A1" display="'7.3. Efficiency | Eficiência'!A1" xr:uid="{5ED1A07E-A398-DA41-83F2-0521A6DA1911}"/>
    <hyperlink ref="H30" location="'7.4. CTS | Custo de servir'!A1" display="'7.4. CTS | Custo de servir'!A1" xr:uid="{1388AE8C-CBF6-5545-987F-9F9C427A8F20}"/>
    <hyperlink ref="H32" location="'7.5. ARPAC'!A1" display="'7.5. ARPAC'!A1" xr:uid="{9436A9C3-F326-8442-A6C1-F3AE099F89EA}"/>
    <hyperlink ref="H34" location="'7.6. Cost of Risk'!A1" display="'7.6. Cost of Risk'!A1" xr:uid="{C60323EE-F308-D140-BCD3-73A866E67917}"/>
    <hyperlink ref="K10" location="'1. Inter Invest'!A1" display="'1. Inter Invest'!A1" xr:uid="{3382F633-162F-E248-A0A9-965CD05207A9}"/>
    <hyperlink ref="K12" location="'2. Inter Seguros'!A1" display="'2. Inter Seguros'!A1" xr:uid="{CDB681BC-324C-FD4C-ADD7-ABE2EAEBC261}"/>
    <hyperlink ref="K14" location="'3. Inter Shop'!A1" display="'3. Inter Shop'!A1" xr:uid="{64350D5A-1D38-8A45-8900-C2CCF435AED4}"/>
    <hyperlink ref="K16" location="'4. Digital Acou. | Conta Dig.'!A1" display="'4. Digital Acou. | Conta Dig.'!A1" xr:uid="{A4B993DC-2068-5F4C-B877-9C6AF563E0F4}"/>
    <hyperlink ref="K18" location="'5. Oper. KPIs | KPIs Oper.'!A1" display="'5. Oper. KPIs | KPIs Oper.'!A1" xr:uid="{52596258-E061-EA44-B02B-7D7457368B89}"/>
    <hyperlink ref="K28" location="'2. Disclaimer'!A1" display="'2. Disclaimer'!A1" xr:uid="{029A650C-647C-9A4B-8AA1-B23C2E9E4EDC}"/>
    <hyperlink ref="K30" location="'3. Glossary | Glossário'!A1" display="'3. Glossary | Glossário'!A1" xr:uid="{BD8514A1-4ECF-114C-972A-2EF33F9B7284}"/>
    <hyperlink ref="K26" location="'1. Simulation | Simulação'!A1" display="'1. Simulation | Simulação'!A1" xr:uid="{D9FC892E-80BD-8E43-A12A-14A8F96C1093}"/>
  </hyperlinks>
  <pageMargins left="0.511811024" right="0.511811024" top="0.78740157499999996" bottom="0.78740157499999996" header="0.31496062000000002" footer="0.31496062000000002"/>
  <pageSetup paperSize="9" orientation="portrait" horizontalDpi="0" verticalDpi="0"/>
  <ignoredErrors>
    <ignoredError sqref="I10:I18 I24:I28 F10:F22" numberStoredAsText="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E1FC904-540E-3A45-9E98-258CEE4A444F}">
          <x14:formula1>
            <xm:f>Names!$B$2:$B$3</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F2FD-FBF4-9C48-B72B-97B3EE321880}">
  <sheetPr>
    <tabColor rgb="FFEB7100"/>
  </sheetPr>
  <dimension ref="A1:X43"/>
  <sheetViews>
    <sheetView showGridLines="0" zoomScaleNormal="100" workbookViewId="0">
      <pane xSplit="2" ySplit="3" topLeftCell="C4" activePane="bottomRight" state="frozen"/>
      <selection pane="topRight" activeCell="C1" sqref="C1"/>
      <selection pane="bottomLeft" activeCell="A4" sqref="A4"/>
      <selection pane="bottomRight"/>
    </sheetView>
  </sheetViews>
  <sheetFormatPr baseColWidth="10" defaultColWidth="10.83203125" defaultRowHeight="13" customHeight="1"/>
  <cols>
    <col min="1" max="1" width="3.33203125" style="182" customWidth="1"/>
    <col min="2" max="2" width="68.33203125" style="15" bestFit="1" customWidth="1"/>
    <col min="3" max="11" width="10.83203125" style="285" customWidth="1"/>
    <col min="12" max="12" width="4.83203125" style="285" customWidth="1"/>
    <col min="13" max="17" width="10.83203125" style="285" customWidth="1"/>
    <col min="18" max="21" width="10.83203125" style="285"/>
    <col min="22" max="16384" width="10.83203125" style="182"/>
  </cols>
  <sheetData>
    <row r="1" spans="1:24" s="273" customFormat="1" ht="13" customHeight="1">
      <c r="B1" s="9"/>
      <c r="C1" s="274"/>
      <c r="D1" s="274"/>
      <c r="E1" s="274"/>
      <c r="F1" s="274"/>
      <c r="G1" s="274"/>
      <c r="H1" s="274"/>
      <c r="I1" s="274"/>
      <c r="J1" s="274"/>
      <c r="K1" s="274"/>
      <c r="L1" s="274"/>
      <c r="M1" s="274"/>
      <c r="N1" s="274"/>
      <c r="O1" s="274"/>
      <c r="P1" s="274"/>
      <c r="Q1" s="274"/>
      <c r="R1" s="274"/>
      <c r="S1" s="274"/>
      <c r="T1" s="274"/>
      <c r="U1" s="274"/>
    </row>
    <row r="2" spans="1:24" s="10" customFormat="1" ht="13" customHeight="1">
      <c r="B2" s="310" t="str">
        <f>IF('Summary | Sumário'!D6=Names!B3,Names!BL1,Names!BM1)</f>
        <v>Highlights of the Quarter | 4Q24</v>
      </c>
      <c r="C2" s="20" t="str">
        <f>IF('Summary | Sumário'!D6=Names!B3,Names!C13,Names!D13)</f>
        <v>4Q22</v>
      </c>
      <c r="D2" s="20" t="str">
        <f>IF('Summary | Sumário'!D6=Names!B3,Names!C14,Names!D14)</f>
        <v>1Q23</v>
      </c>
      <c r="E2" s="20" t="str">
        <f>IF('Summary | Sumário'!D6=Names!B3,Names!C15,Names!D15)</f>
        <v>2Q23</v>
      </c>
      <c r="F2" s="20" t="str">
        <f>IF('Summary | Sumário'!D6=Names!B3,Names!C16,Names!D16)</f>
        <v>3Q23</v>
      </c>
      <c r="G2" s="20" t="str">
        <f>IF('Summary | Sumário'!D6=Names!B3,Names!C17,Names!D17)</f>
        <v>4Q23</v>
      </c>
      <c r="H2" s="20" t="str">
        <f>IF('Summary | Sumário'!D6=Names!B3,Names!C19,Names!D19)</f>
        <v>1Q24</v>
      </c>
      <c r="I2" s="20" t="str">
        <f>IF('Summary | Sumário'!D6=Names!B3,Names!C20,Names!D20)</f>
        <v>2Q24</v>
      </c>
      <c r="J2" s="20" t="str">
        <f>IF('Summary | Sumário'!D6=Names!B3,Names!C21,Names!D21)</f>
        <v>3Q24</v>
      </c>
      <c r="K2" s="312" t="str">
        <f>IF('Summary | Sumário'!D6=Names!B3,Names!C22,Names!D22)</f>
        <v>4Q24</v>
      </c>
      <c r="L2" s="398"/>
      <c r="M2" s="114" t="str">
        <f>IF('Summary | Sumário'!$D$6=Names!$B$3,Names!$I$24,Names!$J$24)</f>
        <v>QoQ Variation</v>
      </c>
      <c r="N2" s="114" t="str">
        <f>IF('Summary | Sumário'!D6=Names!$B$3,Names!$I$25,Names!$J$25)</f>
        <v>YoY Variation</v>
      </c>
      <c r="O2" s="21"/>
      <c r="P2" s="21"/>
      <c r="Q2" s="21"/>
      <c r="R2" s="21"/>
      <c r="S2" s="21"/>
      <c r="T2" s="58"/>
      <c r="U2" s="11"/>
      <c r="W2" s="12"/>
      <c r="X2" s="13"/>
    </row>
    <row r="3" spans="1:24" s="140" customFormat="1" ht="13" customHeight="1">
      <c r="B3" s="19"/>
      <c r="C3" s="135"/>
      <c r="D3" s="135"/>
      <c r="E3" s="136"/>
      <c r="F3" s="136"/>
      <c r="G3" s="136"/>
      <c r="H3" s="136"/>
      <c r="I3" s="136"/>
      <c r="J3" s="136"/>
      <c r="K3" s="136"/>
      <c r="L3" s="136"/>
      <c r="M3" s="135"/>
      <c r="N3" s="135"/>
      <c r="O3" s="136"/>
      <c r="P3" s="136"/>
      <c r="Q3" s="136"/>
      <c r="R3" s="136"/>
      <c r="S3" s="136"/>
      <c r="T3" s="138"/>
      <c r="U3" s="139"/>
      <c r="W3" s="141"/>
      <c r="X3" s="142"/>
    </row>
    <row r="4" spans="1:24" ht="13" customHeight="1">
      <c r="A4" s="269"/>
      <c r="B4" s="313" t="str">
        <f>IF('Summary | Sumário'!D6=Names!B3,Names!BL4,Names!BM4)</f>
        <v>Unit Economics</v>
      </c>
      <c r="C4" s="182"/>
      <c r="D4" s="182"/>
      <c r="E4" s="182"/>
      <c r="F4" s="182"/>
      <c r="G4" s="182"/>
      <c r="H4" s="182"/>
      <c r="I4" s="182"/>
      <c r="J4" s="182"/>
      <c r="K4" s="182"/>
      <c r="L4" s="182"/>
      <c r="M4" s="182"/>
      <c r="N4" s="182"/>
      <c r="P4" s="278"/>
      <c r="Q4" s="278"/>
      <c r="R4" s="278"/>
      <c r="S4" s="278"/>
      <c r="T4" s="278"/>
      <c r="U4" s="278"/>
    </row>
    <row r="5" spans="1:24" ht="13" customHeight="1">
      <c r="A5" s="269"/>
      <c r="B5" s="314" t="str">
        <f>IF('Summary | Sumário'!D6=Names!B3,Names!BL5,Names!BM5)</f>
        <v>Total Clients (mm)</v>
      </c>
      <c r="C5" s="315">
        <f>'5. Oper. KPIs | KPIs Oper.'!L6</f>
        <v>24.662092999999999</v>
      </c>
      <c r="D5" s="315">
        <f>'5. Oper. KPIs | KPIs Oper.'!M6</f>
        <v>26.288263000000001</v>
      </c>
      <c r="E5" s="315">
        <f>'5. Oper. KPIs | KPIs Oper.'!N6</f>
        <v>27.774601000000001</v>
      </c>
      <c r="F5" s="315">
        <f>'5. Oper. KPIs | KPIs Oper.'!O6</f>
        <v>29.374635000000001</v>
      </c>
      <c r="G5" s="315">
        <f>'5. Oper. KPIs | KPIs Oper.'!P6</f>
        <v>30.363865000000001</v>
      </c>
      <c r="H5" s="315">
        <f>'5. Oper. KPIs | KPIs Oper.'!Q6</f>
        <v>31.722895999999999</v>
      </c>
      <c r="I5" s="315">
        <f>'5. Oper. KPIs | KPIs Oper.'!R6</f>
        <v>33.270463999999997</v>
      </c>
      <c r="J5" s="315">
        <f>'5. Oper. KPIs | KPIs Oper.'!S6</f>
        <v>34.922488000000001</v>
      </c>
      <c r="K5" s="315">
        <f>'5. Oper. KPIs | KPIs Oper.'!T6</f>
        <v>36.142020000000002</v>
      </c>
      <c r="L5" s="288"/>
      <c r="M5" s="316">
        <f>K5/J5-1</f>
        <v>3.4921108713674709E-2</v>
      </c>
      <c r="N5" s="316">
        <f>K5/G5-1</f>
        <v>0.19029708503841669</v>
      </c>
      <c r="P5" s="278"/>
      <c r="Q5" s="278"/>
      <c r="R5" s="278"/>
      <c r="S5" s="278"/>
      <c r="T5" s="278"/>
      <c r="U5" s="278"/>
    </row>
    <row r="6" spans="1:24" ht="13" customHeight="1">
      <c r="A6" s="269"/>
      <c r="B6" s="16" t="str">
        <f>IF('Summary | Sumário'!D6=Names!B3,Names!BL6,Names!BM6)</f>
        <v>Active Clients (mm)</v>
      </c>
      <c r="C6" s="288">
        <f>'5. Oper. KPIs | KPIs Oper.'!L7</f>
        <v>12.584403999999999</v>
      </c>
      <c r="D6" s="288">
        <f>'5. Oper. KPIs | KPIs Oper.'!M7</f>
        <v>13.540568</v>
      </c>
      <c r="E6" s="288">
        <f>'5. Oper. KPIs | KPIs Oper.'!N7</f>
        <v>14.494907</v>
      </c>
      <c r="F6" s="288">
        <f>'5. Oper. KPIs | KPIs Oper.'!O7</f>
        <v>15.47322</v>
      </c>
      <c r="G6" s="288">
        <f>'5. Oper. KPIs | KPIs Oper.'!P7</f>
        <v>16.405394000000001</v>
      </c>
      <c r="H6" s="288">
        <f>'5. Oper. KPIs | KPIs Oper.'!Q7</f>
        <v>17.413702000000001</v>
      </c>
      <c r="I6" s="288">
        <f>'5. Oper. KPIs | KPIs Oper.'!R7</f>
        <v>18.401989</v>
      </c>
      <c r="J6" s="288">
        <f>'5. Oper. KPIs | KPIs Oper.'!S7</f>
        <v>19.538504</v>
      </c>
      <c r="K6" s="288">
        <f>'5. Oper. KPIs | KPIs Oper.'!T7</f>
        <v>20.561736</v>
      </c>
      <c r="L6" s="288"/>
      <c r="M6" s="289">
        <f t="shared" ref="M6:M9" si="0">K6/J6-1</f>
        <v>5.2370027920254358E-2</v>
      </c>
      <c r="N6" s="289">
        <f t="shared" ref="N6:N9" si="1">K6/G6-1</f>
        <v>0.25335215966163305</v>
      </c>
      <c r="P6" s="278"/>
      <c r="Q6" s="278"/>
      <c r="R6" s="278"/>
      <c r="S6" s="278"/>
      <c r="T6" s="278"/>
      <c r="U6" s="278"/>
    </row>
    <row r="7" spans="1:24" ht="13" customHeight="1">
      <c r="A7" s="269"/>
      <c r="B7" s="22" t="str">
        <f>IF('Summary | Sumário'!D6=Names!B3,Names!BL7,Names!BM7)</f>
        <v>Gross ARPAC (R$)</v>
      </c>
      <c r="C7" s="286">
        <f>'7.5. ARPAC'!Q16</f>
        <v>46.871338638732432</v>
      </c>
      <c r="D7" s="286">
        <f>'7.5. ARPAC'!R16</f>
        <v>45.928754143736498</v>
      </c>
      <c r="E7" s="286">
        <f>'7.5. ARPAC'!S16</f>
        <v>46.097358198258931</v>
      </c>
      <c r="F7" s="286">
        <f>'7.5. ARPAC'!T16</f>
        <v>47.683229324275089</v>
      </c>
      <c r="G7" s="286">
        <f>'7.5. ARPAC'!U16</f>
        <v>45.943985472726851</v>
      </c>
      <c r="H7" s="286">
        <f>'7.5. ARPAC'!V16</f>
        <v>45.155471724025865</v>
      </c>
      <c r="I7" s="286">
        <f>'7.5. ARPAC'!W16</f>
        <v>44.744988009538986</v>
      </c>
      <c r="J7" s="286">
        <f>'7.5. ARPAC'!X16</f>
        <v>47.164658772595494</v>
      </c>
      <c r="K7" s="286">
        <f>'7.5. ARPAC'!Y16</f>
        <v>49.265193356666899</v>
      </c>
      <c r="L7" s="288"/>
      <c r="M7" s="287">
        <f t="shared" si="0"/>
        <v>4.4536198050305842E-2</v>
      </c>
      <c r="N7" s="287">
        <f t="shared" si="1"/>
        <v>7.2288197242086794E-2</v>
      </c>
      <c r="Q7" s="278"/>
      <c r="R7" s="278"/>
      <c r="S7" s="278"/>
      <c r="T7" s="278"/>
      <c r="U7" s="278"/>
    </row>
    <row r="8" spans="1:24" ht="13" customHeight="1">
      <c r="A8" s="269"/>
      <c r="B8" s="16" t="str">
        <f>IF('Summary | Sumário'!D6=Names!B3,Names!BL8,Names!BM8)</f>
        <v>CTS (R$)</v>
      </c>
      <c r="C8" s="288">
        <f>'7.4. CTS | Custo de servir'!Q14</f>
        <v>17.144369708964526</v>
      </c>
      <c r="D8" s="288">
        <f>'7.4. CTS | Custo de servir'!R14</f>
        <v>13.841844617734584</v>
      </c>
      <c r="E8" s="288">
        <f>'7.4. CTS | Custo de servir'!S14</f>
        <v>12.525885414818189</v>
      </c>
      <c r="F8" s="288">
        <f>'7.4. CTS | Custo de servir'!T14</f>
        <v>12.654836511248545</v>
      </c>
      <c r="G8" s="288">
        <f>'7.4. CTS | Custo de servir'!U14</f>
        <v>12.494674203389399</v>
      </c>
      <c r="H8" s="288">
        <f>'7.4. CTS | Custo de servir'!V14</f>
        <v>11.676346720405142</v>
      </c>
      <c r="I8" s="288">
        <f>'7.4. CTS | Custo de servir'!W14</f>
        <v>11.126182837386365</v>
      </c>
      <c r="J8" s="288">
        <f>'7.4. CTS | Custo de servir'!X14</f>
        <v>12.609271003761952</v>
      </c>
      <c r="K8" s="288">
        <f>'7.4. CTS | Custo de servir'!Y14</f>
        <v>13.008036068612057</v>
      </c>
      <c r="L8" s="288"/>
      <c r="M8" s="289">
        <f t="shared" si="0"/>
        <v>3.1624751718884792E-2</v>
      </c>
      <c r="N8" s="289">
        <f t="shared" si="1"/>
        <v>4.1086454665892669E-2</v>
      </c>
      <c r="Q8" s="278"/>
      <c r="R8" s="278"/>
      <c r="S8" s="278"/>
      <c r="T8" s="278"/>
      <c r="U8" s="278"/>
    </row>
    <row r="9" spans="1:24" ht="13" customHeight="1">
      <c r="A9" s="269"/>
      <c r="B9" s="22" t="str">
        <f>IF('Summary | Sumário'!D6=Names!B3,Names!BL9,Names!BM9)</f>
        <v>CAC (R$)</v>
      </c>
      <c r="C9" s="286">
        <f>'5. Oper. KPIs | KPIs Oper.'!L5</f>
        <v>30.44</v>
      </c>
      <c r="D9" s="286">
        <f>'5. Oper. KPIs | KPIs Oper.'!M5</f>
        <v>29.799999999999997</v>
      </c>
      <c r="E9" s="286">
        <f>'5. Oper. KPIs | KPIs Oper.'!N5</f>
        <v>27.06</v>
      </c>
      <c r="F9" s="286">
        <f>'5. Oper. KPIs | KPIs Oper.'!O5</f>
        <v>25.86</v>
      </c>
      <c r="G9" s="286">
        <f>'5. Oper. KPIs | KPIs Oper.'!P5</f>
        <v>24.645735842009003</v>
      </c>
      <c r="H9" s="286">
        <f>'5. Oper. KPIs | KPIs Oper.'!Q5</f>
        <v>28.91</v>
      </c>
      <c r="I9" s="286">
        <f>'5. Oper. KPIs | KPIs Oper.'!R5</f>
        <v>32.549999999999997</v>
      </c>
      <c r="J9" s="286">
        <f>'5. Oper. KPIs | KPIs Oper.'!S5</f>
        <v>34.35</v>
      </c>
      <c r="K9" s="286">
        <f>'5. Oper. KPIs | KPIs Oper.'!T5</f>
        <v>33.26</v>
      </c>
      <c r="L9" s="288"/>
      <c r="M9" s="316">
        <f t="shared" si="0"/>
        <v>-3.1732168850072906E-2</v>
      </c>
      <c r="N9" s="316">
        <f t="shared" si="1"/>
        <v>0.34952351243284285</v>
      </c>
      <c r="Q9" s="278"/>
      <c r="R9" s="278"/>
      <c r="S9" s="278"/>
      <c r="T9" s="278"/>
      <c r="U9" s="278"/>
    </row>
    <row r="10" spans="1:24" ht="13" customHeight="1">
      <c r="A10" s="269"/>
      <c r="B10" s="16"/>
      <c r="C10" s="278"/>
      <c r="D10" s="278"/>
      <c r="E10" s="278"/>
      <c r="F10" s="278"/>
      <c r="G10" s="278"/>
      <c r="H10" s="278"/>
      <c r="I10" s="278"/>
      <c r="J10" s="278"/>
      <c r="K10" s="278"/>
      <c r="L10" s="278"/>
      <c r="M10" s="290"/>
      <c r="N10" s="290"/>
      <c r="Q10" s="278"/>
      <c r="R10" s="278"/>
      <c r="S10" s="278"/>
      <c r="T10" s="278"/>
      <c r="U10" s="278"/>
    </row>
    <row r="11" spans="1:24" ht="13" customHeight="1">
      <c r="A11" s="269"/>
      <c r="B11" s="317" t="str">
        <f>IF('Summary | Sumário'!$D$6=Names!$B$3,Names!BL11,Names!BM11)</f>
        <v>Income Statement</v>
      </c>
      <c r="C11" s="318"/>
      <c r="D11" s="318"/>
      <c r="E11" s="318"/>
      <c r="F11" s="318"/>
      <c r="G11" s="318"/>
      <c r="H11" s="318"/>
      <c r="I11" s="318"/>
      <c r="J11" s="318"/>
      <c r="K11" s="318"/>
      <c r="M11" s="319"/>
      <c r="N11" s="319"/>
      <c r="Q11" s="278"/>
      <c r="R11" s="278"/>
      <c r="S11" s="278"/>
      <c r="T11" s="278"/>
      <c r="U11" s="278"/>
    </row>
    <row r="12" spans="1:24" ht="13" customHeight="1">
      <c r="A12" s="269"/>
      <c r="B12" s="322" t="str">
        <f>IF('Summary | Sumário'!$D$6=Names!$B$3,Names!BL12,Names!BM12)</f>
        <v>Gross Revenue (R$ mm)</v>
      </c>
      <c r="C12" s="323">
        <f>'7.5. ARPAC'!Q6/1000</f>
        <v>1703.7973919999999</v>
      </c>
      <c r="D12" s="323">
        <f>'7.5. ARPAC'!R6/1000</f>
        <v>1799.831124</v>
      </c>
      <c r="E12" s="323">
        <f>'7.5. ARPAC'!S6/1000</f>
        <v>1938.5419999999999</v>
      </c>
      <c r="F12" s="323">
        <f>'7.5. ARPAC'!T6/1000</f>
        <v>2143.4656082400002</v>
      </c>
      <c r="G12" s="323">
        <f>'7.5. ARPAC'!U6/1000</f>
        <v>2196.9458677600005</v>
      </c>
      <c r="H12" s="323">
        <f>'7.5. ARPAC'!V6/1000</f>
        <v>2290.6758497401747</v>
      </c>
      <c r="I12" s="323">
        <f>'7.5. ARPAC'!W6/1000</f>
        <v>2403.8589965225306</v>
      </c>
      <c r="J12" s="323">
        <f>'7.5. ARPAC'!X6/1000</f>
        <v>2684.1756090135718</v>
      </c>
      <c r="K12" s="323">
        <f>'7.5. ARPAC'!Y6/1000</f>
        <v>2963.3191158731229</v>
      </c>
      <c r="L12" s="278"/>
      <c r="M12" s="324">
        <f>K12/J12-1</f>
        <v>0.1039959926325893</v>
      </c>
      <c r="N12" s="324">
        <f>K12/G12-1</f>
        <v>0.34883574482174851</v>
      </c>
      <c r="Q12" s="278"/>
      <c r="R12" s="278"/>
      <c r="S12" s="278"/>
      <c r="T12" s="278"/>
      <c r="U12" s="278"/>
    </row>
    <row r="13" spans="1:24" ht="13" customHeight="1">
      <c r="A13" s="269"/>
      <c r="B13" s="22" t="str">
        <f>IF('Summary | Sumário'!$D$6=Names!$B$3,Names!BL13,Names!BM13)</f>
        <v>Net Revenues (R$ mm)</v>
      </c>
      <c r="C13" s="245">
        <f>'3. IS | DRE'!Q12/1000</f>
        <v>1001.852392</v>
      </c>
      <c r="D13" s="245">
        <f>'3. IS | DRE'!R12/1000</f>
        <v>1024.1141240000002</v>
      </c>
      <c r="E13" s="245">
        <f>'3. IS | DRE'!S12/1000</f>
        <v>1150.0340000000001</v>
      </c>
      <c r="F13" s="245">
        <f>'3. IS | DRE'!T12/1000</f>
        <v>1265.4956082399999</v>
      </c>
      <c r="G13" s="245">
        <f>'3. IS | DRE'!U12/1000</f>
        <v>1312.93386276</v>
      </c>
      <c r="H13" s="245">
        <f>'3. IS | DRE'!V12/1000</f>
        <v>1400.9401153715321</v>
      </c>
      <c r="I13" s="245">
        <f>'3. IS | DRE'!W12/1000</f>
        <v>1478.5978110425297</v>
      </c>
      <c r="J13" s="245">
        <f>'3. IS | DRE'!X12/1000</f>
        <v>1676.142244553572</v>
      </c>
      <c r="K13" s="245">
        <f>'3. IS | DRE'!Y12/1000</f>
        <v>1844.4850262437662</v>
      </c>
      <c r="L13" s="246"/>
      <c r="M13" s="647">
        <f t="shared" ref="M13:M15" si="2">K13/J13-1</f>
        <v>0.10043466313029481</v>
      </c>
      <c r="N13" s="647">
        <f t="shared" ref="N13:N15" si="3">K13/G13-1</f>
        <v>0.4048575320971306</v>
      </c>
      <c r="Q13" s="278"/>
      <c r="R13" s="278"/>
      <c r="S13" s="278"/>
      <c r="T13" s="278"/>
      <c r="U13" s="278"/>
    </row>
    <row r="14" spans="1:24" ht="13" customHeight="1">
      <c r="A14" s="269"/>
      <c r="B14" s="16" t="str">
        <f>IF('Summary | Sumário'!$D$6=Names!$B$3,Names!BL14,Names!BM14)</f>
        <v>Pre Tax Net Income (R$ mm)</v>
      </c>
      <c r="C14" s="291">
        <f>'3. IS | DRE'!Q23/1000</f>
        <v>-20.306608000000008</v>
      </c>
      <c r="D14" s="291">
        <f>'3. IS | DRE'!R23/1000</f>
        <v>5.8971240000000691</v>
      </c>
      <c r="E14" s="291">
        <f>'3. IS | DRE'!S23/1000</f>
        <v>80.299000000000007</v>
      </c>
      <c r="F14" s="291">
        <f>'3. IS | DRE'!T23/1000</f>
        <v>145.35400000000001</v>
      </c>
      <c r="G14" s="291">
        <f>'3. IS | DRE'!U23/1000</f>
        <v>208.29187599999995</v>
      </c>
      <c r="H14" s="291">
        <f>'3. IS | DRE'!V23/1000</f>
        <v>273.73200000000003</v>
      </c>
      <c r="I14" s="291">
        <f>'3. IS | DRE'!W23/1000</f>
        <v>297.60700000000003</v>
      </c>
      <c r="J14" s="291">
        <f>'3. IS | DRE'!X23/1000</f>
        <v>293.95208107357217</v>
      </c>
      <c r="K14" s="291">
        <f>'3. IS | DRE'!Y23/1000</f>
        <v>340.25850124376643</v>
      </c>
      <c r="L14" s="291"/>
      <c r="M14" s="289">
        <f t="shared" si="2"/>
        <v>0.15753050633652221</v>
      </c>
      <c r="N14" s="289">
        <f t="shared" si="3"/>
        <v>0.63356587773863304</v>
      </c>
      <c r="Q14" s="278"/>
      <c r="R14" s="278"/>
      <c r="S14" s="278"/>
      <c r="T14" s="278"/>
      <c r="U14" s="278"/>
    </row>
    <row r="15" spans="1:24" ht="13" customHeight="1">
      <c r="A15" s="269"/>
      <c r="B15" s="22" t="str">
        <f>IF('Summary | Sumário'!$D$6=Names!$B$3,Names!BL15,Names!BM15)</f>
        <v>Net Income (R$ mm)</v>
      </c>
      <c r="C15" s="245">
        <f>'3. IS | DRE'!Q26/1000</f>
        <v>28.813391999999645</v>
      </c>
      <c r="D15" s="245">
        <f>'3. IS | DRE'!R26/1000</f>
        <v>24.216000000000001</v>
      </c>
      <c r="E15" s="245">
        <f>'3. IS | DRE'!S26/1000</f>
        <v>64.171999999999997</v>
      </c>
      <c r="F15" s="245">
        <f>'3. IS | DRE'!T26/1000</f>
        <v>104.161</v>
      </c>
      <c r="G15" s="245">
        <f>'3. IS | DRE'!U26/1000</f>
        <v>159.71287599999994</v>
      </c>
      <c r="H15" s="245">
        <f>'3. IS | DRE'!V26/1000</f>
        <v>195.22</v>
      </c>
      <c r="I15" s="245">
        <f>'3. IS | DRE'!W26/1000</f>
        <v>222.664266</v>
      </c>
      <c r="J15" s="245">
        <f>'3. IS | DRE'!X26/1000</f>
        <v>260.01008107357217</v>
      </c>
      <c r="K15" s="245">
        <f>'3. IS | DRE'!Y26/1000</f>
        <v>294.94674504652875</v>
      </c>
      <c r="L15" s="246"/>
      <c r="M15" s="646">
        <f t="shared" si="2"/>
        <v>0.13436657466781421</v>
      </c>
      <c r="N15" s="646">
        <f t="shared" si="3"/>
        <v>0.84673116177889662</v>
      </c>
      <c r="Q15" s="246"/>
      <c r="R15" s="246"/>
      <c r="S15" s="246"/>
      <c r="T15" s="246"/>
      <c r="U15" s="246"/>
    </row>
    <row r="16" spans="1:24" ht="13" customHeight="1">
      <c r="A16" s="269"/>
      <c r="B16" s="115"/>
      <c r="C16" s="278"/>
      <c r="D16" s="278"/>
      <c r="E16" s="278"/>
      <c r="F16" s="278"/>
      <c r="G16" s="278"/>
      <c r="H16" s="278"/>
      <c r="I16" s="278"/>
      <c r="J16" s="278"/>
      <c r="K16" s="278"/>
      <c r="L16" s="278"/>
      <c r="M16" s="292"/>
      <c r="N16" s="293"/>
      <c r="Q16" s="282"/>
      <c r="R16" s="282"/>
      <c r="S16" s="282"/>
      <c r="T16" s="282"/>
      <c r="U16" s="258"/>
    </row>
    <row r="17" spans="1:22" ht="13" customHeight="1">
      <c r="A17" s="269"/>
      <c r="B17" s="24" t="str">
        <f>IF('Summary | Sumário'!$D$6=Names!$B$3,Names!BL17,Names!BM17)</f>
        <v>Balance Sheet &amp; Capital</v>
      </c>
      <c r="C17" s="318"/>
      <c r="D17" s="318"/>
      <c r="E17" s="318"/>
      <c r="F17" s="318"/>
      <c r="G17" s="318"/>
      <c r="H17" s="318"/>
      <c r="I17" s="318"/>
      <c r="J17" s="318"/>
      <c r="K17" s="318"/>
      <c r="M17" s="320"/>
      <c r="N17" s="320"/>
      <c r="Q17" s="258"/>
      <c r="R17" s="258"/>
      <c r="S17" s="258"/>
      <c r="T17" s="258"/>
      <c r="U17" s="258"/>
      <c r="V17" s="279"/>
    </row>
    <row r="18" spans="1:22" ht="13" customHeight="1">
      <c r="A18" s="269"/>
      <c r="B18" s="325" t="str">
        <f>IF('Summary | Sumário'!$D$6=Names!$B$3,Names!BL18,Names!BM18)</f>
        <v>Gross Loan Portfolio (R$ bn)</v>
      </c>
      <c r="C18" s="386">
        <f>'4. Credit | Crédito'!Q12/1000000</f>
        <v>24.543993</v>
      </c>
      <c r="D18" s="386">
        <f>'4. Credit | Crédito'!R12/1000000</f>
        <v>25.129297999999999</v>
      </c>
      <c r="E18" s="386">
        <f>'4. Credit | Crédito'!S12/1000000</f>
        <v>26.474360000000001</v>
      </c>
      <c r="F18" s="386">
        <f>'4. Credit | Crédito'!T12/1000000</f>
        <v>28.258742999999999</v>
      </c>
      <c r="G18" s="386">
        <f>'4. Credit | Crédito'!U12/1000000</f>
        <v>31.020837</v>
      </c>
      <c r="H18" s="386">
        <f>'4. Credit | Crédito'!V12/1000000</f>
        <v>32.143623531950205</v>
      </c>
      <c r="I18" s="386">
        <f>'4. Credit | Crédito'!W12/1000000</f>
        <v>35.674371416580001</v>
      </c>
      <c r="J18" s="386">
        <f>'4. Credit | Crédito'!X12/1000000</f>
        <v>38.059886803049999</v>
      </c>
      <c r="K18" s="386">
        <f>'4. Credit | Crédito'!Y12/1000000</f>
        <v>41.182813305160003</v>
      </c>
      <c r="L18" s="288"/>
      <c r="M18" s="324">
        <f>K18/J18-1</f>
        <v>8.2052963485423236E-2</v>
      </c>
      <c r="N18" s="326">
        <f>K18/G18-1</f>
        <v>0.32758549697288974</v>
      </c>
      <c r="Q18" s="258"/>
      <c r="R18" s="258"/>
      <c r="S18" s="258"/>
      <c r="T18" s="258"/>
      <c r="U18" s="258"/>
    </row>
    <row r="19" spans="1:22" ht="13" customHeight="1">
      <c r="A19" s="269"/>
      <c r="B19" s="22" t="str">
        <f>IF('Summary | Sumário'!$D$6=Names!$B$3,Names!BL19,Names!BM19)</f>
        <v>Funding (R$ bn)</v>
      </c>
      <c r="C19" s="286">
        <f>'5. Funding'!Q15/1000000</f>
        <v>32.516818000000001</v>
      </c>
      <c r="D19" s="286">
        <f>'5. Funding'!R15/1000000</f>
        <v>33.532685000000001</v>
      </c>
      <c r="E19" s="286">
        <f>'5. Funding'!S15/1000000</f>
        <v>35.665087040739998</v>
      </c>
      <c r="F19" s="286">
        <f>'5. Funding'!T15/1000000</f>
        <v>39.571626560479999</v>
      </c>
      <c r="G19" s="286">
        <f>'5. Funding'!U15/1000000</f>
        <v>43.513032000000003</v>
      </c>
      <c r="H19" s="286">
        <f>'5. Funding'!V15/1000000</f>
        <v>43.783581005715945</v>
      </c>
      <c r="I19" s="286">
        <f>'5. Funding'!W15/1000000</f>
        <v>47.759601090000004</v>
      </c>
      <c r="J19" s="286">
        <f>'5. Funding'!X15/1000000</f>
        <v>50.267847091739995</v>
      </c>
      <c r="K19" s="286">
        <f>'5. Funding'!Y15/1000000</f>
        <v>55.065296396439997</v>
      </c>
      <c r="L19" s="288"/>
      <c r="M19" s="647">
        <f t="shared" ref="M19:M21" si="4">K19/J19-1</f>
        <v>9.5437731716350394E-2</v>
      </c>
      <c r="N19" s="648">
        <f t="shared" ref="N19:N21" si="5">K19/G19-1</f>
        <v>0.26548975939989639</v>
      </c>
      <c r="Q19" s="246"/>
      <c r="R19" s="246"/>
      <c r="S19" s="246"/>
      <c r="T19" s="246"/>
      <c r="U19" s="246"/>
    </row>
    <row r="20" spans="1:22" ht="13" customHeight="1">
      <c r="A20" s="269"/>
      <c r="B20" s="16" t="str">
        <f>IF('Summary | Sumário'!$D$6=Names!$B$3,Names!BL20,Names!BM20)</f>
        <v>Shareholders` Equity (R$ bn)</v>
      </c>
      <c r="C20" s="288">
        <f>'2. BS | BP'!Q38/1000000</f>
        <v>7.0891039999999998</v>
      </c>
      <c r="D20" s="288">
        <f>'2. BS | BP'!R38/1000000</f>
        <v>7.1399059999999999</v>
      </c>
      <c r="E20" s="288">
        <f>'2. BS | BP'!S38/1000000</f>
        <v>7.3176579999999998</v>
      </c>
      <c r="F20" s="288">
        <f>'2. BS | BP'!T38/1000000</f>
        <v>7.3682270000000001</v>
      </c>
      <c r="G20" s="288">
        <f>'2. BS | BP'!U38/1000000</f>
        <v>7.5966909999999999</v>
      </c>
      <c r="H20" s="288">
        <f>'2. BS | BP'!V38/1000000</f>
        <v>8.5384520009060338</v>
      </c>
      <c r="I20" s="288">
        <f>'2. BS | BP'!W38/1000000</f>
        <v>8.6075355620000007</v>
      </c>
      <c r="J20" s="288">
        <f>'2. BS | BP'!X38/1000000</f>
        <v>8.8673380000000002</v>
      </c>
      <c r="K20" s="288">
        <f>'2. BS | BP'!Y38/1000000</f>
        <v>9.0723070000000003</v>
      </c>
      <c r="L20" s="288"/>
      <c r="M20" s="289">
        <f t="shared" si="4"/>
        <v>2.3115054371447341E-2</v>
      </c>
      <c r="N20" s="294">
        <f t="shared" si="5"/>
        <v>0.19424457306477261</v>
      </c>
      <c r="Q20" s="246"/>
      <c r="R20" s="246"/>
      <c r="S20" s="246"/>
      <c r="T20" s="246"/>
      <c r="U20" s="246"/>
      <c r="V20" s="280"/>
    </row>
    <row r="21" spans="1:22" ht="13" customHeight="1">
      <c r="A21" s="269"/>
      <c r="B21" s="22" t="str">
        <f>IF('Summary | Sumário'!$D$6=Names!$B$3,Names!BL21,Names!BM21)</f>
        <v>Tier 1 Ratio (%)</v>
      </c>
      <c r="C21" s="295">
        <f>'7.1. Tier I Ratio | Basileia'!Q21</f>
        <v>0.24099999999999999</v>
      </c>
      <c r="D21" s="295">
        <f>'7.1. Tier I Ratio | Basileia'!R21</f>
        <v>0.23</v>
      </c>
      <c r="E21" s="295">
        <f>'7.1. Tier I Ratio | Basileia'!S21</f>
        <v>0.22800000000000001</v>
      </c>
      <c r="F21" s="295">
        <f>'7.1. Tier I Ratio | Basileia'!T21</f>
        <v>0.2374</v>
      </c>
      <c r="G21" s="295">
        <f>'7.1. Tier I Ratio | Basileia'!U21</f>
        <v>0.229501027251763</v>
      </c>
      <c r="H21" s="295">
        <f>'7.1. Tier I Ratio | Basileia'!V21</f>
        <v>0.20276529979036845</v>
      </c>
      <c r="I21" s="295">
        <f>'7.1. Tier I Ratio | Basileia'!W21</f>
        <v>0.19289246116070838</v>
      </c>
      <c r="J21" s="295">
        <f>'7.1. Tier I Ratio | Basileia'!X21</f>
        <v>0.17004172684835503</v>
      </c>
      <c r="K21" s="295">
        <f>'7.1. Tier I Ratio | Basileia'!Y21</f>
        <v>0.15185433300000001</v>
      </c>
      <c r="L21" s="301"/>
      <c r="M21" s="646">
        <f t="shared" si="4"/>
        <v>-0.10695841653369431</v>
      </c>
      <c r="N21" s="649">
        <f t="shared" si="5"/>
        <v>-0.33832830807586944</v>
      </c>
      <c r="Q21" s="246"/>
      <c r="R21" s="246"/>
      <c r="S21" s="246"/>
      <c r="T21" s="246"/>
      <c r="U21" s="246"/>
    </row>
    <row r="22" spans="1:22" ht="13" customHeight="1">
      <c r="A22" s="269"/>
      <c r="B22" s="16"/>
      <c r="C22" s="278"/>
      <c r="D22" s="278"/>
      <c r="E22" s="278"/>
      <c r="F22" s="278"/>
      <c r="G22" s="278"/>
      <c r="H22" s="278"/>
      <c r="I22" s="278"/>
      <c r="J22" s="278"/>
      <c r="K22" s="278"/>
      <c r="L22" s="278"/>
      <c r="M22" s="290"/>
      <c r="N22" s="298"/>
      <c r="Q22" s="246"/>
      <c r="R22" s="246"/>
      <c r="S22" s="246"/>
      <c r="T22" s="246"/>
      <c r="U22" s="246"/>
    </row>
    <row r="23" spans="1:22" ht="13" customHeight="1">
      <c r="A23" s="269"/>
      <c r="B23" s="317" t="str">
        <f>IF('Summary | Sumário'!$D$6=Names!$B$3,Names!BL23,Names!BM23)</f>
        <v>Volume KPIs</v>
      </c>
      <c r="C23" s="318"/>
      <c r="D23" s="318"/>
      <c r="E23" s="318"/>
      <c r="F23" s="318"/>
      <c r="G23" s="318"/>
      <c r="H23" s="318"/>
      <c r="I23" s="318"/>
      <c r="J23" s="318"/>
      <c r="K23" s="318"/>
      <c r="M23" s="319"/>
      <c r="N23" s="319"/>
      <c r="Q23" s="246"/>
      <c r="R23" s="246"/>
      <c r="S23" s="246"/>
      <c r="T23" s="246"/>
      <c r="U23" s="246"/>
    </row>
    <row r="24" spans="1:22" ht="13" customHeight="1">
      <c r="A24" s="269"/>
      <c r="B24" s="322" t="str">
        <f>IF('Summary | Sumário'!$D$6=Names!$B$3,Names!BL24,Names!BM24)</f>
        <v>Cards + PIX TPV (R$ bn)</v>
      </c>
      <c r="C24" s="323">
        <f>'4. Digital Acou. | Conta Dig.'!L13/1000</f>
        <v>177.51524952346</v>
      </c>
      <c r="D24" s="323">
        <f>'4. Digital Acou. | Conta Dig.'!M13/1000</f>
        <v>181.36133153205003</v>
      </c>
      <c r="E24" s="323">
        <f>'4. Digital Acou. | Conta Dig.'!N13/1000</f>
        <v>196.99198220933999</v>
      </c>
      <c r="F24" s="323">
        <f>'4. Digital Acou. | Conta Dig.'!O13/1000</f>
        <v>219.41885998934995</v>
      </c>
      <c r="G24" s="323">
        <f>'4. Digital Acou. | Conta Dig.'!P13/1000</f>
        <v>253.47963343943999</v>
      </c>
      <c r="H24" s="323">
        <f>'4. Digital Acou. | Conta Dig.'!Q13/1000</f>
        <v>257.10899231503004</v>
      </c>
      <c r="I24" s="323">
        <f>'4. Digital Acou. | Conta Dig.'!R13/1000</f>
        <v>290.18742066855003</v>
      </c>
      <c r="J24" s="323">
        <f>'4. Digital Acou. | Conta Dig.'!S13/1000</f>
        <v>319.71058588529996</v>
      </c>
      <c r="K24" s="323">
        <f>'4. Digital Acou. | Conta Dig.'!T13/1000</f>
        <v>364.31774689758004</v>
      </c>
      <c r="L24" s="278"/>
      <c r="M24" s="324">
        <f>K24/J24-1</f>
        <v>0.13952356594249093</v>
      </c>
      <c r="N24" s="326">
        <f>K24/G24-1</f>
        <v>0.43726634741493298</v>
      </c>
      <c r="Q24" s="246"/>
      <c r="R24" s="246"/>
      <c r="S24" s="246"/>
      <c r="T24" s="246"/>
      <c r="U24" s="246"/>
    </row>
    <row r="25" spans="1:22" ht="13" customHeight="1">
      <c r="A25" s="269"/>
      <c r="B25" s="22" t="str">
        <f>IF('Summary | Sumário'!$D$6=Names!$B$3,Names!BL25,Names!BM25)</f>
        <v>GMV Inter Shop (R$ mm)</v>
      </c>
      <c r="C25" s="245">
        <f>'3. Inter Shop'!K5</f>
        <v>1003.4261218400001</v>
      </c>
      <c r="D25" s="245">
        <f>'3. Inter Shop'!L5</f>
        <v>829.25831872000003</v>
      </c>
      <c r="E25" s="245">
        <f>'3. Inter Shop'!M5</f>
        <v>755.63938086500002</v>
      </c>
      <c r="F25" s="245">
        <f>'3. Inter Shop'!N5</f>
        <v>869.35878100000002</v>
      </c>
      <c r="G25" s="245">
        <f>'3. Inter Shop'!O5</f>
        <v>1049.8873619999999</v>
      </c>
      <c r="H25" s="245">
        <f>'3. Inter Shop'!P5</f>
        <v>993.72802863999993</v>
      </c>
      <c r="I25" s="245">
        <f>'3. Inter Shop'!Q5</f>
        <v>1136.3548290000001</v>
      </c>
      <c r="J25" s="245">
        <f>'3. Inter Shop'!R5</f>
        <v>1381.38672453</v>
      </c>
      <c r="K25" s="245">
        <f>'3. Inter Shop'!S5</f>
        <v>1468.9165743599999</v>
      </c>
      <c r="L25" s="246"/>
      <c r="M25" s="647">
        <f t="shared" ref="M25:M26" si="6">K25/J25-1</f>
        <v>6.3363754896211821E-2</v>
      </c>
      <c r="N25" s="648">
        <f t="shared" ref="N25:N26" si="7">K25/G25-1</f>
        <v>0.39911825546862811</v>
      </c>
      <c r="Q25" s="246"/>
      <c r="R25" s="246"/>
      <c r="S25" s="246"/>
      <c r="T25" s="246"/>
      <c r="U25" s="246"/>
    </row>
    <row r="26" spans="1:22" ht="13" customHeight="1">
      <c r="A26" s="269"/>
      <c r="B26" s="16" t="str">
        <f>IF('Summary | Sumário'!$D$6=Names!$B$3,Names!BL26,Names!BM26)</f>
        <v>AUC  (R$ bn)</v>
      </c>
      <c r="C26" s="299">
        <f>'1. Inter Invest'!L5/1000</f>
        <v>66.723736438719996</v>
      </c>
      <c r="D26" s="299">
        <f>'1. Inter Invest'!M5/1000</f>
        <v>67.986417997459967</v>
      </c>
      <c r="E26" s="299">
        <f>'1. Inter Invest'!N5/1000</f>
        <v>76.842170568875446</v>
      </c>
      <c r="F26" s="299">
        <f>'1. Inter Invest'!O5/1000</f>
        <v>82.892927662269997</v>
      </c>
      <c r="G26" s="299">
        <f>'1. Inter Invest'!P5/1000</f>
        <v>91.798553433999999</v>
      </c>
      <c r="H26" s="299">
        <f>'1. Inter Invest'!Q5/1000</f>
        <v>94.882291527389754</v>
      </c>
      <c r="I26" s="299">
        <f>'1. Inter Invest'!R5/1000</f>
        <v>105.21894690225135</v>
      </c>
      <c r="J26" s="299">
        <f>'1. Inter Invest'!S5/1000</f>
        <v>122.4895022303232</v>
      </c>
      <c r="K26" s="299">
        <f>'1. Inter Invest'!T5/1000</f>
        <v>141.24089867975749</v>
      </c>
      <c r="L26" s="299"/>
      <c r="M26" s="289">
        <f t="shared" si="6"/>
        <v>0.15308574292493327</v>
      </c>
      <c r="N26" s="294">
        <f t="shared" si="7"/>
        <v>0.53859612593247275</v>
      </c>
      <c r="Q26" s="246"/>
      <c r="R26" s="246"/>
      <c r="S26" s="246"/>
      <c r="T26" s="246"/>
      <c r="U26" s="246"/>
    </row>
    <row r="27" spans="1:22" ht="13" customHeight="1">
      <c r="A27" s="269"/>
      <c r="B27" s="22"/>
      <c r="C27" s="245"/>
      <c r="D27" s="245"/>
      <c r="E27" s="245"/>
      <c r="F27" s="245"/>
      <c r="G27" s="245"/>
      <c r="H27" s="245"/>
      <c r="I27" s="245"/>
      <c r="J27" s="245"/>
      <c r="K27" s="245"/>
      <c r="L27" s="246"/>
      <c r="M27" s="300"/>
      <c r="N27" s="300"/>
      <c r="Q27" s="246"/>
      <c r="R27" s="246"/>
      <c r="S27" s="246"/>
      <c r="T27" s="246"/>
      <c r="U27" s="246"/>
    </row>
    <row r="28" spans="1:22" ht="13" customHeight="1">
      <c r="A28" s="269"/>
      <c r="B28" s="115" t="str">
        <f>IF('Summary | Sumário'!$D$6=Names!$B$3,Names!BL28,Names!BM28)</f>
        <v>Asset Quality</v>
      </c>
      <c r="M28" s="321"/>
      <c r="N28" s="321"/>
      <c r="Q28" s="282"/>
      <c r="R28" s="282"/>
      <c r="S28" s="282"/>
      <c r="T28" s="282"/>
      <c r="U28" s="258"/>
    </row>
    <row r="29" spans="1:22" ht="13" customHeight="1">
      <c r="A29" s="269"/>
      <c r="B29" s="327" t="str">
        <f>IF('Summary | Sumário'!$D$6=Names!$B$3,Names!BL29,Names!BM29)</f>
        <v>NPL &gt; 90 days (%)</v>
      </c>
      <c r="C29" s="328">
        <f>'4. Credit | Crédito'!Q22</f>
        <v>4.07236995153967E-2</v>
      </c>
      <c r="D29" s="328">
        <f>'4. Credit | Crédito'!R22</f>
        <v>4.425561390533074E-2</v>
      </c>
      <c r="E29" s="328">
        <f>'4. Credit | Crédito'!S22</f>
        <v>4.6937273988870744E-2</v>
      </c>
      <c r="F29" s="328">
        <f>'4. Credit | Crédito'!T22</f>
        <v>4.6873218175344886E-2</v>
      </c>
      <c r="G29" s="328">
        <f>'4. Credit | Crédito'!U22</f>
        <v>4.5948866208864708E-2</v>
      </c>
      <c r="H29" s="328">
        <f>'4. Credit | Crédito'!V22</f>
        <v>4.8307930395170035E-2</v>
      </c>
      <c r="I29" s="328">
        <f>'4. Credit | Crédito'!W22</f>
        <v>4.6618172011492563E-2</v>
      </c>
      <c r="J29" s="328">
        <f>'4. Credit | Crédito'!X22</f>
        <v>4.5182000499596732E-2</v>
      </c>
      <c r="K29" s="328">
        <f>'4. Credit | Crédito'!Y22</f>
        <v>4.2179708903771096E-2</v>
      </c>
      <c r="L29" s="301"/>
      <c r="M29" s="329">
        <f>(K29-J29)*100</f>
        <v>-0.30022915958256358</v>
      </c>
      <c r="N29" s="330">
        <f>(K29-G29)*100</f>
        <v>-0.37691573050936122</v>
      </c>
      <c r="Q29" s="258"/>
      <c r="R29" s="258"/>
      <c r="S29" s="258"/>
      <c r="T29" s="258"/>
      <c r="U29" s="258"/>
    </row>
    <row r="30" spans="1:22" ht="13" customHeight="1">
      <c r="A30" s="269"/>
      <c r="B30" s="121" t="str">
        <f>IF('Summary | Sumário'!$D$6=Names!$B$3,Names!BL30,Names!BM30)</f>
        <v>NPL 15-90 days (%)</v>
      </c>
      <c r="C30" s="301">
        <f>'4. Credit | Crédito'!Q34</f>
        <v>4.1430841865461747E-2</v>
      </c>
      <c r="D30" s="301">
        <f>'4. Credit | Crédito'!R34</f>
        <v>4.3458095606172524E-2</v>
      </c>
      <c r="E30" s="301">
        <f>'4. Credit | Crédito'!S34</f>
        <v>4.1964720582480561E-2</v>
      </c>
      <c r="F30" s="301">
        <f>'4. Credit | Crédito'!T34</f>
        <v>4.2636576262433189E-2</v>
      </c>
      <c r="G30" s="301">
        <f>'4. Credit | Crédito'!U34</f>
        <v>4.0071198175600488E-2</v>
      </c>
      <c r="H30" s="301">
        <f>'4. Credit | Crédito'!V34</f>
        <v>4.4087392795071748E-2</v>
      </c>
      <c r="I30" s="301">
        <f>'4. Credit | Crédito'!W34</f>
        <v>3.9289590020879214E-2</v>
      </c>
      <c r="J30" s="301">
        <f>'4. Credit | Crédito'!X34</f>
        <v>3.6008983670181932E-2</v>
      </c>
      <c r="K30" s="301">
        <f>'4. Credit | Crédito'!Y34</f>
        <v>3.4280430547543803E-2</v>
      </c>
      <c r="L30" s="301"/>
      <c r="M30" s="302">
        <f t="shared" ref="M30:M31" si="8">(K30-J30)*100</f>
        <v>-0.17285531226381295</v>
      </c>
      <c r="N30" s="303">
        <f t="shared" ref="N30:N31" si="9">(K30-G30)*100</f>
        <v>-0.57907676280566855</v>
      </c>
      <c r="Q30" s="258"/>
      <c r="R30" s="258"/>
      <c r="S30" s="258"/>
      <c r="T30" s="258"/>
      <c r="U30" s="258"/>
    </row>
    <row r="31" spans="1:22" ht="13" customHeight="1">
      <c r="A31" s="269"/>
      <c r="B31" s="22" t="str">
        <f>IF('Summary | Sumário'!$D$6=Names!$B$3,Names!BL31,Names!BM31)</f>
        <v>Coverage Ratio (%)</v>
      </c>
      <c r="C31" s="295">
        <f>'4. Credit | Crédito'!Q29</f>
        <v>1.3483872650445294</v>
      </c>
      <c r="D31" s="295">
        <f>'4. Credit | Crédito'!R29</f>
        <v>1.3416430321424944</v>
      </c>
      <c r="E31" s="295">
        <f>'4. Credit | Crédito'!S29</f>
        <v>1.3296856642590198</v>
      </c>
      <c r="F31" s="295">
        <f>'4. Credit | Crédito'!T29</f>
        <v>1.3399427494439275</v>
      </c>
      <c r="G31" s="295">
        <f>'4. Credit | Crédito'!U29</f>
        <v>1.343397801947867</v>
      </c>
      <c r="H31" s="295">
        <f>'4. Credit | Crédito'!V29</f>
        <v>1.325796015185797</v>
      </c>
      <c r="I31" s="295">
        <f>'4. Credit | Crédito'!W29</f>
        <v>1.3017531336546826</v>
      </c>
      <c r="J31" s="295">
        <f>'4. Credit | Crédito'!X29</f>
        <v>1.2953231740838689</v>
      </c>
      <c r="K31" s="295">
        <f>'4. Credit | Crédito'!Y29</f>
        <v>1.3625649121395018</v>
      </c>
      <c r="L31" s="301"/>
      <c r="M31" s="296">
        <f t="shared" si="8"/>
        <v>6.7241738055632938</v>
      </c>
      <c r="N31" s="297">
        <f t="shared" si="9"/>
        <v>1.9167110191634862</v>
      </c>
      <c r="Q31" s="278"/>
      <c r="R31" s="278"/>
      <c r="S31" s="278"/>
      <c r="T31" s="278"/>
      <c r="U31" s="278"/>
    </row>
    <row r="32" spans="1:22" ht="13" customHeight="1">
      <c r="A32" s="269"/>
      <c r="B32" s="122"/>
      <c r="C32" s="278"/>
      <c r="D32" s="278"/>
      <c r="E32" s="278"/>
      <c r="F32" s="278"/>
      <c r="G32" s="278"/>
      <c r="H32" s="278"/>
      <c r="I32" s="278"/>
      <c r="J32" s="278"/>
      <c r="K32" s="278"/>
      <c r="L32" s="278"/>
      <c r="M32" s="290"/>
      <c r="N32" s="298"/>
      <c r="Q32" s="246"/>
      <c r="R32" s="246"/>
      <c r="S32" s="246"/>
      <c r="T32" s="246"/>
      <c r="U32" s="246"/>
    </row>
    <row r="33" spans="1:21" ht="13" customHeight="1">
      <c r="A33" s="269"/>
      <c r="B33" s="317" t="str">
        <f>IF('Summary | Sumário'!$D$6=Names!$B$3,Names!BL33,Names!BM33)</f>
        <v>Performance KPIs</v>
      </c>
      <c r="C33" s="318"/>
      <c r="D33" s="318"/>
      <c r="E33" s="318"/>
      <c r="F33" s="318"/>
      <c r="G33" s="318"/>
      <c r="H33" s="318"/>
      <c r="I33" s="318"/>
      <c r="J33" s="318"/>
      <c r="K33" s="318"/>
      <c r="M33" s="319"/>
      <c r="N33" s="319"/>
      <c r="Q33" s="246"/>
      <c r="R33" s="246"/>
      <c r="S33" s="246"/>
      <c r="T33" s="246"/>
      <c r="U33" s="246"/>
    </row>
    <row r="34" spans="1:21" ht="13" customHeight="1">
      <c r="A34" s="269"/>
      <c r="B34" s="322" t="str">
        <f>IF('Summary | Sumário'!$D$6=Names!$B$3,Names!BL35,Names!BM35)</f>
        <v>NIM 2.0 - IEP Only (%)</v>
      </c>
      <c r="C34" s="331">
        <f>'7.2. NIMs'!Q26</f>
        <v>8.4173231101979815E-2</v>
      </c>
      <c r="D34" s="331">
        <f>'7.2. NIMs'!R26</f>
        <v>8.6679432114480065E-2</v>
      </c>
      <c r="E34" s="331">
        <f>'7.2. NIMs'!S26</f>
        <v>9.5275870614249816E-2</v>
      </c>
      <c r="F34" s="331">
        <f>'7.2. NIMs'!T26</f>
        <v>9.1881397604864121E-2</v>
      </c>
      <c r="G34" s="331">
        <f>'7.2. NIMs'!U26</f>
        <v>8.9925280362379637E-2</v>
      </c>
      <c r="H34" s="331">
        <f>'7.2. NIMs'!V26</f>
        <v>9.2313222374359544E-2</v>
      </c>
      <c r="I34" s="331">
        <f>'7.2. NIMs'!W26</f>
        <v>9.230098144964502E-2</v>
      </c>
      <c r="J34" s="331">
        <f>'7.2. NIMs'!X26</f>
        <v>9.5687619743265756E-2</v>
      </c>
      <c r="K34" s="331">
        <f>'7.2. NIMs'!Y26</f>
        <v>9.7219181283157652E-2</v>
      </c>
      <c r="L34" s="278"/>
      <c r="M34" s="324">
        <f t="shared" ref="M34:M38" si="10">(K34-J34)*100</f>
        <v>0.15315615398918958</v>
      </c>
      <c r="N34" s="326">
        <f t="shared" ref="N34:N38" si="11">(K34-G34)*100</f>
        <v>0.72939009207780159</v>
      </c>
      <c r="Q34" s="246"/>
      <c r="R34" s="246"/>
      <c r="S34" s="246"/>
      <c r="T34" s="246"/>
      <c r="U34" s="246"/>
    </row>
    <row r="35" spans="1:21" ht="13" customHeight="1">
      <c r="A35" s="269"/>
      <c r="B35" s="390" t="str">
        <f>IF('Summary | Sumário'!$D$6=Names!$B$3,Names!BL40,Names!BM40)</f>
        <v>Risk-Adjusted NIM 2.0 (%)</v>
      </c>
      <c r="C35" s="394">
        <f>'7.2. NIMs'!Q54</f>
        <v>5.1179893250634573E-2</v>
      </c>
      <c r="D35" s="394">
        <f>'7.2. NIMs'!R54</f>
        <v>4.3960983635991373E-2</v>
      </c>
      <c r="E35" s="394">
        <f>'7.2. NIMs'!S54</f>
        <v>4.7932229443517146E-2</v>
      </c>
      <c r="F35" s="394">
        <f>'7.2. NIMs'!T54</f>
        <v>4.6095550976484587E-2</v>
      </c>
      <c r="G35" s="394">
        <f>'7.2. NIMs'!U54</f>
        <v>5.0455659190485613E-2</v>
      </c>
      <c r="H35" s="394">
        <f>'7.2. NIMs'!V54</f>
        <v>5.3221284006384303E-2</v>
      </c>
      <c r="I35" s="394">
        <f>'7.2. NIMs'!W54</f>
        <v>5.4539736916056812E-2</v>
      </c>
      <c r="J35" s="394">
        <f>'7.2. NIMs'!X54</f>
        <v>5.5935169860102822E-2</v>
      </c>
      <c r="K35" s="394">
        <f>'7.2. NIMs'!Y54</f>
        <v>5.8572649571809632E-2</v>
      </c>
      <c r="L35" s="389"/>
      <c r="M35" s="392">
        <f t="shared" si="10"/>
        <v>0.26374797117068094</v>
      </c>
      <c r="N35" s="393">
        <f t="shared" si="11"/>
        <v>0.81169903813240185</v>
      </c>
      <c r="Q35" s="246"/>
      <c r="R35" s="246"/>
      <c r="S35" s="246"/>
      <c r="T35" s="246"/>
      <c r="U35" s="246"/>
    </row>
    <row r="36" spans="1:21" ht="13" customHeight="1">
      <c r="A36" s="269"/>
      <c r="B36" s="16" t="str">
        <f>IF('Summary | Sumário'!$D$6=Names!$B$3,Names!BL36,Names!BM36)</f>
        <v>All-in Cost of Funding (% of CDI)</v>
      </c>
      <c r="C36" s="253">
        <f>'5. Funding'!Q25</f>
        <v>0.54834646565066081</v>
      </c>
      <c r="D36" s="253">
        <f>'5. Funding'!R25</f>
        <v>0.59697348816995932</v>
      </c>
      <c r="E36" s="253">
        <f>'5. Funding'!S25</f>
        <v>0.5862739307988849</v>
      </c>
      <c r="F36" s="253">
        <f>'5. Funding'!T25</f>
        <v>0.61707902823666128</v>
      </c>
      <c r="G36" s="253">
        <f>'5. Funding'!U25</f>
        <v>0.59171705967014232</v>
      </c>
      <c r="H36" s="253">
        <f>'5. Funding'!V25</f>
        <v>0.61920574215306567</v>
      </c>
      <c r="I36" s="253">
        <f>'5. Funding'!W25</f>
        <v>0.64262556661987569</v>
      </c>
      <c r="J36" s="253">
        <f>'5. Funding'!X25</f>
        <v>0.65381139242560993</v>
      </c>
      <c r="K36" s="253">
        <f>'5. Funding'!Y25</f>
        <v>0.64151962469828561</v>
      </c>
      <c r="L36" s="253"/>
      <c r="M36" s="302">
        <f t="shared" si="10"/>
        <v>-1.2291767727324321</v>
      </c>
      <c r="N36" s="303">
        <f t="shared" si="11"/>
        <v>4.9802565028143286</v>
      </c>
      <c r="Q36" s="246"/>
      <c r="R36" s="246"/>
      <c r="S36" s="246"/>
      <c r="T36" s="246"/>
      <c r="U36" s="246"/>
    </row>
    <row r="37" spans="1:21" ht="13" customHeight="1">
      <c r="A37" s="269"/>
      <c r="B37" s="395" t="str">
        <f>IF('Summary | Sumário'!$D$6=Names!$B$3,Names!BL37,Names!BM37)</f>
        <v>Efficiency Ratio (%)</v>
      </c>
      <c r="C37" s="396">
        <f>'7.3. Efficiency | Eficiência'!Q14</f>
        <v>0.73439393175827561</v>
      </c>
      <c r="D37" s="396">
        <f>'7.3. Efficiency | Eficiência'!R14</f>
        <v>0.62351037661067732</v>
      </c>
      <c r="E37" s="396">
        <f>'7.3. Efficiency | Eficiência'!S14</f>
        <v>0.53383674950420901</v>
      </c>
      <c r="F37" s="396">
        <f>'7.3. Efficiency | Eficiência'!T14</f>
        <v>0.5242586846296321</v>
      </c>
      <c r="G37" s="396">
        <f>'7.3. Efficiency | Eficiência'!U14</f>
        <v>0.51364353479126668</v>
      </c>
      <c r="H37" s="396">
        <f>'7.3. Efficiency | Eficiência'!V14</f>
        <v>0.47740995408553893</v>
      </c>
      <c r="I37" s="396">
        <f>'7.3. Efficiency | Eficiência'!W14</f>
        <v>0.47859484625533177</v>
      </c>
      <c r="J37" s="396">
        <f>'7.3. Efficiency | Eficiência'!X14</f>
        <v>0.50700442145484104</v>
      </c>
      <c r="K37" s="396">
        <f>'7.3. Efficiency | Eficiência'!Y14</f>
        <v>0.50144676598069915</v>
      </c>
      <c r="L37" s="304"/>
      <c r="M37" s="392">
        <f t="shared" si="10"/>
        <v>-0.55576554741418871</v>
      </c>
      <c r="N37" s="393">
        <f t="shared" si="11"/>
        <v>-1.2196768810567526</v>
      </c>
      <c r="Q37" s="282"/>
      <c r="R37" s="282"/>
      <c r="S37" s="282"/>
      <c r="T37" s="282"/>
      <c r="U37" s="258"/>
    </row>
    <row r="38" spans="1:21" ht="13" customHeight="1">
      <c r="A38" s="269"/>
      <c r="B38" s="121" t="str">
        <f>IF('Summary | Sumário'!$D$6=Names!$B$3,Names!BL38,Names!BM38)</f>
        <v>ROE (%)</v>
      </c>
      <c r="C38" s="304">
        <f>'7. Financial KPIs (Financeiros)'!Q14</f>
        <v>1.6199244681769691E-2</v>
      </c>
      <c r="D38" s="304">
        <f>'7. Financial KPIs (Financeiros)'!R14</f>
        <v>1.3615002027547946E-2</v>
      </c>
      <c r="E38" s="304">
        <f>'7. Financial KPIs (Financeiros)'!S14</f>
        <v>3.5509163231094806E-2</v>
      </c>
      <c r="F38" s="304">
        <f>'7. Financial KPIs (Financeiros)'!T14</f>
        <v>5.6740741194691365E-2</v>
      </c>
      <c r="G38" s="304">
        <f>'7. Financial KPIs (Financeiros)'!U14</f>
        <v>8.5379887013079483E-2</v>
      </c>
      <c r="H38" s="304">
        <f>'7. Financial KPIs (Financeiros)'!V14</f>
        <v>9.6792448626721359E-2</v>
      </c>
      <c r="I38" s="304">
        <f>'7. Financial KPIs (Financeiros)'!W14</f>
        <v>0.10389101948573262</v>
      </c>
      <c r="J38" s="304">
        <f>'7. Financial KPIs (Financeiros)'!X14</f>
        <v>0.11903265801658322</v>
      </c>
      <c r="K38" s="304">
        <f>'7. Financial KPIs (Financeiros)'!Y14</f>
        <v>0.13152846449147851</v>
      </c>
      <c r="L38" s="304"/>
      <c r="M38" s="302">
        <f t="shared" si="10"/>
        <v>1.2495806474895288</v>
      </c>
      <c r="N38" s="303">
        <f t="shared" si="11"/>
        <v>4.6148577478399027</v>
      </c>
      <c r="Q38" s="282"/>
      <c r="R38" s="282"/>
      <c r="S38" s="282"/>
      <c r="T38" s="282"/>
      <c r="U38" s="258"/>
    </row>
    <row r="39" spans="1:21" ht="13" customHeight="1">
      <c r="A39" s="269"/>
      <c r="B39" s="18"/>
      <c r="Q39" s="282"/>
      <c r="R39" s="282"/>
      <c r="S39" s="282"/>
      <c r="T39" s="282"/>
      <c r="U39" s="258"/>
    </row>
    <row r="40" spans="1:21" ht="13" customHeight="1">
      <c r="B40" s="18"/>
      <c r="C40" s="283"/>
      <c r="D40" s="283"/>
      <c r="E40" s="283"/>
      <c r="F40" s="283"/>
      <c r="G40" s="283"/>
      <c r="H40" s="283"/>
      <c r="I40" s="283"/>
      <c r="J40" s="283"/>
      <c r="K40" s="283"/>
      <c r="L40" s="283"/>
      <c r="M40" s="283"/>
      <c r="N40" s="283"/>
      <c r="O40" s="283"/>
      <c r="P40" s="283"/>
      <c r="Q40" s="283"/>
      <c r="R40" s="283"/>
      <c r="S40" s="283"/>
      <c r="T40" s="283"/>
      <c r="U40" s="283"/>
    </row>
    <row r="41" spans="1:21" ht="13" customHeight="1">
      <c r="B41" s="18"/>
      <c r="C41" s="283"/>
      <c r="D41" s="283"/>
      <c r="E41" s="283"/>
      <c r="F41" s="283"/>
      <c r="G41" s="283"/>
      <c r="H41" s="283"/>
      <c r="I41" s="283"/>
      <c r="J41" s="283"/>
      <c r="K41" s="283"/>
      <c r="L41" s="283"/>
      <c r="M41" s="283"/>
      <c r="N41" s="283"/>
      <c r="O41" s="283"/>
      <c r="P41" s="283"/>
      <c r="Q41" s="283"/>
      <c r="R41" s="283"/>
      <c r="S41" s="283"/>
      <c r="T41" s="283"/>
      <c r="U41" s="283"/>
    </row>
    <row r="43" spans="1:21" ht="13" customHeight="1">
      <c r="D43" s="284"/>
    </row>
  </sheetData>
  <sheetProtection algorithmName="SHA-512" hashValue="p7eanzWVHmvEHDoOyyzov+wcD5As+ZLsYKKD8KW4V6hrPVHyMLpMBmjTtYIo/C6byXgkN+DtFYR3kR21y33RLQ==" saltValue="qYSnDLkXXrxxMrUOUEygC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3347-86B6-1F4F-BD4E-8994EF4F3A57}">
  <sheetPr codeName="Sheet3">
    <tabColor rgb="FFEB7100"/>
  </sheetPr>
  <dimension ref="A1:AF47"/>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82" customWidth="1"/>
    <col min="2" max="2" width="68.33203125" style="15" bestFit="1" customWidth="1"/>
    <col min="3" max="8" width="10.83203125" style="285" customWidth="1"/>
    <col min="9" max="9" width="2.83203125" style="285" customWidth="1"/>
    <col min="10" max="25" width="10.83203125" style="285" customWidth="1"/>
    <col min="26" max="26" width="4.83203125" style="285" customWidth="1"/>
    <col min="27" max="29" width="10.83203125" style="285" customWidth="1"/>
    <col min="30" max="30" width="10.83203125" style="182"/>
    <col min="31" max="32" width="10.83203125" style="182" customWidth="1"/>
    <col min="33" max="16384" width="10.83203125" style="182"/>
  </cols>
  <sheetData>
    <row r="1" spans="1:32" s="273" customFormat="1" ht="13" customHeight="1">
      <c r="B1" s="9"/>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row>
    <row r="2" spans="1:32" s="10" customFormat="1" ht="13" customHeight="1">
      <c r="B2" s="310" t="str">
        <f>IF('Summary | Sumário'!D6=Names!B3,Names!K1,Names!L1)</f>
        <v>Balance Sheet (IFRS, R$ Thousands)</v>
      </c>
      <c r="C2" s="131">
        <f>IF('Summary | Sumário'!D6=Names!B3,Names!C2,Names!D2)</f>
        <v>2019</v>
      </c>
      <c r="D2" s="131">
        <f>IF('Summary | Sumário'!D6=Names!B3,Names!C3,Names!D3)</f>
        <v>2020</v>
      </c>
      <c r="E2" s="131">
        <f>IF('Summary | Sumário'!D6=Names!B3,Names!C4,Names!D4)</f>
        <v>2021</v>
      </c>
      <c r="F2" s="131">
        <f>IF('Summary | Sumário'!D6=Names!B3,Names!C5,Names!D5)</f>
        <v>2022</v>
      </c>
      <c r="G2" s="131">
        <f>IF('Summary | Sumário'!D6=Names!B3,Names!C18,Names!D18)</f>
        <v>2023</v>
      </c>
      <c r="H2" s="388">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2"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1:32" s="273" customFormat="1" ht="13" customHeight="1">
      <c r="B3" s="14"/>
      <c r="C3" s="144"/>
      <c r="D3" s="144"/>
      <c r="E3" s="144"/>
      <c r="F3" s="144"/>
      <c r="G3" s="144"/>
      <c r="H3" s="145"/>
      <c r="I3" s="145"/>
      <c r="J3" s="145"/>
      <c r="K3" s="145"/>
      <c r="L3" s="145"/>
      <c r="M3" s="145"/>
      <c r="N3" s="145"/>
      <c r="O3" s="145"/>
      <c r="P3" s="145"/>
      <c r="Q3" s="145"/>
      <c r="R3" s="145"/>
      <c r="S3" s="145"/>
      <c r="T3" s="145"/>
      <c r="U3" s="145"/>
      <c r="V3" s="145"/>
      <c r="W3" s="145"/>
      <c r="X3" s="145"/>
      <c r="Y3" s="145"/>
      <c r="Z3" s="145"/>
      <c r="AA3" s="135"/>
      <c r="AB3" s="135"/>
      <c r="AC3" s="145"/>
    </row>
    <row r="4" spans="1:32" ht="13" customHeight="1">
      <c r="A4" s="269"/>
      <c r="B4" s="9" t="str">
        <f>IF('Summary | Sumário'!D6=Names!B3,Names!K2,Names!L2)</f>
        <v>Assets</v>
      </c>
      <c r="C4" s="275"/>
      <c r="D4" s="275"/>
      <c r="E4" s="275"/>
      <c r="F4" s="275"/>
      <c r="G4" s="275"/>
      <c r="H4" s="276"/>
      <c r="I4" s="276"/>
      <c r="J4" s="275"/>
      <c r="K4" s="275"/>
      <c r="L4" s="275"/>
      <c r="M4" s="275"/>
      <c r="N4" s="275"/>
      <c r="O4" s="275"/>
      <c r="P4" s="276"/>
      <c r="Q4" s="276"/>
      <c r="R4" s="276"/>
      <c r="S4" s="276"/>
      <c r="T4" s="276"/>
      <c r="U4" s="276"/>
      <c r="V4" s="276"/>
      <c r="W4" s="276"/>
      <c r="X4" s="276"/>
      <c r="Y4" s="276"/>
      <c r="Z4" s="276"/>
      <c r="AA4" s="182"/>
      <c r="AB4" s="182"/>
      <c r="AC4" s="276"/>
    </row>
    <row r="5" spans="1:32" ht="13" customHeight="1">
      <c r="A5" s="269"/>
      <c r="B5" s="22" t="str">
        <f>IF('Summary | Sumário'!D6=Names!B3,Names!K3,Names!L3)</f>
        <v>Cash and cash equivalents</v>
      </c>
      <c r="C5" s="277">
        <v>3114789</v>
      </c>
      <c r="D5" s="277">
        <v>2154687</v>
      </c>
      <c r="E5" s="277">
        <f>M5</f>
        <v>500446</v>
      </c>
      <c r="F5" s="277">
        <f>Q5</f>
        <v>1331648</v>
      </c>
      <c r="G5" s="277">
        <f>U5</f>
        <v>4259379</v>
      </c>
      <c r="H5" s="277">
        <f>Y5</f>
        <v>1108393.9463064999</v>
      </c>
      <c r="I5" s="278"/>
      <c r="J5" s="277">
        <v>906123</v>
      </c>
      <c r="K5" s="277">
        <v>5731007.0010000002</v>
      </c>
      <c r="L5" s="277">
        <v>451774.29800000001</v>
      </c>
      <c r="M5" s="277">
        <v>500446</v>
      </c>
      <c r="N5" s="277">
        <v>1171654</v>
      </c>
      <c r="O5" s="277">
        <v>1549158</v>
      </c>
      <c r="P5" s="277">
        <v>838310</v>
      </c>
      <c r="Q5" s="277">
        <v>1331648</v>
      </c>
      <c r="R5" s="277">
        <v>1791707</v>
      </c>
      <c r="S5" s="277">
        <v>3672219</v>
      </c>
      <c r="T5" s="277">
        <v>4297077.8057988677</v>
      </c>
      <c r="U5" s="277">
        <v>4259379</v>
      </c>
      <c r="V5" s="277">
        <v>2830309.989293688</v>
      </c>
      <c r="W5" s="277">
        <v>2797339.324</v>
      </c>
      <c r="X5" s="277">
        <v>2273564.7124805599</v>
      </c>
      <c r="Y5" s="277">
        <v>1108393.9463064999</v>
      </c>
      <c r="Z5" s="278"/>
      <c r="AA5" s="295">
        <f>Y5/X5-1</f>
        <v>-0.51248629950049107</v>
      </c>
      <c r="AB5" s="295">
        <f>Y5/U5-1</f>
        <v>-0.73977569352093342</v>
      </c>
      <c r="AC5" s="278"/>
    </row>
    <row r="6" spans="1:32" ht="13" customHeight="1">
      <c r="A6" s="269"/>
      <c r="B6" s="16" t="str">
        <f>IF('Summary | Sumário'!D6=Names!B3,Names!K4,Names!L4)</f>
        <v>Amounts due from financial institutions</v>
      </c>
      <c r="C6" s="278">
        <v>256097</v>
      </c>
      <c r="D6" s="278">
        <v>502369</v>
      </c>
      <c r="E6" s="278">
        <f t="shared" ref="E6:E17" si="0">M6</f>
        <v>2051862</v>
      </c>
      <c r="F6" s="278">
        <f t="shared" ref="F6:F17" si="1">Q6</f>
        <v>4258856</v>
      </c>
      <c r="G6" s="278">
        <f t="shared" ref="G6:G17" si="2">U6</f>
        <v>3718505.7949100002</v>
      </c>
      <c r="H6" s="278">
        <f t="shared" ref="H6:H17" si="3">Y6</f>
        <v>6194960.1520200009</v>
      </c>
      <c r="I6" s="278"/>
      <c r="J6" s="278">
        <v>578499</v>
      </c>
      <c r="K6" s="278">
        <v>646905</v>
      </c>
      <c r="L6" s="278">
        <v>1408183</v>
      </c>
      <c r="M6" s="278">
        <v>2051862</v>
      </c>
      <c r="N6" s="278">
        <v>1807258</v>
      </c>
      <c r="O6" s="278">
        <v>1825289</v>
      </c>
      <c r="P6" s="278">
        <v>3417500</v>
      </c>
      <c r="Q6" s="278">
        <v>4258856</v>
      </c>
      <c r="R6" s="278">
        <v>3770074</v>
      </c>
      <c r="S6" s="278">
        <v>2556811</v>
      </c>
      <c r="T6" s="278">
        <v>3474243.8523399998</v>
      </c>
      <c r="U6" s="278">
        <v>3718505.7949100002</v>
      </c>
      <c r="V6" s="278">
        <v>4051287.3041199995</v>
      </c>
      <c r="W6" s="278">
        <v>5280321.6449999996</v>
      </c>
      <c r="X6" s="278">
        <v>5225481.9997899998</v>
      </c>
      <c r="Y6" s="278">
        <v>6194960.1520200009</v>
      </c>
      <c r="Z6" s="278"/>
      <c r="AA6" s="301">
        <f t="shared" ref="AA6:AA17" si="4">Y6/X6-1</f>
        <v>0.18552894302744938</v>
      </c>
      <c r="AB6" s="301">
        <f t="shared" ref="AB6:AB17" si="5">Y6/U6-1</f>
        <v>0.66598104015323689</v>
      </c>
      <c r="AC6" s="278"/>
    </row>
    <row r="7" spans="1:32" ht="13" customHeight="1">
      <c r="A7" s="269"/>
      <c r="B7" s="22" t="str">
        <f>IF('Summary | Sumário'!D6=Names!B3,Names!K5,Names!L5)</f>
        <v>Compulsory deposits at Central Bank of Brazil</v>
      </c>
      <c r="C7" s="277">
        <v>392280</v>
      </c>
      <c r="D7" s="277">
        <v>1709729</v>
      </c>
      <c r="E7" s="277">
        <f t="shared" si="0"/>
        <v>2399488</v>
      </c>
      <c r="F7" s="277">
        <f t="shared" si="1"/>
        <v>2854778</v>
      </c>
      <c r="G7" s="277">
        <f t="shared" si="2"/>
        <v>2664415</v>
      </c>
      <c r="H7" s="277">
        <f t="shared" si="3"/>
        <v>5285401.7280000001</v>
      </c>
      <c r="I7" s="278"/>
      <c r="J7" s="277">
        <v>1644359</v>
      </c>
      <c r="K7" s="277">
        <v>1593298</v>
      </c>
      <c r="L7" s="277">
        <v>2331697</v>
      </c>
      <c r="M7" s="277">
        <v>2399488</v>
      </c>
      <c r="N7" s="277">
        <v>2361774</v>
      </c>
      <c r="O7" s="277">
        <v>2580989</v>
      </c>
      <c r="P7" s="277">
        <v>2686243</v>
      </c>
      <c r="Q7" s="277">
        <v>2854778</v>
      </c>
      <c r="R7" s="277">
        <v>2993616</v>
      </c>
      <c r="S7" s="277">
        <v>1703869</v>
      </c>
      <c r="T7" s="277">
        <v>2190872.3033499997</v>
      </c>
      <c r="U7" s="277">
        <v>2664415</v>
      </c>
      <c r="V7" s="277">
        <v>2925658.3690599999</v>
      </c>
      <c r="W7" s="277">
        <v>3725774.7710000002</v>
      </c>
      <c r="X7" s="277">
        <v>4185155.9511100003</v>
      </c>
      <c r="Y7" s="277">
        <v>5285401.7280000001</v>
      </c>
      <c r="Z7" s="278"/>
      <c r="AA7" s="295">
        <f t="shared" si="4"/>
        <v>0.26289242019719472</v>
      </c>
      <c r="AB7" s="295">
        <f t="shared" si="5"/>
        <v>0.9837006352238673</v>
      </c>
      <c r="AC7" s="278"/>
    </row>
    <row r="8" spans="1:32" ht="13" customHeight="1">
      <c r="A8" s="269"/>
      <c r="B8" s="16" t="str">
        <f>IF('Summary | Sumário'!D6=Names!B3,Names!K6,Names!L6)</f>
        <v>Securities</v>
      </c>
      <c r="C8" s="278">
        <v>1155094</v>
      </c>
      <c r="D8" s="278">
        <v>5812622</v>
      </c>
      <c r="E8" s="278">
        <f t="shared" si="0"/>
        <v>12757687</v>
      </c>
      <c r="F8" s="278">
        <f t="shared" si="1"/>
        <v>12448565</v>
      </c>
      <c r="G8" s="278">
        <f t="shared" si="2"/>
        <v>16868112</v>
      </c>
      <c r="H8" s="278">
        <f t="shared" si="3"/>
        <v>23899551.020405103</v>
      </c>
      <c r="I8" s="278"/>
      <c r="J8" s="278">
        <v>6619726</v>
      </c>
      <c r="K8" s="278">
        <v>8230481</v>
      </c>
      <c r="L8" s="278">
        <v>13241180</v>
      </c>
      <c r="M8" s="278">
        <v>12757687</v>
      </c>
      <c r="N8" s="278">
        <v>12335401</v>
      </c>
      <c r="O8" s="278">
        <v>12710051</v>
      </c>
      <c r="P8" s="278">
        <v>13373465</v>
      </c>
      <c r="Q8" s="278">
        <v>12448565</v>
      </c>
      <c r="R8" s="278">
        <v>12535351</v>
      </c>
      <c r="S8" s="278">
        <v>14169684</v>
      </c>
      <c r="T8" s="278">
        <v>14908297</v>
      </c>
      <c r="U8" s="278">
        <v>16868112</v>
      </c>
      <c r="V8" s="278">
        <v>18167251</v>
      </c>
      <c r="W8" s="278">
        <v>18276425.519000001</v>
      </c>
      <c r="X8" s="278">
        <v>20586354.700983003</v>
      </c>
      <c r="Y8" s="278">
        <v>23899551.020405103</v>
      </c>
      <c r="Z8" s="278"/>
      <c r="AA8" s="301">
        <f t="shared" si="4"/>
        <v>0.16094137925564334</v>
      </c>
      <c r="AB8" s="301">
        <f t="shared" si="5"/>
        <v>0.41684801597268883</v>
      </c>
      <c r="AC8" s="278"/>
    </row>
    <row r="9" spans="1:32" ht="13" customHeight="1">
      <c r="A9" s="269"/>
      <c r="B9" s="22" t="str">
        <f>IF('Summary | Sumário'!D6=Names!B3,Names!K7,Names!L7)</f>
        <v>Derivative financial assets</v>
      </c>
      <c r="C9" s="277">
        <v>0</v>
      </c>
      <c r="D9" s="277">
        <v>27513</v>
      </c>
      <c r="E9" s="277">
        <f t="shared" si="0"/>
        <v>86948</v>
      </c>
      <c r="F9" s="277">
        <f t="shared" si="1"/>
        <v>0</v>
      </c>
      <c r="G9" s="277">
        <f t="shared" si="2"/>
        <v>4238</v>
      </c>
      <c r="H9" s="277">
        <f t="shared" si="3"/>
        <v>562.80100000000004</v>
      </c>
      <c r="I9" s="278"/>
      <c r="J9" s="277">
        <v>18603</v>
      </c>
      <c r="K9" s="277">
        <v>11684</v>
      </c>
      <c r="L9" s="277">
        <v>7643</v>
      </c>
      <c r="M9" s="277">
        <v>86948</v>
      </c>
      <c r="N9" s="277">
        <v>10410</v>
      </c>
      <c r="O9" s="277">
        <v>3212</v>
      </c>
      <c r="P9" s="277">
        <v>581</v>
      </c>
      <c r="Q9" s="277">
        <v>0</v>
      </c>
      <c r="R9" s="277">
        <v>1122</v>
      </c>
      <c r="S9" s="277">
        <v>3625</v>
      </c>
      <c r="T9" s="277">
        <v>9388.5369900000005</v>
      </c>
      <c r="U9" s="277">
        <v>4238</v>
      </c>
      <c r="V9" s="277">
        <v>7392.1129600000004</v>
      </c>
      <c r="W9" s="277">
        <v>7177.4260000000004</v>
      </c>
      <c r="X9" s="277">
        <v>18488.90812</v>
      </c>
      <c r="Y9" s="277">
        <v>562.80100000000004</v>
      </c>
      <c r="Z9" s="278"/>
      <c r="AA9" s="295">
        <f t="shared" si="4"/>
        <v>-0.96956007372922137</v>
      </c>
      <c r="AB9" s="295">
        <f t="shared" si="5"/>
        <v>-0.86720127418593673</v>
      </c>
      <c r="AC9" s="278"/>
    </row>
    <row r="10" spans="1:32" ht="13" customHeight="1">
      <c r="A10" s="269"/>
      <c r="B10" s="16" t="str">
        <f>IF('Summary | Sumário'!D$6=Names!B$3,Names!K8,Names!L8)</f>
        <v>Net loans and advances to customers</v>
      </c>
      <c r="C10" s="278">
        <v>4561824</v>
      </c>
      <c r="D10" s="278">
        <v>8507703</v>
      </c>
      <c r="E10" s="278">
        <f t="shared" si="0"/>
        <v>16535430</v>
      </c>
      <c r="F10" s="278">
        <f t="shared" si="1"/>
        <v>21379916</v>
      </c>
      <c r="G10" s="278">
        <f t="shared" si="2"/>
        <v>27900543</v>
      </c>
      <c r="H10" s="278">
        <f t="shared" si="3"/>
        <v>33327355.1973699</v>
      </c>
      <c r="I10" s="278"/>
      <c r="J10" s="278">
        <v>9908120</v>
      </c>
      <c r="K10" s="278">
        <v>12040483</v>
      </c>
      <c r="L10" s="278">
        <v>14301537</v>
      </c>
      <c r="M10" s="278">
        <v>16535430</v>
      </c>
      <c r="N10" s="278">
        <v>17374632</v>
      </c>
      <c r="O10" s="278">
        <v>18510189</v>
      </c>
      <c r="P10" s="278">
        <v>19820903</v>
      </c>
      <c r="Q10" s="278">
        <v>21379916</v>
      </c>
      <c r="R10" s="278">
        <v>22371167</v>
      </c>
      <c r="S10" s="278">
        <v>23523982</v>
      </c>
      <c r="T10" s="278">
        <v>25296620</v>
      </c>
      <c r="U10" s="278">
        <v>27900543</v>
      </c>
      <c r="V10" s="278">
        <v>28826998.881090201</v>
      </c>
      <c r="W10" s="278">
        <v>30806640.206</v>
      </c>
      <c r="X10" s="278">
        <v>31478421.7243573</v>
      </c>
      <c r="Y10" s="278">
        <v>33327355.1973699</v>
      </c>
      <c r="Z10" s="278"/>
      <c r="AA10" s="301">
        <f t="shared" si="4"/>
        <v>5.873653670450496E-2</v>
      </c>
      <c r="AB10" s="301">
        <f t="shared" si="5"/>
        <v>0.19450561221585905</v>
      </c>
      <c r="AC10" s="278"/>
    </row>
    <row r="11" spans="1:32" ht="13" customHeight="1">
      <c r="A11" s="269"/>
      <c r="B11" s="22" t="str">
        <f>IF('Summary | Sumário'!D$6=Names!B$3,Names!K9,Names!L9)</f>
        <v>Non-current assets held for sale</v>
      </c>
      <c r="C11" s="277">
        <v>121632</v>
      </c>
      <c r="D11" s="277">
        <v>119929</v>
      </c>
      <c r="E11" s="277">
        <f t="shared" si="0"/>
        <v>129793</v>
      </c>
      <c r="F11" s="277">
        <f t="shared" si="1"/>
        <v>166943</v>
      </c>
      <c r="G11" s="277">
        <f t="shared" si="2"/>
        <v>174355</v>
      </c>
      <c r="H11" s="277">
        <f t="shared" si="3"/>
        <v>234611.397</v>
      </c>
      <c r="I11" s="278"/>
      <c r="J11" s="277">
        <v>114385</v>
      </c>
      <c r="K11" s="277">
        <v>136305</v>
      </c>
      <c r="L11" s="277">
        <v>134931</v>
      </c>
      <c r="M11" s="277">
        <v>129793</v>
      </c>
      <c r="N11" s="277">
        <v>136641</v>
      </c>
      <c r="O11" s="277">
        <v>161254</v>
      </c>
      <c r="P11" s="277">
        <v>165703</v>
      </c>
      <c r="Q11" s="277">
        <v>166943</v>
      </c>
      <c r="R11" s="277">
        <v>178413</v>
      </c>
      <c r="S11" s="277">
        <v>176866</v>
      </c>
      <c r="T11" s="277">
        <v>169346.87808000002</v>
      </c>
      <c r="U11" s="277">
        <v>174355</v>
      </c>
      <c r="V11" s="277">
        <v>173712.38881</v>
      </c>
      <c r="W11" s="277">
        <v>179954.223</v>
      </c>
      <c r="X11" s="277">
        <v>184823.49188999998</v>
      </c>
      <c r="Y11" s="277">
        <v>234611.397</v>
      </c>
      <c r="Z11" s="278"/>
      <c r="AA11" s="295">
        <f t="shared" si="4"/>
        <v>0.26938082708464317</v>
      </c>
      <c r="AB11" s="295">
        <f t="shared" si="5"/>
        <v>0.34559603682142748</v>
      </c>
      <c r="AC11" s="278"/>
    </row>
    <row r="12" spans="1:32" ht="13" customHeight="1">
      <c r="A12" s="269"/>
      <c r="B12" s="16" t="str">
        <f>IF('Summary | Sumário'!D$6=Names!B$3,Names!K10,Names!L10)</f>
        <v>Equity accounted investees</v>
      </c>
      <c r="C12" s="278">
        <v>0</v>
      </c>
      <c r="D12" s="278">
        <v>0</v>
      </c>
      <c r="E12" s="278">
        <f t="shared" si="0"/>
        <v>82445</v>
      </c>
      <c r="F12" s="278">
        <f t="shared" si="1"/>
        <v>72090</v>
      </c>
      <c r="G12" s="278">
        <f t="shared" si="2"/>
        <v>90634</v>
      </c>
      <c r="H12" s="278">
        <f t="shared" si="3"/>
        <v>10401.1976397009</v>
      </c>
      <c r="I12" s="278"/>
      <c r="J12" s="278">
        <v>91162</v>
      </c>
      <c r="K12" s="278">
        <v>95055</v>
      </c>
      <c r="L12" s="278">
        <v>148434</v>
      </c>
      <c r="M12" s="278">
        <v>82445</v>
      </c>
      <c r="N12" s="278">
        <v>85231</v>
      </c>
      <c r="O12" s="278">
        <v>80741</v>
      </c>
      <c r="P12" s="278">
        <v>76849</v>
      </c>
      <c r="Q12" s="278">
        <v>72090</v>
      </c>
      <c r="R12" s="278">
        <v>70820</v>
      </c>
      <c r="S12" s="278">
        <v>71900</v>
      </c>
      <c r="T12" s="278">
        <v>71884.022609999229</v>
      </c>
      <c r="U12" s="278">
        <v>90634</v>
      </c>
      <c r="V12" s="278">
        <v>89569</v>
      </c>
      <c r="W12" s="278">
        <v>88154.67</v>
      </c>
      <c r="X12" s="278">
        <v>10402.331405201901</v>
      </c>
      <c r="Y12" s="278">
        <v>10401.1976397009</v>
      </c>
      <c r="Z12" s="278"/>
      <c r="AA12" s="301">
        <f t="shared" si="4"/>
        <v>-1.0899148054777097E-4</v>
      </c>
      <c r="AB12" s="301">
        <f t="shared" si="5"/>
        <v>-0.88523956087449629</v>
      </c>
      <c r="AC12" s="278"/>
    </row>
    <row r="13" spans="1:32" ht="13" customHeight="1">
      <c r="A13" s="269"/>
      <c r="B13" s="22" t="str">
        <f>IF('Summary | Sumário'!D$6=Names!B$3,Names!K11,Names!L11)</f>
        <v>Property and equipment</v>
      </c>
      <c r="C13" s="277">
        <v>91851</v>
      </c>
      <c r="D13" s="277">
        <v>137846</v>
      </c>
      <c r="E13" s="277">
        <f t="shared" si="0"/>
        <v>163475</v>
      </c>
      <c r="F13" s="277">
        <f t="shared" si="1"/>
        <v>188019</v>
      </c>
      <c r="G13" s="277">
        <f t="shared" si="2"/>
        <v>167547</v>
      </c>
      <c r="H13" s="277">
        <f t="shared" si="3"/>
        <v>369941.72452466295</v>
      </c>
      <c r="I13" s="278"/>
      <c r="J13" s="277">
        <v>149132</v>
      </c>
      <c r="K13" s="277">
        <v>158686</v>
      </c>
      <c r="L13" s="277">
        <v>379252</v>
      </c>
      <c r="M13" s="277">
        <v>163475</v>
      </c>
      <c r="N13" s="277">
        <v>204039</v>
      </c>
      <c r="O13" s="277">
        <v>200804</v>
      </c>
      <c r="P13" s="277">
        <v>193905</v>
      </c>
      <c r="Q13" s="277">
        <v>188019</v>
      </c>
      <c r="R13" s="277">
        <v>180923</v>
      </c>
      <c r="S13" s="277">
        <v>179317</v>
      </c>
      <c r="T13" s="277">
        <v>173677</v>
      </c>
      <c r="U13" s="277">
        <v>167547</v>
      </c>
      <c r="V13" s="277">
        <v>187076.45079360603</v>
      </c>
      <c r="W13" s="277">
        <v>193646.723</v>
      </c>
      <c r="X13" s="277">
        <v>360062.75075838901</v>
      </c>
      <c r="Y13" s="277">
        <v>369941.72452466295</v>
      </c>
      <c r="Z13" s="278"/>
      <c r="AA13" s="391">
        <f t="shared" si="4"/>
        <v>2.7436811348761081E-2</v>
      </c>
      <c r="AB13" s="391">
        <f t="shared" si="5"/>
        <v>1.2079877558217271</v>
      </c>
      <c r="AC13" s="278"/>
    </row>
    <row r="14" spans="1:32" ht="13" customHeight="1">
      <c r="A14" s="269"/>
      <c r="B14" s="16" t="str">
        <f>IF('Summary | Sumário'!D$6=Names!B$3,Names!K12,Names!L12)</f>
        <v>Intangible assets</v>
      </c>
      <c r="C14" s="278">
        <v>79248</v>
      </c>
      <c r="D14" s="278">
        <v>224516</v>
      </c>
      <c r="E14" s="278">
        <f t="shared" si="0"/>
        <v>430504</v>
      </c>
      <c r="F14" s="278">
        <f t="shared" si="1"/>
        <v>1238629</v>
      </c>
      <c r="G14" s="278">
        <f t="shared" si="2"/>
        <v>1345304</v>
      </c>
      <c r="H14" s="278">
        <f t="shared" si="3"/>
        <v>1836052.5846471</v>
      </c>
      <c r="I14" s="278"/>
      <c r="J14" s="278">
        <v>303418</v>
      </c>
      <c r="K14" s="278">
        <v>348745</v>
      </c>
      <c r="L14" s="278">
        <v>569127.75</v>
      </c>
      <c r="M14" s="278">
        <v>430504</v>
      </c>
      <c r="N14" s="278">
        <v>1316366</v>
      </c>
      <c r="O14" s="278">
        <v>1189909</v>
      </c>
      <c r="P14" s="278">
        <v>1209471</v>
      </c>
      <c r="Q14" s="278">
        <v>1238629</v>
      </c>
      <c r="R14" s="278">
        <v>1274423</v>
      </c>
      <c r="S14" s="278">
        <v>1303182</v>
      </c>
      <c r="T14" s="278">
        <v>1322350</v>
      </c>
      <c r="U14" s="278">
        <v>1345304</v>
      </c>
      <c r="V14" s="278">
        <v>1596177</v>
      </c>
      <c r="W14" s="278">
        <v>1661858.0249999999</v>
      </c>
      <c r="X14" s="278">
        <v>1711148.26883</v>
      </c>
      <c r="Y14" s="278">
        <v>1836052.5846471</v>
      </c>
      <c r="Z14" s="278"/>
      <c r="AA14" s="301">
        <f t="shared" si="4"/>
        <v>7.299444360978935E-2</v>
      </c>
      <c r="AB14" s="301">
        <f t="shared" si="5"/>
        <v>0.36478638630904237</v>
      </c>
      <c r="AC14" s="278"/>
    </row>
    <row r="15" spans="1:32" ht="13" customHeight="1">
      <c r="A15" s="269"/>
      <c r="B15" s="22" t="str">
        <f>IF('Summary | Sumário'!D$6=Names!B$3,Names!K13,Names!L13)</f>
        <v>Deferred tax assets</v>
      </c>
      <c r="C15" s="277">
        <v>112217</v>
      </c>
      <c r="D15" s="277">
        <v>206018</v>
      </c>
      <c r="E15" s="277">
        <f t="shared" si="0"/>
        <v>695525.47689649905</v>
      </c>
      <c r="F15" s="277">
        <f t="shared" si="1"/>
        <v>978148</v>
      </c>
      <c r="G15" s="277">
        <f t="shared" si="2"/>
        <v>1033535</v>
      </c>
      <c r="H15" s="277">
        <f t="shared" si="3"/>
        <v>1705054.04740591</v>
      </c>
      <c r="I15" s="278"/>
      <c r="J15" s="277">
        <v>374673</v>
      </c>
      <c r="K15" s="277">
        <v>512637</v>
      </c>
      <c r="L15" s="277">
        <v>89648</v>
      </c>
      <c r="M15" s="277">
        <v>695525.47689649905</v>
      </c>
      <c r="N15" s="277">
        <v>831698</v>
      </c>
      <c r="O15" s="277">
        <v>931537</v>
      </c>
      <c r="P15" s="277">
        <v>872798</v>
      </c>
      <c r="Q15" s="277">
        <v>978148</v>
      </c>
      <c r="R15" s="277">
        <v>1008370</v>
      </c>
      <c r="S15" s="277">
        <v>940399</v>
      </c>
      <c r="T15" s="277">
        <v>1071248</v>
      </c>
      <c r="U15" s="277">
        <v>1033535</v>
      </c>
      <c r="V15" s="277">
        <v>1082102</v>
      </c>
      <c r="W15" s="277">
        <v>1218264.611</v>
      </c>
      <c r="X15" s="277">
        <v>1411485.33995961</v>
      </c>
      <c r="Y15" s="277">
        <v>1705054.04740591</v>
      </c>
      <c r="Z15" s="278"/>
      <c r="AA15" s="295">
        <f t="shared" si="4"/>
        <v>0.20798565818239423</v>
      </c>
      <c r="AB15" s="295">
        <f t="shared" si="5"/>
        <v>0.64973034043927869</v>
      </c>
      <c r="AC15" s="278"/>
    </row>
    <row r="16" spans="1:32" ht="13" customHeight="1">
      <c r="A16" s="269"/>
      <c r="B16" s="16" t="str">
        <f>IF('Summary | Sumário'!D$6=Names!B$3,Names!K14,Names!L14)</f>
        <v>Other assets</v>
      </c>
      <c r="C16" s="246">
        <v>192054</v>
      </c>
      <c r="D16" s="246">
        <v>518681</v>
      </c>
      <c r="E16" s="246">
        <f t="shared" si="0"/>
        <v>792734.63349000004</v>
      </c>
      <c r="F16" s="246">
        <f t="shared" si="1"/>
        <v>1425508</v>
      </c>
      <c r="G16" s="246">
        <f t="shared" si="2"/>
        <v>2125231</v>
      </c>
      <c r="H16" s="246">
        <f t="shared" si="3"/>
        <v>2486144.5552079803</v>
      </c>
      <c r="I16" s="246"/>
      <c r="J16" s="246">
        <v>728467</v>
      </c>
      <c r="K16" s="246">
        <v>804207.20399999991</v>
      </c>
      <c r="L16" s="246">
        <v>699185.75381999998</v>
      </c>
      <c r="M16" s="246">
        <v>792734.63349000004</v>
      </c>
      <c r="N16" s="246">
        <v>977090</v>
      </c>
      <c r="O16" s="246">
        <v>1190646</v>
      </c>
      <c r="P16" s="246">
        <v>1188339</v>
      </c>
      <c r="Q16" s="246">
        <v>1425508</v>
      </c>
      <c r="R16" s="246">
        <v>1525108</v>
      </c>
      <c r="S16" s="246">
        <v>1701475</v>
      </c>
      <c r="T16" s="246">
        <v>2093833</v>
      </c>
      <c r="U16" s="246">
        <v>2125231</v>
      </c>
      <c r="V16" s="246">
        <v>2609027</v>
      </c>
      <c r="W16" s="246">
        <v>2337903.2629999998</v>
      </c>
      <c r="X16" s="246">
        <v>2482687.2263140101</v>
      </c>
      <c r="Y16" s="246">
        <v>2486144.5552079803</v>
      </c>
      <c r="Z16" s="246"/>
      <c r="AA16" s="301">
        <f t="shared" si="4"/>
        <v>1.3925752939500935E-3</v>
      </c>
      <c r="AB16" s="301">
        <f t="shared" si="5"/>
        <v>0.16982321225691721</v>
      </c>
      <c r="AC16" s="246"/>
    </row>
    <row r="17" spans="1:30" ht="13" customHeight="1">
      <c r="A17" s="269"/>
      <c r="B17" s="332" t="str">
        <f>IF('Summary | Sumário'!D$6=Names!B$3,Names!K15,Names!L15)</f>
        <v>Total assets</v>
      </c>
      <c r="C17" s="333">
        <v>10077086</v>
      </c>
      <c r="D17" s="333">
        <v>19921613</v>
      </c>
      <c r="E17" s="333">
        <f t="shared" si="0"/>
        <v>36626337.428616509</v>
      </c>
      <c r="F17" s="333">
        <f t="shared" si="1"/>
        <v>46343100</v>
      </c>
      <c r="G17" s="333">
        <f t="shared" si="2"/>
        <v>61697100.794909999</v>
      </c>
      <c r="H17" s="333">
        <f t="shared" si="3"/>
        <v>76458430.351526901</v>
      </c>
      <c r="I17" s="282"/>
      <c r="J17" s="333">
        <v>21436667</v>
      </c>
      <c r="K17" s="333">
        <v>30309493.204999998</v>
      </c>
      <c r="L17" s="333">
        <v>33762592.801820002</v>
      </c>
      <c r="M17" s="333">
        <v>36626337.428616509</v>
      </c>
      <c r="N17" s="333">
        <v>38612194</v>
      </c>
      <c r="O17" s="333">
        <v>40933779</v>
      </c>
      <c r="P17" s="333">
        <v>43844067</v>
      </c>
      <c r="Q17" s="333">
        <v>46343100</v>
      </c>
      <c r="R17" s="333">
        <v>47701094</v>
      </c>
      <c r="S17" s="333">
        <v>50003329</v>
      </c>
      <c r="T17" s="333">
        <v>55078840</v>
      </c>
      <c r="U17" s="333">
        <v>61697100.794909999</v>
      </c>
      <c r="V17" s="333">
        <v>62546562.496127494</v>
      </c>
      <c r="W17" s="333">
        <v>66573460.406000003</v>
      </c>
      <c r="X17" s="333">
        <v>69928077.405998006</v>
      </c>
      <c r="Y17" s="333">
        <v>76458430.351526901</v>
      </c>
      <c r="Z17" s="282"/>
      <c r="AA17" s="295">
        <f t="shared" si="4"/>
        <v>9.338670799733384E-2</v>
      </c>
      <c r="AB17" s="295">
        <f t="shared" si="5"/>
        <v>0.23925483315149076</v>
      </c>
      <c r="AC17" s="258"/>
    </row>
    <row r="18" spans="1:30" ht="13" customHeight="1">
      <c r="A18" s="269"/>
      <c r="B18" s="3"/>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407"/>
      <c r="AB18" s="407"/>
      <c r="AC18" s="258"/>
      <c r="AD18" s="279"/>
    </row>
    <row r="19" spans="1:30" ht="13" customHeight="1">
      <c r="A19" s="269"/>
      <c r="B19" s="31" t="str">
        <f>IF('Summary | Sumário'!D$6=Names!B$3,Names!K16,Names!L16)</f>
        <v>Liabilities</v>
      </c>
      <c r="C19" s="270"/>
      <c r="D19" s="270"/>
      <c r="E19" s="270"/>
      <c r="F19" s="270"/>
      <c r="G19" s="270"/>
      <c r="H19" s="270"/>
      <c r="I19" s="258"/>
      <c r="J19" s="270"/>
      <c r="K19" s="270"/>
      <c r="L19" s="270"/>
      <c r="M19" s="270"/>
      <c r="N19" s="270"/>
      <c r="O19" s="270"/>
      <c r="P19" s="270"/>
      <c r="Q19" s="270"/>
      <c r="R19" s="270"/>
      <c r="S19" s="270"/>
      <c r="T19" s="270"/>
      <c r="U19" s="270"/>
      <c r="V19" s="270"/>
      <c r="W19" s="270"/>
      <c r="X19" s="270"/>
      <c r="Y19" s="270"/>
      <c r="Z19" s="258"/>
      <c r="AA19" s="402"/>
      <c r="AB19" s="402"/>
      <c r="AC19" s="258"/>
    </row>
    <row r="20" spans="1:30" ht="13" customHeight="1">
      <c r="A20" s="269"/>
      <c r="B20" s="16" t="str">
        <f>IF('Summary | Sumário'!D$6=Names!B$3,Names!K17,Names!L17)</f>
        <v xml:space="preserve">Liabilities with financial and similar institutions </v>
      </c>
      <c r="C20" s="278">
        <v>1152492</v>
      </c>
      <c r="D20" s="278">
        <v>1756913</v>
      </c>
      <c r="E20" s="278">
        <f t="shared" ref="E20:E28" si="6">M20</f>
        <v>5341464</v>
      </c>
      <c r="F20" s="278">
        <f t="shared" ref="F20:F28" si="7">Q20</f>
        <v>7906897</v>
      </c>
      <c r="G20" s="278">
        <f t="shared" ref="G20:G29" si="8">U20</f>
        <v>9522469</v>
      </c>
      <c r="H20" s="246">
        <f t="shared" ref="H20:H29" si="9">Y20</f>
        <v>11319577</v>
      </c>
      <c r="I20" s="246"/>
      <c r="J20" s="278">
        <v>2236178</v>
      </c>
      <c r="K20" s="278">
        <v>3003367</v>
      </c>
      <c r="L20" s="278">
        <v>4235618</v>
      </c>
      <c r="M20" s="278">
        <v>5341464</v>
      </c>
      <c r="N20" s="278">
        <v>5917844</v>
      </c>
      <c r="O20" s="246">
        <v>6945236</v>
      </c>
      <c r="P20" s="246">
        <v>7349464</v>
      </c>
      <c r="Q20" s="246">
        <v>7906897</v>
      </c>
      <c r="R20" s="246">
        <v>8216538</v>
      </c>
      <c r="S20" s="246">
        <v>8023953</v>
      </c>
      <c r="T20" s="246">
        <v>9418244.5561900008</v>
      </c>
      <c r="U20" s="246">
        <v>9522469</v>
      </c>
      <c r="V20" s="246">
        <v>10483086.949449999</v>
      </c>
      <c r="W20" s="246">
        <v>10913779.435000001</v>
      </c>
      <c r="X20" s="246">
        <v>10403853</v>
      </c>
      <c r="Y20" s="246">
        <v>11319577</v>
      </c>
      <c r="Z20" s="246"/>
      <c r="AA20" s="253">
        <f>Y20/X20-1</f>
        <v>8.801777572212921E-2</v>
      </c>
      <c r="AB20" s="253">
        <f>Y20/U20-1</f>
        <v>0.18872290369230926</v>
      </c>
      <c r="AC20" s="246"/>
    </row>
    <row r="21" spans="1:30" ht="13" customHeight="1">
      <c r="A21" s="269"/>
      <c r="B21" s="22" t="str">
        <f>IF('Summary | Sumário'!D$6=Names!B$3,Names!K18,Names!L18)</f>
        <v>Liabilities with customers</v>
      </c>
      <c r="C21" s="277">
        <v>4714439</v>
      </c>
      <c r="D21" s="277">
        <v>12436632</v>
      </c>
      <c r="E21" s="277">
        <f t="shared" si="6"/>
        <v>18333543</v>
      </c>
      <c r="F21" s="277">
        <f t="shared" si="7"/>
        <v>23642804</v>
      </c>
      <c r="G21" s="277">
        <f t="shared" si="8"/>
        <v>32651620</v>
      </c>
      <c r="H21" s="245">
        <f t="shared" si="9"/>
        <v>42803229</v>
      </c>
      <c r="I21" s="246"/>
      <c r="J21" s="277">
        <v>13392679</v>
      </c>
      <c r="K21" s="277">
        <v>15629130.619999999</v>
      </c>
      <c r="L21" s="277">
        <v>17093473.298</v>
      </c>
      <c r="M21" s="277">
        <v>18333543</v>
      </c>
      <c r="N21" s="277">
        <v>18958118</v>
      </c>
      <c r="O21" s="245">
        <v>19746409</v>
      </c>
      <c r="P21" s="245">
        <v>21452026</v>
      </c>
      <c r="Q21" s="245">
        <v>23642804</v>
      </c>
      <c r="R21" s="245">
        <v>24182006</v>
      </c>
      <c r="S21" s="245">
        <v>26299326</v>
      </c>
      <c r="T21" s="245">
        <v>29063988</v>
      </c>
      <c r="U21" s="245">
        <v>32651620</v>
      </c>
      <c r="V21" s="245">
        <v>32643444.086135942</v>
      </c>
      <c r="W21" s="245">
        <v>35978318.071000002</v>
      </c>
      <c r="X21" s="245">
        <v>39129759</v>
      </c>
      <c r="Y21" s="245">
        <v>42803229</v>
      </c>
      <c r="Z21" s="246"/>
      <c r="AA21" s="419">
        <f t="shared" ref="AA21:AA29" si="10">Y21/X21-1</f>
        <v>9.3879187960242749E-2</v>
      </c>
      <c r="AB21" s="419">
        <f t="shared" ref="AB21:AB29" si="11">Y21/U21-1</f>
        <v>0.31090674827160192</v>
      </c>
      <c r="AC21" s="246"/>
      <c r="AD21" s="280"/>
    </row>
    <row r="22" spans="1:30" ht="13" customHeight="1">
      <c r="A22" s="269"/>
      <c r="B22" s="16" t="str">
        <f>IF('Summary | Sumário'!D$6=Names!B$3,Names!K19,Names!L19)</f>
        <v>Securities issued</v>
      </c>
      <c r="C22" s="278">
        <v>1719580</v>
      </c>
      <c r="D22" s="278">
        <v>1729436</v>
      </c>
      <c r="E22" s="278">
        <f t="shared" si="6"/>
        <v>3572093</v>
      </c>
      <c r="F22" s="278">
        <f t="shared" si="7"/>
        <v>6202165</v>
      </c>
      <c r="G22" s="278">
        <f t="shared" si="8"/>
        <v>8095042</v>
      </c>
      <c r="H22" s="246">
        <f t="shared" si="9"/>
        <v>9890219</v>
      </c>
      <c r="I22" s="246"/>
      <c r="J22" s="278">
        <v>1704892</v>
      </c>
      <c r="K22" s="278">
        <v>2081723</v>
      </c>
      <c r="L22" s="278">
        <v>3093320</v>
      </c>
      <c r="M22" s="278">
        <v>3572093</v>
      </c>
      <c r="N22" s="278">
        <v>4280956</v>
      </c>
      <c r="O22" s="246">
        <v>6104223</v>
      </c>
      <c r="P22" s="246">
        <v>6916919</v>
      </c>
      <c r="Q22" s="246">
        <v>6202165</v>
      </c>
      <c r="R22" s="246">
        <v>6640557</v>
      </c>
      <c r="S22" s="246">
        <v>7006191.0407400001</v>
      </c>
      <c r="T22" s="246">
        <v>7462564.5372699993</v>
      </c>
      <c r="U22" s="246">
        <v>8095042</v>
      </c>
      <c r="V22" s="246">
        <v>8249142.2142699994</v>
      </c>
      <c r="W22" s="246">
        <v>8543248.1730000004</v>
      </c>
      <c r="X22" s="246">
        <v>9047656</v>
      </c>
      <c r="Y22" s="246">
        <v>9890219</v>
      </c>
      <c r="Z22" s="246"/>
      <c r="AA22" s="253">
        <f t="shared" si="10"/>
        <v>9.3125003868405276E-2</v>
      </c>
      <c r="AB22" s="253">
        <f t="shared" si="11"/>
        <v>0.22176253069471419</v>
      </c>
      <c r="AC22" s="246"/>
    </row>
    <row r="23" spans="1:30" ht="13" customHeight="1">
      <c r="A23" s="269"/>
      <c r="B23" s="22" t="str">
        <f>IF('Summary | Sumário'!D$6=Names!B$3,Names!K20,Names!L20)</f>
        <v>Derivative financial liabilities</v>
      </c>
      <c r="C23" s="277">
        <v>20941</v>
      </c>
      <c r="D23" s="277">
        <v>56758</v>
      </c>
      <c r="E23" s="277">
        <f t="shared" si="6"/>
        <v>66545</v>
      </c>
      <c r="F23" s="277">
        <f t="shared" si="7"/>
        <v>37768</v>
      </c>
      <c r="G23" s="277">
        <f t="shared" si="8"/>
        <v>15063</v>
      </c>
      <c r="H23" s="245">
        <f t="shared" si="9"/>
        <v>70048</v>
      </c>
      <c r="I23" s="246"/>
      <c r="J23" s="277">
        <v>83222</v>
      </c>
      <c r="K23" s="277">
        <v>78887</v>
      </c>
      <c r="L23" s="277">
        <v>81359</v>
      </c>
      <c r="M23" s="277">
        <v>66545</v>
      </c>
      <c r="N23" s="277">
        <v>76042</v>
      </c>
      <c r="O23" s="245">
        <v>65888</v>
      </c>
      <c r="P23" s="245">
        <v>40347</v>
      </c>
      <c r="Q23" s="245">
        <v>37768</v>
      </c>
      <c r="R23" s="245">
        <v>32614</v>
      </c>
      <c r="S23" s="245">
        <v>27996</v>
      </c>
      <c r="T23" s="245">
        <v>21058.658820000001</v>
      </c>
      <c r="U23" s="245">
        <v>15063</v>
      </c>
      <c r="V23" s="245">
        <v>13892.998310000001</v>
      </c>
      <c r="W23" s="245">
        <v>14039.200999999999</v>
      </c>
      <c r="X23" s="245">
        <v>8778</v>
      </c>
      <c r="Y23" s="245">
        <v>70048</v>
      </c>
      <c r="Z23" s="246"/>
      <c r="AA23" s="419">
        <f t="shared" si="10"/>
        <v>6.9799498746867163</v>
      </c>
      <c r="AB23" s="419">
        <f t="shared" si="11"/>
        <v>3.6503352585806281</v>
      </c>
      <c r="AC23" s="246"/>
    </row>
    <row r="24" spans="1:30" ht="13" customHeight="1">
      <c r="A24" s="269"/>
      <c r="B24" s="16" t="str">
        <f>IF('Summary | Sumário'!D$6=Names!B$3,Names!K21,Names!L21)</f>
        <v>Borrowing and onlending</v>
      </c>
      <c r="C24" s="278">
        <v>29800</v>
      </c>
      <c r="D24" s="278">
        <v>27405</v>
      </c>
      <c r="E24" s="278">
        <f t="shared" si="6"/>
        <v>25071</v>
      </c>
      <c r="F24" s="278">
        <f t="shared" si="7"/>
        <v>36448</v>
      </c>
      <c r="G24" s="278">
        <f t="shared" si="8"/>
        <v>107412</v>
      </c>
      <c r="H24" s="246">
        <f t="shared" si="9"/>
        <v>128924</v>
      </c>
      <c r="I24" s="246"/>
      <c r="J24" s="278">
        <v>27179</v>
      </c>
      <c r="K24" s="278">
        <v>26325</v>
      </c>
      <c r="L24" s="278">
        <v>25580</v>
      </c>
      <c r="M24" s="278">
        <v>25071</v>
      </c>
      <c r="N24" s="278">
        <v>33002</v>
      </c>
      <c r="O24" s="246">
        <v>31855</v>
      </c>
      <c r="P24" s="246">
        <v>33119</v>
      </c>
      <c r="Q24" s="246">
        <v>36448</v>
      </c>
      <c r="R24" s="246">
        <v>36632</v>
      </c>
      <c r="S24" s="246">
        <v>38753</v>
      </c>
      <c r="T24" s="246">
        <v>87649</v>
      </c>
      <c r="U24" s="246">
        <v>107412</v>
      </c>
      <c r="V24" s="246">
        <v>102019.6489</v>
      </c>
      <c r="W24" s="246">
        <v>101630.08100000001</v>
      </c>
      <c r="X24" s="246">
        <v>114824</v>
      </c>
      <c r="Y24" s="246">
        <v>128924</v>
      </c>
      <c r="Z24" s="246"/>
      <c r="AA24" s="253">
        <f t="shared" si="10"/>
        <v>0.12279662788267265</v>
      </c>
      <c r="AB24" s="253">
        <f t="shared" si="11"/>
        <v>0.20027557442371435</v>
      </c>
      <c r="AC24" s="246"/>
    </row>
    <row r="25" spans="1:30" ht="13" customHeight="1">
      <c r="A25" s="269"/>
      <c r="B25" s="22" t="str">
        <f>IF('Summary | Sumário'!D$6=Names!B$3,Names!K22,Names!L22)</f>
        <v>Tax liabilities</v>
      </c>
      <c r="C25" s="277">
        <v>18202</v>
      </c>
      <c r="D25" s="277">
        <v>30271</v>
      </c>
      <c r="E25" s="277">
        <f t="shared" si="6"/>
        <v>78406</v>
      </c>
      <c r="F25" s="277">
        <f t="shared" si="7"/>
        <v>166865</v>
      </c>
      <c r="G25" s="277">
        <f t="shared" si="8"/>
        <v>363262</v>
      </c>
      <c r="H25" s="245">
        <f t="shared" si="9"/>
        <v>574429</v>
      </c>
      <c r="I25" s="246"/>
      <c r="J25" s="277">
        <v>50880</v>
      </c>
      <c r="K25" s="277">
        <v>42517</v>
      </c>
      <c r="L25" s="277">
        <v>55514.155149999999</v>
      </c>
      <c r="M25" s="277">
        <v>78406</v>
      </c>
      <c r="N25" s="277">
        <v>102495</v>
      </c>
      <c r="O25" s="245">
        <v>163665</v>
      </c>
      <c r="P25" s="245">
        <v>153726</v>
      </c>
      <c r="Q25" s="245">
        <v>166865</v>
      </c>
      <c r="R25" s="245">
        <v>154341</v>
      </c>
      <c r="S25" s="245">
        <v>206021</v>
      </c>
      <c r="T25" s="245">
        <v>332844.93984000006</v>
      </c>
      <c r="U25" s="245">
        <v>363262</v>
      </c>
      <c r="V25" s="245">
        <v>439126</v>
      </c>
      <c r="W25" s="245">
        <v>357818.261</v>
      </c>
      <c r="X25" s="245">
        <v>457853</v>
      </c>
      <c r="Y25" s="245">
        <v>574429</v>
      </c>
      <c r="Z25" s="246"/>
      <c r="AA25" s="419">
        <f t="shared" si="10"/>
        <v>0.25461447233063894</v>
      </c>
      <c r="AB25" s="419">
        <f t="shared" si="11"/>
        <v>0.58130770628361894</v>
      </c>
      <c r="AC25" s="246"/>
    </row>
    <row r="26" spans="1:30" ht="13" customHeight="1">
      <c r="A26" s="269"/>
      <c r="B26" s="16" t="str">
        <f>IF('Summary | Sumário'!D$6=Names!B$3,Names!K25,Names!L25)</f>
        <v>Provisions</v>
      </c>
      <c r="C26" s="278">
        <v>22055</v>
      </c>
      <c r="D26" s="278">
        <v>23637</v>
      </c>
      <c r="E26" s="278">
        <f t="shared" si="6"/>
        <v>52848</v>
      </c>
      <c r="F26" s="278">
        <f t="shared" si="7"/>
        <v>57449</v>
      </c>
      <c r="G26" s="278">
        <f t="shared" si="8"/>
        <v>70452</v>
      </c>
      <c r="H26" s="246">
        <f t="shared" si="9"/>
        <v>151737</v>
      </c>
      <c r="I26" s="246"/>
      <c r="J26" s="278">
        <v>25182</v>
      </c>
      <c r="K26" s="278">
        <v>37558</v>
      </c>
      <c r="L26" s="278">
        <v>41873</v>
      </c>
      <c r="M26" s="278">
        <v>52848</v>
      </c>
      <c r="N26" s="278">
        <v>55607</v>
      </c>
      <c r="O26" s="246">
        <v>61118</v>
      </c>
      <c r="P26" s="246">
        <v>59219</v>
      </c>
      <c r="Q26" s="246">
        <v>57449</v>
      </c>
      <c r="R26" s="246">
        <v>63213</v>
      </c>
      <c r="S26" s="246">
        <v>65931</v>
      </c>
      <c r="T26" s="246">
        <v>35040.451930000003</v>
      </c>
      <c r="U26" s="246">
        <v>70452</v>
      </c>
      <c r="V26" s="246">
        <v>70003.378370004008</v>
      </c>
      <c r="W26" s="246">
        <v>45712.063000000002</v>
      </c>
      <c r="X26" s="246">
        <v>54375</v>
      </c>
      <c r="Y26" s="246">
        <v>151737</v>
      </c>
      <c r="Z26" s="246"/>
      <c r="AA26" s="253">
        <f t="shared" si="10"/>
        <v>1.7905655172413795</v>
      </c>
      <c r="AB26" s="253">
        <f t="shared" si="11"/>
        <v>1.1537642650315107</v>
      </c>
      <c r="AC26" s="246"/>
    </row>
    <row r="27" spans="1:30" ht="13" customHeight="1">
      <c r="A27" s="269"/>
      <c r="B27" s="22" t="str">
        <f>IF('Summary | Sumário'!D$6=Names!B$3,Names!K26,Names!L26)</f>
        <v>Deferred tax liabilities</v>
      </c>
      <c r="C27" s="277">
        <v>21524</v>
      </c>
      <c r="D27" s="277">
        <v>60926</v>
      </c>
      <c r="E27" s="277">
        <f t="shared" si="6"/>
        <v>89235</v>
      </c>
      <c r="F27" s="277">
        <f t="shared" si="7"/>
        <v>30073</v>
      </c>
      <c r="G27" s="277">
        <f t="shared" si="8"/>
        <v>32539</v>
      </c>
      <c r="H27" s="245">
        <f t="shared" si="9"/>
        <v>61503</v>
      </c>
      <c r="I27" s="246"/>
      <c r="J27" s="277">
        <v>90691</v>
      </c>
      <c r="K27" s="277">
        <v>85656</v>
      </c>
      <c r="L27" s="277">
        <v>27373.95</v>
      </c>
      <c r="M27" s="277">
        <v>89235</v>
      </c>
      <c r="N27" s="277">
        <v>92379</v>
      </c>
      <c r="O27" s="245">
        <v>81915</v>
      </c>
      <c r="P27" s="245">
        <v>0</v>
      </c>
      <c r="Q27" s="245">
        <v>30073</v>
      </c>
      <c r="R27" s="245">
        <v>29638</v>
      </c>
      <c r="S27" s="245">
        <v>32670</v>
      </c>
      <c r="T27" s="245">
        <v>28894.89588</v>
      </c>
      <c r="U27" s="245">
        <v>32539</v>
      </c>
      <c r="V27" s="245">
        <v>49912</v>
      </c>
      <c r="W27" s="245">
        <v>29640.036</v>
      </c>
      <c r="X27" s="245">
        <v>46183</v>
      </c>
      <c r="Y27" s="245">
        <v>61503</v>
      </c>
      <c r="Z27" s="246"/>
      <c r="AA27" s="419">
        <f t="shared" si="10"/>
        <v>0.33172379446982658</v>
      </c>
      <c r="AB27" s="419">
        <f t="shared" si="11"/>
        <v>0.89013184178985227</v>
      </c>
      <c r="AC27" s="246"/>
    </row>
    <row r="28" spans="1:30" ht="13" customHeight="1">
      <c r="A28" s="269"/>
      <c r="B28" s="16" t="str">
        <f>IF('Summary | Sumário'!D$6=Names!B$3,Names!K27,Names!L27)</f>
        <v>Other liabilities</v>
      </c>
      <c r="C28" s="246">
        <v>216115</v>
      </c>
      <c r="D28" s="246">
        <v>475420</v>
      </c>
      <c r="E28" s="246">
        <f t="shared" si="6"/>
        <v>617348.59181000001</v>
      </c>
      <c r="F28" s="246">
        <f t="shared" si="7"/>
        <v>1173527</v>
      </c>
      <c r="G28" s="246">
        <f t="shared" si="8"/>
        <v>1897248</v>
      </c>
      <c r="H28" s="246">
        <f t="shared" si="9"/>
        <v>2386457</v>
      </c>
      <c r="I28" s="246"/>
      <c r="J28" s="246">
        <v>575148</v>
      </c>
      <c r="K28" s="246">
        <v>631703.80099999998</v>
      </c>
      <c r="L28" s="246">
        <v>570154</v>
      </c>
      <c r="M28" s="246">
        <v>617348.59181000001</v>
      </c>
      <c r="N28" s="246">
        <v>741385</v>
      </c>
      <c r="O28" s="246">
        <v>618089</v>
      </c>
      <c r="P28" s="246">
        <v>698852</v>
      </c>
      <c r="Q28" s="246">
        <v>1173527</v>
      </c>
      <c r="R28" s="246">
        <v>1205649</v>
      </c>
      <c r="S28" s="246">
        <v>984830</v>
      </c>
      <c r="T28" s="246">
        <v>1260329</v>
      </c>
      <c r="U28" s="246">
        <v>1897248</v>
      </c>
      <c r="V28" s="246">
        <v>1957483</v>
      </c>
      <c r="W28" s="246">
        <v>1981740.4820000001</v>
      </c>
      <c r="X28" s="246">
        <v>1797457</v>
      </c>
      <c r="Y28" s="246">
        <v>2386457</v>
      </c>
      <c r="Z28" s="246"/>
      <c r="AA28" s="253">
        <f t="shared" si="10"/>
        <v>0.32768516854645191</v>
      </c>
      <c r="AB28" s="253">
        <f t="shared" si="11"/>
        <v>0.25785189917185303</v>
      </c>
      <c r="AC28" s="246"/>
    </row>
    <row r="29" spans="1:30" ht="13" customHeight="1">
      <c r="A29" s="269"/>
      <c r="B29" s="332" t="str">
        <f>IF('Summary | Sumário'!D$6=Names!B$3,Names!K28,Names!L28)</f>
        <v>Total liabilities</v>
      </c>
      <c r="C29" s="333">
        <v>7915148</v>
      </c>
      <c r="D29" s="333">
        <v>16597398</v>
      </c>
      <c r="E29" s="333">
        <f>M29</f>
        <v>28176553.591809999</v>
      </c>
      <c r="F29" s="333">
        <f>Q29</f>
        <v>39253996</v>
      </c>
      <c r="G29" s="333">
        <f t="shared" si="8"/>
        <v>52755107</v>
      </c>
      <c r="H29" s="333">
        <f t="shared" si="9"/>
        <v>67386123</v>
      </c>
      <c r="I29" s="282"/>
      <c r="J29" s="333">
        <v>18186051</v>
      </c>
      <c r="K29" s="333">
        <v>21616867.421</v>
      </c>
      <c r="L29" s="333">
        <v>25224265.40315</v>
      </c>
      <c r="M29" s="333">
        <v>28176553.591809999</v>
      </c>
      <c r="N29" s="333">
        <v>30257828</v>
      </c>
      <c r="O29" s="333">
        <v>33818398</v>
      </c>
      <c r="P29" s="333">
        <v>36703672</v>
      </c>
      <c r="Q29" s="333">
        <v>39253996</v>
      </c>
      <c r="R29" s="333">
        <v>40561188</v>
      </c>
      <c r="S29" s="333">
        <v>42685671</v>
      </c>
      <c r="T29" s="333">
        <v>47710613</v>
      </c>
      <c r="U29" s="333">
        <v>52755107</v>
      </c>
      <c r="V29" s="333">
        <v>54008110.275435939</v>
      </c>
      <c r="W29" s="333">
        <v>57965925.803000003</v>
      </c>
      <c r="X29" s="333">
        <v>61060739</v>
      </c>
      <c r="Y29" s="333">
        <v>67386123</v>
      </c>
      <c r="Z29" s="282"/>
      <c r="AA29" s="419">
        <f t="shared" si="10"/>
        <v>0.10359167123738877</v>
      </c>
      <c r="AB29" s="419">
        <f t="shared" si="11"/>
        <v>0.27733838166606306</v>
      </c>
      <c r="AC29" s="258"/>
    </row>
    <row r="30" spans="1:30" ht="13" customHeight="1">
      <c r="A30" s="269"/>
      <c r="B30" s="3"/>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407"/>
      <c r="AB30" s="407"/>
      <c r="AC30" s="258"/>
    </row>
    <row r="31" spans="1:30" ht="13" customHeight="1">
      <c r="A31" s="269"/>
      <c r="B31" s="31" t="str">
        <f>IF('Summary | Sumário'!D$6=Names!B$3,Names!K29,Names!L29)</f>
        <v>Equity</v>
      </c>
      <c r="C31" s="270"/>
      <c r="D31" s="270"/>
      <c r="E31" s="270"/>
      <c r="F31" s="270"/>
      <c r="G31" s="270"/>
      <c r="H31" s="270"/>
      <c r="I31" s="258"/>
      <c r="J31" s="270"/>
      <c r="K31" s="270"/>
      <c r="L31" s="270"/>
      <c r="M31" s="270"/>
      <c r="N31" s="270"/>
      <c r="O31" s="270"/>
      <c r="P31" s="270"/>
      <c r="Q31" s="270"/>
      <c r="R31" s="270"/>
      <c r="S31" s="270"/>
      <c r="T31" s="270"/>
      <c r="U31" s="270"/>
      <c r="V31" s="270"/>
      <c r="W31" s="270"/>
      <c r="X31" s="270"/>
      <c r="Y31" s="270"/>
      <c r="Z31" s="258"/>
      <c r="AA31" s="402"/>
      <c r="AB31" s="402"/>
      <c r="AC31" s="258"/>
    </row>
    <row r="32" spans="1:30" ht="13" customHeight="1">
      <c r="A32" s="269"/>
      <c r="B32" s="16" t="str">
        <f>IF('Summary | Sumário'!D$6=Names!B$3,Names!K30,Names!L30)</f>
        <v>Equity attributable to owners of the Company</v>
      </c>
      <c r="C32" s="278">
        <f>SUM(C33:C36)</f>
        <v>2157761</v>
      </c>
      <c r="D32" s="278">
        <f t="shared" ref="D32:Q32" si="12">SUM(D33:D36)</f>
        <v>3275634</v>
      </c>
      <c r="E32" s="278">
        <f t="shared" si="12"/>
        <v>2656124.8541782</v>
      </c>
      <c r="F32" s="278">
        <f t="shared" si="12"/>
        <v>6992382</v>
      </c>
      <c r="G32" s="278">
        <f t="shared" ref="G32:G38" si="13">U32</f>
        <v>7471810</v>
      </c>
      <c r="H32" s="278">
        <f t="shared" ref="H32:H38" si="14">Y32</f>
        <v>8895175</v>
      </c>
      <c r="I32" s="278"/>
      <c r="J32" s="278">
        <f t="shared" si="12"/>
        <v>3200971</v>
      </c>
      <c r="K32" s="278">
        <f t="shared" si="12"/>
        <v>2725582.0000000005</v>
      </c>
      <c r="L32" s="278">
        <f t="shared" si="12"/>
        <v>2684449.7805932802</v>
      </c>
      <c r="M32" s="278">
        <f t="shared" si="12"/>
        <v>2656124.8541782</v>
      </c>
      <c r="N32" s="278">
        <f t="shared" si="12"/>
        <v>2615835.2391781998</v>
      </c>
      <c r="O32" s="278">
        <f t="shared" si="12"/>
        <v>7034059</v>
      </c>
      <c r="P32" s="278">
        <f t="shared" si="12"/>
        <v>7044410</v>
      </c>
      <c r="Q32" s="278">
        <f t="shared" si="12"/>
        <v>6992382</v>
      </c>
      <c r="R32" s="278">
        <f t="shared" ref="R32:W32" si="15">SUM(R33:R36)</f>
        <v>7030966</v>
      </c>
      <c r="S32" s="278">
        <f t="shared" si="15"/>
        <v>7203957</v>
      </c>
      <c r="T32" s="278">
        <f t="shared" si="15"/>
        <v>7260368</v>
      </c>
      <c r="U32" s="278">
        <f t="shared" si="15"/>
        <v>7471810</v>
      </c>
      <c r="V32" s="278">
        <f t="shared" si="15"/>
        <v>8392474.0009060334</v>
      </c>
      <c r="W32" s="278">
        <f t="shared" si="15"/>
        <v>8461990.9470000006</v>
      </c>
      <c r="X32" s="278">
        <f t="shared" ref="X32:Y32" si="16">SUM(X33:X36)</f>
        <v>8707251</v>
      </c>
      <c r="Y32" s="278">
        <f t="shared" si="16"/>
        <v>8895175</v>
      </c>
      <c r="Z32" s="278"/>
      <c r="AA32" s="301">
        <f>Y32/X32-1</f>
        <v>2.1582471896124167E-2</v>
      </c>
      <c r="AB32" s="301">
        <f>Y32/U32-1</f>
        <v>0.19049801855239901</v>
      </c>
      <c r="AC32" s="278"/>
    </row>
    <row r="33" spans="1:29" ht="13" customHeight="1">
      <c r="A33" s="269"/>
      <c r="B33" s="23" t="str">
        <f>IF('Summary | Sumário'!D$6=Names!B$3,Names!K31,Names!L31)</f>
        <v>Share capital</v>
      </c>
      <c r="C33" s="277">
        <v>2068305</v>
      </c>
      <c r="D33" s="277">
        <v>3216455</v>
      </c>
      <c r="E33" s="277">
        <f t="shared" ref="E33:E38" si="17">M33</f>
        <v>13.23917819999042</v>
      </c>
      <c r="F33" s="277">
        <f t="shared" ref="F33:F38" si="18">Q33</f>
        <v>13</v>
      </c>
      <c r="G33" s="277">
        <f t="shared" si="13"/>
        <v>13</v>
      </c>
      <c r="H33" s="245">
        <f t="shared" si="14"/>
        <v>13</v>
      </c>
      <c r="I33" s="246"/>
      <c r="J33" s="277">
        <v>3216455</v>
      </c>
      <c r="K33" s="277">
        <v>12.78059328001109</v>
      </c>
      <c r="L33" s="277">
        <v>12.78059328001109</v>
      </c>
      <c r="M33" s="277">
        <v>13.23917819999042</v>
      </c>
      <c r="N33" s="277">
        <v>13.23917819999042</v>
      </c>
      <c r="O33" s="245">
        <v>13</v>
      </c>
      <c r="P33" s="245">
        <v>13</v>
      </c>
      <c r="Q33" s="245">
        <v>13</v>
      </c>
      <c r="R33" s="245">
        <v>13</v>
      </c>
      <c r="S33" s="245">
        <v>13</v>
      </c>
      <c r="T33" s="245">
        <v>13</v>
      </c>
      <c r="U33" s="245">
        <v>13</v>
      </c>
      <c r="V33" s="245">
        <v>13.000906033441424</v>
      </c>
      <c r="W33" s="245">
        <v>13.002000000000001</v>
      </c>
      <c r="X33" s="245">
        <v>13</v>
      </c>
      <c r="Y33" s="245">
        <v>13</v>
      </c>
      <c r="Z33" s="246"/>
      <c r="AA33" s="391">
        <f t="shared" ref="AA33:AA38" si="19">Y33/X33-1</f>
        <v>0</v>
      </c>
      <c r="AB33" s="391">
        <f t="shared" ref="AB33:AB38" si="20">Y33/U33-1</f>
        <v>0</v>
      </c>
      <c r="AC33" s="246"/>
    </row>
    <row r="34" spans="1:29" ht="13" customHeight="1">
      <c r="A34" s="269"/>
      <c r="B34" s="17" t="str">
        <f>IF('Summary | Sumário'!D$6=Names!B$3,Names!K32,Names!L32)</f>
        <v>Reserves</v>
      </c>
      <c r="C34" s="278">
        <v>90152</v>
      </c>
      <c r="D34" s="278">
        <v>150709</v>
      </c>
      <c r="E34" s="278">
        <f t="shared" si="17"/>
        <v>2728396</v>
      </c>
      <c r="F34" s="278">
        <f t="shared" si="18"/>
        <v>7817670</v>
      </c>
      <c r="G34" s="278">
        <f t="shared" si="13"/>
        <v>8147285</v>
      </c>
      <c r="H34" s="246">
        <f t="shared" si="14"/>
        <v>9793992</v>
      </c>
      <c r="I34" s="246"/>
      <c r="J34" s="278">
        <v>57846</v>
      </c>
      <c r="K34" s="278">
        <v>2744512.2194067203</v>
      </c>
      <c r="L34" s="278">
        <v>2733223</v>
      </c>
      <c r="M34" s="278">
        <v>2728396</v>
      </c>
      <c r="N34" s="278">
        <v>2700579</v>
      </c>
      <c r="O34" s="246">
        <v>7842630</v>
      </c>
      <c r="P34" s="246">
        <v>7870186</v>
      </c>
      <c r="Q34" s="246">
        <v>7817670</v>
      </c>
      <c r="R34" s="246">
        <v>7855472</v>
      </c>
      <c r="S34" s="246">
        <v>7902577</v>
      </c>
      <c r="T34" s="246">
        <v>7998214</v>
      </c>
      <c r="U34" s="246">
        <v>8147285</v>
      </c>
      <c r="V34" s="246">
        <v>9116496</v>
      </c>
      <c r="W34" s="246">
        <v>9232289.6119999997</v>
      </c>
      <c r="X34" s="246">
        <v>9508076</v>
      </c>
      <c r="Y34" s="246">
        <v>9793992</v>
      </c>
      <c r="Z34" s="246"/>
      <c r="AA34" s="301">
        <f t="shared" si="19"/>
        <v>3.0070857658268668E-2</v>
      </c>
      <c r="AB34" s="301">
        <f t="shared" si="20"/>
        <v>0.2021172697407787</v>
      </c>
      <c r="AC34" s="246"/>
    </row>
    <row r="35" spans="1:29" ht="13" customHeight="1">
      <c r="A35" s="269"/>
      <c r="B35" s="23" t="str">
        <f>IF('Summary | Sumário'!D$6=Names!B$3,Names!K33,Names!L33)</f>
        <v>Other comprehensive income</v>
      </c>
      <c r="C35" s="277">
        <v>-696</v>
      </c>
      <c r="D35" s="277">
        <v>25991</v>
      </c>
      <c r="E35" s="277">
        <f t="shared" si="17"/>
        <v>-72284.384999999995</v>
      </c>
      <c r="F35" s="277">
        <f t="shared" si="18"/>
        <v>-825301</v>
      </c>
      <c r="G35" s="277">
        <f t="shared" si="13"/>
        <v>-675488</v>
      </c>
      <c r="H35" s="245">
        <f t="shared" si="14"/>
        <v>-898830</v>
      </c>
      <c r="I35" s="246"/>
      <c r="J35" s="277">
        <v>-36968</v>
      </c>
      <c r="K35" s="277">
        <v>-18943</v>
      </c>
      <c r="L35" s="277">
        <v>-48786</v>
      </c>
      <c r="M35" s="277">
        <v>-72284.384999999995</v>
      </c>
      <c r="N35" s="277">
        <v>-84757</v>
      </c>
      <c r="O35" s="245">
        <v>-808584</v>
      </c>
      <c r="P35" s="245">
        <v>-825789</v>
      </c>
      <c r="Q35" s="245">
        <v>-825301</v>
      </c>
      <c r="R35" s="245">
        <v>-808110</v>
      </c>
      <c r="S35" s="245">
        <v>-682224</v>
      </c>
      <c r="T35" s="245">
        <v>-729442</v>
      </c>
      <c r="U35" s="245">
        <v>-675488</v>
      </c>
      <c r="V35" s="245">
        <v>-711252</v>
      </c>
      <c r="W35" s="245">
        <v>-756624.66700000002</v>
      </c>
      <c r="X35" s="245">
        <v>-800226</v>
      </c>
      <c r="Y35" s="245">
        <v>-898830</v>
      </c>
      <c r="Z35" s="246"/>
      <c r="AA35" s="391">
        <f t="shared" si="19"/>
        <v>0.12322019029624132</v>
      </c>
      <c r="AB35" s="391">
        <f t="shared" si="20"/>
        <v>0.33063799801032734</v>
      </c>
      <c r="AC35" s="246"/>
    </row>
    <row r="36" spans="1:29" ht="13" customHeight="1">
      <c r="A36" s="269"/>
      <c r="B36" s="17" t="str">
        <f>IF('Summary | Sumário'!D$6=Names!B$3,Names!K34,Names!L34)</f>
        <v>Treasury shares</v>
      </c>
      <c r="C36" s="278">
        <v>0</v>
      </c>
      <c r="D36" s="278">
        <v>-117521</v>
      </c>
      <c r="E36" s="278">
        <f t="shared" si="17"/>
        <v>0</v>
      </c>
      <c r="F36" s="278">
        <f t="shared" si="18"/>
        <v>0</v>
      </c>
      <c r="G36" s="278">
        <f t="shared" si="13"/>
        <v>0</v>
      </c>
      <c r="H36" s="246">
        <f t="shared" si="14"/>
        <v>0</v>
      </c>
      <c r="I36" s="246"/>
      <c r="J36" s="278">
        <v>-36362</v>
      </c>
      <c r="K36" s="278">
        <v>0</v>
      </c>
      <c r="L36" s="278">
        <v>0</v>
      </c>
      <c r="M36" s="278">
        <v>0</v>
      </c>
      <c r="N36" s="278">
        <v>0</v>
      </c>
      <c r="O36" s="246">
        <v>0</v>
      </c>
      <c r="P36" s="246">
        <v>0</v>
      </c>
      <c r="Q36" s="246">
        <v>0</v>
      </c>
      <c r="R36" s="246">
        <v>-16409</v>
      </c>
      <c r="S36" s="246">
        <v>-16409</v>
      </c>
      <c r="T36" s="246">
        <v>-8417</v>
      </c>
      <c r="U36" s="246">
        <v>0</v>
      </c>
      <c r="V36" s="246">
        <v>-12783</v>
      </c>
      <c r="W36" s="246">
        <v>-13687</v>
      </c>
      <c r="X36" s="246">
        <v>-612</v>
      </c>
      <c r="Y36" s="246">
        <v>0</v>
      </c>
      <c r="Z36" s="246"/>
      <c r="AA36" s="650" t="s">
        <v>900</v>
      </c>
      <c r="AB36" s="650" t="s">
        <v>900</v>
      </c>
      <c r="AC36" s="246"/>
    </row>
    <row r="37" spans="1:29" ht="13" customHeight="1">
      <c r="A37" s="269"/>
      <c r="B37" s="22" t="str">
        <f>IF('Summary | Sumário'!D$6=Names!B$3,Names!K35,Names!L35)</f>
        <v>Non-controlling interest</v>
      </c>
      <c r="C37" s="277">
        <v>4177</v>
      </c>
      <c r="D37" s="277">
        <v>48581</v>
      </c>
      <c r="E37" s="277">
        <f t="shared" si="17"/>
        <v>5793658.7330626091</v>
      </c>
      <c r="F37" s="277">
        <f t="shared" si="18"/>
        <v>96722</v>
      </c>
      <c r="G37" s="277">
        <f t="shared" si="13"/>
        <v>124881</v>
      </c>
      <c r="H37" s="245">
        <f t="shared" si="14"/>
        <v>177132</v>
      </c>
      <c r="I37" s="246"/>
      <c r="J37" s="277">
        <v>49645</v>
      </c>
      <c r="K37" s="277">
        <v>5967043.7920000013</v>
      </c>
      <c r="L37" s="277">
        <v>5853877.4000000004</v>
      </c>
      <c r="M37" s="277">
        <v>5793658.7330626091</v>
      </c>
      <c r="N37" s="277">
        <v>5738531</v>
      </c>
      <c r="O37" s="245">
        <v>81322</v>
      </c>
      <c r="P37" s="245">
        <v>95985</v>
      </c>
      <c r="Q37" s="245">
        <v>96722</v>
      </c>
      <c r="R37" s="245">
        <v>108940</v>
      </c>
      <c r="S37" s="245">
        <v>113701</v>
      </c>
      <c r="T37" s="245">
        <v>107859</v>
      </c>
      <c r="U37" s="245">
        <v>124881</v>
      </c>
      <c r="V37" s="245">
        <v>145978</v>
      </c>
      <c r="W37" s="245">
        <v>145544.61499999999</v>
      </c>
      <c r="X37" s="245">
        <v>160088</v>
      </c>
      <c r="Y37" s="245">
        <v>177132</v>
      </c>
      <c r="Z37" s="246"/>
      <c r="AA37" s="391">
        <f t="shared" si="19"/>
        <v>0.10646644345609912</v>
      </c>
      <c r="AB37" s="391">
        <f t="shared" si="20"/>
        <v>0.41840632281932399</v>
      </c>
      <c r="AC37" s="246"/>
    </row>
    <row r="38" spans="1:29" ht="13" customHeight="1">
      <c r="A38" s="269"/>
      <c r="B38" s="14" t="str">
        <f>IF('Summary | Sumário'!D$6=Names!B$3,Names!K36,Names!L36)</f>
        <v>Total equity</v>
      </c>
      <c r="C38" s="281">
        <v>2161938</v>
      </c>
      <c r="D38" s="281">
        <v>3324215</v>
      </c>
      <c r="E38" s="281">
        <f t="shared" si="17"/>
        <v>8449783.5872408096</v>
      </c>
      <c r="F38" s="281">
        <f t="shared" si="18"/>
        <v>7089104</v>
      </c>
      <c r="G38" s="281">
        <f t="shared" si="13"/>
        <v>7596691</v>
      </c>
      <c r="H38" s="282">
        <f t="shared" si="14"/>
        <v>9072307</v>
      </c>
      <c r="I38" s="282"/>
      <c r="J38" s="281">
        <v>3250616</v>
      </c>
      <c r="K38" s="281">
        <v>8692625.7920000013</v>
      </c>
      <c r="L38" s="281">
        <v>8538327.1805932801</v>
      </c>
      <c r="M38" s="281">
        <v>8449783.5872408096</v>
      </c>
      <c r="N38" s="281">
        <v>8354366</v>
      </c>
      <c r="O38" s="282">
        <v>7115381</v>
      </c>
      <c r="P38" s="282">
        <v>7140395</v>
      </c>
      <c r="Q38" s="282">
        <v>7089104</v>
      </c>
      <c r="R38" s="282">
        <v>7139906</v>
      </c>
      <c r="S38" s="282">
        <v>7317658</v>
      </c>
      <c r="T38" s="282">
        <v>7368227</v>
      </c>
      <c r="U38" s="282">
        <v>7596691</v>
      </c>
      <c r="V38" s="282">
        <v>8538452.0009060334</v>
      </c>
      <c r="W38" s="282">
        <v>8607535.5620000008</v>
      </c>
      <c r="X38" s="282">
        <v>8867338</v>
      </c>
      <c r="Y38" s="282">
        <v>9072307</v>
      </c>
      <c r="Z38" s="282"/>
      <c r="AA38" s="301">
        <f t="shared" si="19"/>
        <v>2.3115054371447119E-2</v>
      </c>
      <c r="AB38" s="301">
        <f t="shared" si="20"/>
        <v>0.19424457306477261</v>
      </c>
      <c r="AC38" s="258"/>
    </row>
    <row r="39" spans="1:29" ht="13" customHeight="1">
      <c r="A39" s="269"/>
      <c r="B39" s="24"/>
      <c r="C39" s="270"/>
      <c r="D39" s="270"/>
      <c r="E39" s="270"/>
      <c r="F39" s="270"/>
      <c r="G39" s="270"/>
      <c r="H39" s="270"/>
      <c r="I39" s="258"/>
      <c r="J39" s="270"/>
      <c r="K39" s="270"/>
      <c r="L39" s="270"/>
      <c r="M39" s="270"/>
      <c r="N39" s="270"/>
      <c r="O39" s="270"/>
      <c r="P39" s="270"/>
      <c r="Q39" s="270"/>
      <c r="R39" s="270"/>
      <c r="S39" s="270"/>
      <c r="T39" s="270"/>
      <c r="U39" s="270"/>
      <c r="V39" s="270"/>
      <c r="W39" s="270"/>
      <c r="X39" s="270"/>
      <c r="Y39" s="270"/>
      <c r="Z39" s="258"/>
      <c r="AA39" s="402"/>
      <c r="AB39" s="402"/>
      <c r="AC39" s="258"/>
    </row>
    <row r="40" spans="1:29" ht="13" customHeight="1">
      <c r="A40" s="269"/>
      <c r="B40" s="9" t="str">
        <f>IF('Summary | Sumário'!D$6=Names!B$3,Names!K37,Names!L37)</f>
        <v>Liabilities + equity</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408"/>
      <c r="AB40" s="408"/>
      <c r="AC40" s="258"/>
    </row>
    <row r="41" spans="1:29" ht="13" customHeight="1">
      <c r="A41" s="269"/>
      <c r="B41" s="334" t="str">
        <f>IF('Summary | Sumário'!D$6=Names!B$3,Names!K38,Names!L38)</f>
        <v>Total liabilities and total equity</v>
      </c>
      <c r="C41" s="335">
        <v>10077086</v>
      </c>
      <c r="D41" s="335">
        <v>19921613</v>
      </c>
      <c r="E41" s="335">
        <f>M41</f>
        <v>36626337.179050811</v>
      </c>
      <c r="F41" s="335">
        <f>Q41</f>
        <v>46343100</v>
      </c>
      <c r="G41" s="335">
        <f>U41</f>
        <v>60351797</v>
      </c>
      <c r="H41" s="333">
        <f>Y41</f>
        <v>76458430</v>
      </c>
      <c r="I41" s="282"/>
      <c r="J41" s="335">
        <v>21436667</v>
      </c>
      <c r="K41" s="335">
        <v>30309493.213</v>
      </c>
      <c r="L41" s="335">
        <v>33762592.583743282</v>
      </c>
      <c r="M41" s="335">
        <v>36626337.179050811</v>
      </c>
      <c r="N41" s="335">
        <v>38612194</v>
      </c>
      <c r="O41" s="333">
        <v>40933779</v>
      </c>
      <c r="P41" s="333">
        <v>43844067</v>
      </c>
      <c r="Q41" s="333">
        <v>46343100</v>
      </c>
      <c r="R41" s="333">
        <v>47701094</v>
      </c>
      <c r="S41" s="333">
        <v>50003329</v>
      </c>
      <c r="T41" s="333">
        <v>55078840</v>
      </c>
      <c r="U41" s="333">
        <v>60351797</v>
      </c>
      <c r="V41" s="333">
        <v>62546562.276341975</v>
      </c>
      <c r="W41" s="333">
        <v>66573461.365000002</v>
      </c>
      <c r="X41" s="333">
        <v>69928077</v>
      </c>
      <c r="Y41" s="333">
        <v>76458430</v>
      </c>
      <c r="Z41" s="282"/>
      <c r="AA41" s="406">
        <f>Y41/X41-1</f>
        <v>9.3386709318490135E-2</v>
      </c>
      <c r="AB41" s="406">
        <f>Y41/U41-1</f>
        <v>0.26687909558020295</v>
      </c>
      <c r="AC41" s="258"/>
    </row>
    <row r="42" spans="1:29" ht="13" customHeight="1">
      <c r="B42" s="14"/>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row>
    <row r="43" spans="1:29" ht="13" customHeight="1">
      <c r="B43" s="18"/>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row>
    <row r="44" spans="1:29" ht="13" customHeight="1">
      <c r="C44" s="284"/>
      <c r="Q44" s="284"/>
      <c r="R44" s="284"/>
      <c r="S44" s="284"/>
      <c r="T44" s="284"/>
      <c r="U44" s="284"/>
      <c r="V44" s="284"/>
      <c r="W44" s="284"/>
      <c r="X44" s="284"/>
      <c r="Y44" s="284"/>
      <c r="Z44" s="284"/>
      <c r="AA44" s="284"/>
      <c r="AB44" s="284"/>
    </row>
    <row r="45" spans="1:29" ht="13" customHeight="1">
      <c r="J45" s="284"/>
      <c r="Q45" s="284"/>
      <c r="R45" s="284"/>
      <c r="S45" s="284"/>
      <c r="T45" s="284"/>
      <c r="U45" s="284"/>
      <c r="V45" s="284"/>
      <c r="W45" s="284"/>
      <c r="X45" s="284"/>
      <c r="Y45" s="284"/>
      <c r="Z45" s="284"/>
      <c r="AA45" s="284"/>
      <c r="AB45" s="284"/>
    </row>
    <row r="46" spans="1:29" ht="13" customHeight="1">
      <c r="Q46" s="284"/>
      <c r="R46" s="284"/>
      <c r="S46" s="284"/>
      <c r="T46" s="284"/>
      <c r="U46" s="284"/>
      <c r="V46" s="284"/>
      <c r="W46" s="284"/>
      <c r="X46" s="284"/>
      <c r="Y46" s="284"/>
      <c r="Z46" s="284"/>
      <c r="AA46" s="284"/>
      <c r="AB46" s="284"/>
    </row>
    <row r="47" spans="1:29" ht="13" customHeight="1">
      <c r="Q47" s="284"/>
      <c r="R47" s="284"/>
      <c r="S47" s="284"/>
      <c r="T47" s="284"/>
      <c r="U47" s="284"/>
      <c r="V47" s="284"/>
      <c r="W47" s="284"/>
      <c r="X47" s="284"/>
      <c r="Y47" s="284"/>
      <c r="Z47" s="284"/>
      <c r="AA47" s="284"/>
      <c r="AB47" s="284"/>
    </row>
  </sheetData>
  <sheetProtection algorithmName="SHA-512" hashValue="0w2yqoNYmBcI+MWi4hKgVrXfwHdQrY76Q0Z2ue2DUa3MdulJ8iITRqdw/tUdIJe9XhXS0pEt3cbFv5+Y2WdDXw==" saltValue="EnhsrnhK5UmAbdUAIjf7FQ=="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D8006-174F-CB4D-8F57-C3ED229B1EBF}">
  <sheetPr codeName="Sheet4">
    <tabColor rgb="FFEB7100"/>
  </sheetPr>
  <dimension ref="A1:XFB36"/>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3" customWidth="1"/>
    <col min="9" max="9" width="2.83203125" style="133" customWidth="1"/>
    <col min="10" max="25" width="10.83203125" style="133" customWidth="1"/>
    <col min="26" max="26" width="4.83203125" style="133" customWidth="1"/>
    <col min="27" max="28" width="10.83203125" style="133" customWidth="1"/>
    <col min="29" max="16384" width="10.83203125" style="133"/>
  </cols>
  <sheetData>
    <row r="1" spans="1:1016 1029:2043 2056:3070 3083:4084 4097:5111 5124:6138 6151:7165 7178:8192 8205:9206 9219:10233 10246:11260 11273:12287 12300:13301 13314:14328 14341:15355 15368:16382" ht="13" customHeight="1">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row>
    <row r="2" spans="1:1016 1029:2043 2056:3070 3083:4084 4097:5111 5124:6138 6151:7165 7178:8192 8205:9206 9219:10233 10246:11260 11273:12287 12300:13301 13314:14328 14341:15355 15368:16382" s="10" customFormat="1" ht="13" customHeight="1">
      <c r="B2" s="310" t="str">
        <f>IF('Summary | Sumário'!D$6=Names!B$3,Names!M1,Names!N1)</f>
        <v>Income Statement (IFRS, R$ Thousands)</v>
      </c>
      <c r="C2" s="131">
        <f>IF('Summary | Sumário'!D6=Names!B3,Names!C2,Names!D2)</f>
        <v>2019</v>
      </c>
      <c r="D2" s="131">
        <f>IF('Summary | Sumário'!D6=Names!B3,Names!C3,Names!D3)</f>
        <v>2020</v>
      </c>
      <c r="E2" s="131">
        <f>IF('Summary | Sumário'!D6=Names!B3,Names!C4,Names!D4)</f>
        <v>2021</v>
      </c>
      <c r="F2" s="131">
        <f>IF('Summary | Sumário'!D6=Names!B3,Names!C5,Names!D5)</f>
        <v>2022</v>
      </c>
      <c r="G2" s="131">
        <f>IF('Summary | Sumário'!D6=Names!B3,Names!C18,Names!D18)</f>
        <v>2023</v>
      </c>
      <c r="H2" s="388">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88" t="str">
        <f>IF('Summary | Sumário'!D6=Names!B3,Names!C22,Names!D22)</f>
        <v>4Q24</v>
      </c>
      <c r="Z2" s="399"/>
      <c r="AA2" s="114" t="str">
        <f>IF('Summary | Sumário'!$D$6=Names!$B$3,Names!$I$24,Names!$J$24)</f>
        <v>QoQ Variation</v>
      </c>
      <c r="AB2" s="114" t="str">
        <f>IF('Summary | Sumário'!D6=Names!$B$3,Names!$I$25,Names!$J$25)</f>
        <v>YoY Variation</v>
      </c>
      <c r="AC2" s="11"/>
      <c r="AE2" s="12"/>
      <c r="AF2" s="13"/>
    </row>
    <row r="3" spans="1:1016 1029:2043 2056:3070 3083:4084 4097:5111 5124:6138 6151:7165 7178:8192 8205:9206 9219:10233 10246:11260 11273:12287 12300:13301 13314:14328 14341:15355 15368:16382" ht="13" customHeight="1">
      <c r="B3" s="14"/>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row>
    <row r="4" spans="1:1016 1029:2043 2056:3070 3083:4084 4097:5111 5124:6138 6151:7165 7178:8192 8205:9206 9219:10233 10246:11260 11273:12287 12300:13301 13314:14328 14341:15355 15368:16382" ht="13" customHeight="1">
      <c r="A4" s="242"/>
      <c r="B4" s="16" t="str">
        <f>IF('Summary | Sumário'!D$6=Names!B$3,Names!M2,Names!N2)</f>
        <v>Interest income</v>
      </c>
      <c r="C4" s="215">
        <v>775515</v>
      </c>
      <c r="D4" s="215">
        <v>942655.89517999999</v>
      </c>
      <c r="E4" s="215">
        <v>1435428.2459999998</v>
      </c>
      <c r="F4" s="215">
        <v>2802658.0819999995</v>
      </c>
      <c r="G4" s="215">
        <v>4549827</v>
      </c>
      <c r="H4" s="215">
        <v>5139213</v>
      </c>
      <c r="I4" s="206"/>
      <c r="J4" s="215">
        <v>289003.935</v>
      </c>
      <c r="K4" s="215">
        <v>305659.75100000005</v>
      </c>
      <c r="L4" s="215">
        <v>367405.88</v>
      </c>
      <c r="M4" s="215">
        <v>473357.68</v>
      </c>
      <c r="N4" s="215">
        <v>521159.63199999993</v>
      </c>
      <c r="O4" s="215">
        <v>622312.6370000001</v>
      </c>
      <c r="P4" s="215">
        <v>788342.73100000003</v>
      </c>
      <c r="Q4" s="215">
        <v>870843.08199999994</v>
      </c>
      <c r="R4" s="215">
        <v>1012926.822</v>
      </c>
      <c r="S4" s="215">
        <v>1151105</v>
      </c>
      <c r="T4" s="215">
        <v>1106935.08874</v>
      </c>
      <c r="U4" s="215">
        <v>1278860.08926</v>
      </c>
      <c r="V4" s="215">
        <v>1217530.9999999998</v>
      </c>
      <c r="W4" s="215">
        <v>1172415.139</v>
      </c>
      <c r="X4" s="215">
        <v>1412226.140133633</v>
      </c>
      <c r="Y4" s="215">
        <v>1337040.7208663672</v>
      </c>
      <c r="Z4" s="215"/>
      <c r="AA4" s="409">
        <f>Y4/X4-1</f>
        <v>-5.3238937540238007E-2</v>
      </c>
      <c r="AB4" s="409">
        <f>Y4/U4-1</f>
        <v>4.549413348260245E-2</v>
      </c>
    </row>
    <row r="5" spans="1:1016 1029:2043 2056:3070 3083:4084 4097:5111 5124:6138 6151:7165 7178:8192 8205:9206 9219:10233 10246:11260 11273:12287 12300:13301 13314:14328 14341:15355 15368:16382" s="243" customFormat="1" ht="13" customHeight="1">
      <c r="A5" s="242"/>
      <c r="B5" s="22" t="str">
        <f>IF('Summary | Sumário'!D$6=Names!B$3,Names!M3,Names!N3)</f>
        <v>Interest expenses</v>
      </c>
      <c r="C5" s="268">
        <v>-256717</v>
      </c>
      <c r="D5" s="268">
        <v>-184335</v>
      </c>
      <c r="E5" s="268">
        <v>-543242</v>
      </c>
      <c r="F5" s="268">
        <v>-1972850</v>
      </c>
      <c r="G5" s="268">
        <v>-2887573</v>
      </c>
      <c r="H5" s="268">
        <v>-3311638.4190579997</v>
      </c>
      <c r="I5" s="206"/>
      <c r="J5" s="268">
        <v>-65559</v>
      </c>
      <c r="K5" s="268">
        <v>-86261</v>
      </c>
      <c r="L5" s="268">
        <v>-138587</v>
      </c>
      <c r="M5" s="268">
        <v>-252835</v>
      </c>
      <c r="N5" s="268">
        <v>-336771</v>
      </c>
      <c r="O5" s="268">
        <v>-465041</v>
      </c>
      <c r="P5" s="268">
        <v>-579678</v>
      </c>
      <c r="Q5" s="268">
        <v>-591360</v>
      </c>
      <c r="R5" s="268">
        <v>-672771</v>
      </c>
      <c r="S5" s="268">
        <v>-692206</v>
      </c>
      <c r="T5" s="268">
        <v>-770398</v>
      </c>
      <c r="U5" s="268">
        <v>-752198.00500000012</v>
      </c>
      <c r="V5" s="268">
        <v>-762246.89030000009</v>
      </c>
      <c r="W5" s="268">
        <v>-772642.60900000005</v>
      </c>
      <c r="X5" s="268">
        <v>-835616.71799999999</v>
      </c>
      <c r="Y5" s="268">
        <v>-941132.20175799984</v>
      </c>
      <c r="Z5" s="215"/>
      <c r="AA5" s="644">
        <f t="shared" ref="AA5:AA6" si="0">Y5/X5-1</f>
        <v>0.12627258584599055</v>
      </c>
      <c r="AB5" s="644">
        <f t="shared" ref="AB5:AB6" si="1">Y5/U5-1</f>
        <v>0.25117614710770164</v>
      </c>
      <c r="AC5" s="133"/>
      <c r="AO5" s="244"/>
      <c r="BB5" s="244"/>
      <c r="BO5" s="244"/>
      <c r="CB5" s="244"/>
      <c r="CO5" s="244"/>
      <c r="DB5" s="244"/>
      <c r="DO5" s="244"/>
      <c r="EB5" s="244"/>
      <c r="EO5" s="244"/>
      <c r="FB5" s="244"/>
      <c r="FO5" s="244"/>
      <c r="GB5" s="244"/>
      <c r="GO5" s="244"/>
      <c r="HB5" s="244"/>
      <c r="HO5" s="244"/>
      <c r="IB5" s="244"/>
      <c r="IO5" s="244"/>
      <c r="JB5" s="244"/>
      <c r="JO5" s="244"/>
      <c r="KB5" s="244"/>
      <c r="KO5" s="244"/>
      <c r="LB5" s="244"/>
      <c r="LO5" s="244"/>
      <c r="MB5" s="244"/>
      <c r="MO5" s="244"/>
      <c r="NB5" s="244"/>
      <c r="NO5" s="244"/>
      <c r="OB5" s="244"/>
      <c r="OO5" s="244"/>
      <c r="PB5" s="244"/>
      <c r="PO5" s="244"/>
      <c r="QB5" s="244"/>
      <c r="QO5" s="244"/>
      <c r="RB5" s="244"/>
      <c r="RO5" s="244"/>
      <c r="SB5" s="244"/>
      <c r="SO5" s="244"/>
      <c r="TB5" s="244"/>
      <c r="TO5" s="244"/>
      <c r="UB5" s="244"/>
      <c r="UO5" s="244"/>
      <c r="VB5" s="244"/>
      <c r="VO5" s="244"/>
      <c r="WB5" s="244"/>
      <c r="WO5" s="244"/>
      <c r="XB5" s="244"/>
      <c r="XO5" s="244"/>
      <c r="YB5" s="244"/>
      <c r="YO5" s="244"/>
      <c r="ZB5" s="244"/>
      <c r="ZO5" s="244"/>
      <c r="AAB5" s="244"/>
      <c r="AAO5" s="244"/>
      <c r="ABB5" s="244"/>
      <c r="ABO5" s="244"/>
      <c r="ACB5" s="244"/>
      <c r="ACO5" s="244"/>
      <c r="ADB5" s="244"/>
      <c r="ADO5" s="244"/>
      <c r="AEB5" s="244"/>
      <c r="AEO5" s="244"/>
      <c r="AFB5" s="244"/>
      <c r="AFO5" s="244"/>
      <c r="AGB5" s="244"/>
      <c r="AGO5" s="244"/>
      <c r="AHB5" s="244"/>
      <c r="AHO5" s="244"/>
      <c r="AIB5" s="244"/>
      <c r="AIO5" s="244"/>
      <c r="AJB5" s="244"/>
      <c r="AJO5" s="244"/>
      <c r="AKB5" s="244"/>
      <c r="AKO5" s="244"/>
      <c r="ALB5" s="244"/>
      <c r="ALO5" s="244"/>
      <c r="AMB5" s="244"/>
      <c r="AMO5" s="244"/>
      <c r="ANB5" s="244"/>
      <c r="ANO5" s="244"/>
      <c r="AOB5" s="244"/>
      <c r="AOO5" s="244"/>
      <c r="APB5" s="244"/>
      <c r="APO5" s="244"/>
      <c r="AQB5" s="244"/>
      <c r="AQO5" s="244"/>
      <c r="ARB5" s="244"/>
      <c r="ARO5" s="244"/>
      <c r="ASB5" s="244"/>
      <c r="ASO5" s="244"/>
      <c r="ATB5" s="244"/>
      <c r="ATO5" s="244"/>
      <c r="AUB5" s="244"/>
      <c r="AUO5" s="244"/>
      <c r="AVB5" s="244"/>
      <c r="AVO5" s="244"/>
      <c r="AWB5" s="244"/>
      <c r="AWO5" s="244"/>
      <c r="AXB5" s="244"/>
      <c r="AXO5" s="244"/>
      <c r="AYB5" s="244"/>
      <c r="AYO5" s="244"/>
      <c r="AZB5" s="244"/>
      <c r="AZO5" s="244"/>
      <c r="BAB5" s="244"/>
      <c r="BAO5" s="244"/>
      <c r="BBB5" s="244"/>
      <c r="BBO5" s="244"/>
      <c r="BCB5" s="244"/>
      <c r="BCO5" s="244"/>
      <c r="BDB5" s="244"/>
      <c r="BDO5" s="244"/>
      <c r="BEB5" s="244"/>
      <c r="BEO5" s="244"/>
      <c r="BFB5" s="244"/>
      <c r="BFO5" s="244"/>
      <c r="BGB5" s="244"/>
      <c r="BGO5" s="244"/>
      <c r="BHB5" s="244"/>
      <c r="BHO5" s="244"/>
      <c r="BIB5" s="244"/>
      <c r="BIO5" s="244"/>
      <c r="BJB5" s="244"/>
      <c r="BJO5" s="244"/>
      <c r="BKB5" s="244"/>
      <c r="BKO5" s="244"/>
      <c r="BLB5" s="244"/>
      <c r="BLO5" s="244"/>
      <c r="BMB5" s="244"/>
      <c r="BMO5" s="244"/>
      <c r="BNB5" s="244"/>
      <c r="BNO5" s="244"/>
      <c r="BOB5" s="244"/>
      <c r="BOO5" s="244"/>
      <c r="BPB5" s="244"/>
      <c r="BPO5" s="244"/>
      <c r="BQB5" s="244"/>
      <c r="BQO5" s="244"/>
      <c r="BRB5" s="244"/>
      <c r="BRO5" s="244"/>
      <c r="BSB5" s="244"/>
      <c r="BSO5" s="244"/>
      <c r="BTB5" s="244"/>
      <c r="BTO5" s="244"/>
      <c r="BUB5" s="244"/>
      <c r="BUO5" s="244"/>
      <c r="BVB5" s="244"/>
      <c r="BVO5" s="244"/>
      <c r="BWB5" s="244"/>
      <c r="BWO5" s="244"/>
      <c r="BXB5" s="244"/>
      <c r="BXO5" s="244"/>
      <c r="BYB5" s="244"/>
      <c r="BYO5" s="244"/>
      <c r="BZB5" s="244"/>
      <c r="BZO5" s="244"/>
      <c r="CAB5" s="244"/>
      <c r="CAO5" s="244"/>
      <c r="CBB5" s="244"/>
      <c r="CBO5" s="244"/>
      <c r="CCB5" s="244"/>
      <c r="CCO5" s="244"/>
      <c r="CDB5" s="244"/>
      <c r="CDO5" s="244"/>
      <c r="CEB5" s="244"/>
      <c r="CEO5" s="244"/>
      <c r="CFB5" s="244"/>
      <c r="CFO5" s="244"/>
      <c r="CGB5" s="244"/>
      <c r="CGO5" s="244"/>
      <c r="CHB5" s="244"/>
      <c r="CHO5" s="244"/>
      <c r="CIB5" s="244"/>
      <c r="CIO5" s="244"/>
      <c r="CJB5" s="244"/>
      <c r="CJO5" s="244"/>
      <c r="CKB5" s="244"/>
      <c r="CKO5" s="244"/>
      <c r="CLB5" s="244"/>
      <c r="CLO5" s="244"/>
      <c r="CMB5" s="244"/>
      <c r="CMO5" s="244"/>
      <c r="CNB5" s="244"/>
      <c r="CNO5" s="244"/>
      <c r="COB5" s="244"/>
      <c r="COO5" s="244"/>
      <c r="CPB5" s="244"/>
      <c r="CPO5" s="244"/>
      <c r="CQB5" s="244"/>
      <c r="CQO5" s="244"/>
      <c r="CRB5" s="244"/>
      <c r="CRO5" s="244"/>
      <c r="CSB5" s="244"/>
      <c r="CSO5" s="244"/>
      <c r="CTB5" s="244"/>
      <c r="CTO5" s="244"/>
      <c r="CUB5" s="244"/>
      <c r="CUO5" s="244"/>
      <c r="CVB5" s="244"/>
      <c r="CVO5" s="244"/>
      <c r="CWB5" s="244"/>
      <c r="CWO5" s="244"/>
      <c r="CXB5" s="244"/>
      <c r="CXO5" s="244"/>
      <c r="CYB5" s="244"/>
      <c r="CYO5" s="244"/>
      <c r="CZB5" s="244"/>
      <c r="CZO5" s="244"/>
      <c r="DAB5" s="244"/>
      <c r="DAO5" s="244"/>
      <c r="DBB5" s="244"/>
      <c r="DBO5" s="244"/>
      <c r="DCB5" s="244"/>
      <c r="DCO5" s="244"/>
      <c r="DDB5" s="244"/>
      <c r="DDO5" s="244"/>
      <c r="DEB5" s="244"/>
      <c r="DEO5" s="244"/>
      <c r="DFB5" s="244"/>
      <c r="DFO5" s="244"/>
      <c r="DGB5" s="244"/>
      <c r="DGO5" s="244"/>
      <c r="DHB5" s="244"/>
      <c r="DHO5" s="244"/>
      <c r="DIB5" s="244"/>
      <c r="DIO5" s="244"/>
      <c r="DJB5" s="244"/>
      <c r="DJO5" s="244"/>
      <c r="DKB5" s="244"/>
      <c r="DKO5" s="244"/>
      <c r="DLB5" s="244"/>
      <c r="DLO5" s="244"/>
      <c r="DMB5" s="244"/>
      <c r="DMO5" s="244"/>
      <c r="DNB5" s="244"/>
      <c r="DNO5" s="244"/>
      <c r="DOB5" s="244"/>
      <c r="DOO5" s="244"/>
      <c r="DPB5" s="244"/>
      <c r="DPO5" s="244"/>
      <c r="DQB5" s="244"/>
      <c r="DQO5" s="244"/>
      <c r="DRB5" s="244"/>
      <c r="DRO5" s="244"/>
      <c r="DSB5" s="244"/>
      <c r="DSO5" s="244"/>
      <c r="DTB5" s="244"/>
      <c r="DTO5" s="244"/>
      <c r="DUB5" s="244"/>
      <c r="DUO5" s="244"/>
      <c r="DVB5" s="244"/>
      <c r="DVO5" s="244"/>
      <c r="DWB5" s="244"/>
      <c r="DWO5" s="244"/>
      <c r="DXB5" s="244"/>
      <c r="DXO5" s="244"/>
      <c r="DYB5" s="244"/>
      <c r="DYO5" s="244"/>
      <c r="DZB5" s="244"/>
      <c r="DZO5" s="244"/>
      <c r="EAB5" s="244"/>
      <c r="EAO5" s="244"/>
      <c r="EBB5" s="244"/>
      <c r="EBO5" s="244"/>
      <c r="ECB5" s="244"/>
      <c r="ECO5" s="244"/>
      <c r="EDB5" s="244"/>
      <c r="EDO5" s="244"/>
      <c r="EEB5" s="244"/>
      <c r="EEO5" s="244"/>
      <c r="EFB5" s="244"/>
      <c r="EFO5" s="244"/>
      <c r="EGB5" s="244"/>
      <c r="EGO5" s="244"/>
      <c r="EHB5" s="244"/>
      <c r="EHO5" s="244"/>
      <c r="EIB5" s="244"/>
      <c r="EIO5" s="244"/>
      <c r="EJB5" s="244"/>
      <c r="EJO5" s="244"/>
      <c r="EKB5" s="244"/>
      <c r="EKO5" s="244"/>
      <c r="ELB5" s="244"/>
      <c r="ELO5" s="244"/>
      <c r="EMB5" s="244"/>
      <c r="EMO5" s="244"/>
      <c r="ENB5" s="244"/>
      <c r="ENO5" s="244"/>
      <c r="EOB5" s="244"/>
      <c r="EOO5" s="244"/>
      <c r="EPB5" s="244"/>
      <c r="EPO5" s="244"/>
      <c r="EQB5" s="244"/>
      <c r="EQO5" s="244"/>
      <c r="ERB5" s="244"/>
      <c r="ERO5" s="244"/>
      <c r="ESB5" s="244"/>
      <c r="ESO5" s="244"/>
      <c r="ETB5" s="244"/>
      <c r="ETO5" s="244"/>
      <c r="EUB5" s="244"/>
      <c r="EUO5" s="244"/>
      <c r="EVB5" s="244"/>
      <c r="EVO5" s="244"/>
      <c r="EWB5" s="244"/>
      <c r="EWO5" s="244"/>
      <c r="EXB5" s="244"/>
      <c r="EXO5" s="244"/>
      <c r="EYB5" s="244"/>
      <c r="EYO5" s="244"/>
      <c r="EZB5" s="244"/>
      <c r="EZO5" s="244"/>
      <c r="FAB5" s="244"/>
      <c r="FAO5" s="244"/>
      <c r="FBB5" s="244"/>
      <c r="FBO5" s="244"/>
      <c r="FCB5" s="244"/>
      <c r="FCO5" s="244"/>
      <c r="FDB5" s="244"/>
      <c r="FDO5" s="244"/>
      <c r="FEB5" s="244"/>
      <c r="FEO5" s="244"/>
      <c r="FFB5" s="244"/>
      <c r="FFO5" s="244"/>
      <c r="FGB5" s="244"/>
      <c r="FGO5" s="244"/>
      <c r="FHB5" s="244"/>
      <c r="FHO5" s="244"/>
      <c r="FIB5" s="244"/>
      <c r="FIO5" s="244"/>
      <c r="FJB5" s="244"/>
      <c r="FJO5" s="244"/>
      <c r="FKB5" s="244"/>
      <c r="FKO5" s="244"/>
      <c r="FLB5" s="244"/>
      <c r="FLO5" s="244"/>
      <c r="FMB5" s="244"/>
      <c r="FMO5" s="244"/>
      <c r="FNB5" s="244"/>
      <c r="FNO5" s="244"/>
      <c r="FOB5" s="244"/>
      <c r="FOO5" s="244"/>
      <c r="FPB5" s="244"/>
      <c r="FPO5" s="244"/>
      <c r="FQB5" s="244"/>
      <c r="FQO5" s="244"/>
      <c r="FRB5" s="244"/>
      <c r="FRO5" s="244"/>
      <c r="FSB5" s="244"/>
      <c r="FSO5" s="244"/>
      <c r="FTB5" s="244"/>
      <c r="FTO5" s="244"/>
      <c r="FUB5" s="244"/>
      <c r="FUO5" s="244"/>
      <c r="FVB5" s="244"/>
      <c r="FVO5" s="244"/>
      <c r="FWB5" s="244"/>
      <c r="FWO5" s="244"/>
      <c r="FXB5" s="244"/>
      <c r="FXO5" s="244"/>
      <c r="FYB5" s="244"/>
      <c r="FYO5" s="244"/>
      <c r="FZB5" s="244"/>
      <c r="FZO5" s="244"/>
      <c r="GAB5" s="244"/>
      <c r="GAO5" s="244"/>
      <c r="GBB5" s="244"/>
      <c r="GBO5" s="244"/>
      <c r="GCB5" s="244"/>
      <c r="GCO5" s="244"/>
      <c r="GDB5" s="244"/>
      <c r="GDO5" s="244"/>
      <c r="GEB5" s="244"/>
      <c r="GEO5" s="244"/>
      <c r="GFB5" s="244"/>
      <c r="GFO5" s="244"/>
      <c r="GGB5" s="244"/>
      <c r="GGO5" s="244"/>
      <c r="GHB5" s="244"/>
      <c r="GHO5" s="244"/>
      <c r="GIB5" s="244"/>
      <c r="GIO5" s="244"/>
      <c r="GJB5" s="244"/>
      <c r="GJO5" s="244"/>
      <c r="GKB5" s="244"/>
      <c r="GKO5" s="244"/>
      <c r="GLB5" s="244"/>
      <c r="GLO5" s="244"/>
      <c r="GMB5" s="244"/>
      <c r="GMO5" s="244"/>
      <c r="GNB5" s="244"/>
      <c r="GNO5" s="244"/>
      <c r="GOB5" s="244"/>
      <c r="GOO5" s="244"/>
      <c r="GPB5" s="244"/>
      <c r="GPO5" s="244"/>
      <c r="GQB5" s="244"/>
      <c r="GQO5" s="244"/>
      <c r="GRB5" s="244"/>
      <c r="GRO5" s="244"/>
      <c r="GSB5" s="244"/>
      <c r="GSO5" s="244"/>
      <c r="GTB5" s="244"/>
      <c r="GTO5" s="244"/>
      <c r="GUB5" s="244"/>
      <c r="GUO5" s="244"/>
      <c r="GVB5" s="244"/>
      <c r="GVO5" s="244"/>
      <c r="GWB5" s="244"/>
      <c r="GWO5" s="244"/>
      <c r="GXB5" s="244"/>
      <c r="GXO5" s="244"/>
      <c r="GYB5" s="244"/>
      <c r="GYO5" s="244"/>
      <c r="GZB5" s="244"/>
      <c r="GZO5" s="244"/>
      <c r="HAB5" s="244"/>
      <c r="HAO5" s="244"/>
      <c r="HBB5" s="244"/>
      <c r="HBO5" s="244"/>
      <c r="HCB5" s="244"/>
      <c r="HCO5" s="244"/>
      <c r="HDB5" s="244"/>
      <c r="HDO5" s="244"/>
      <c r="HEB5" s="244"/>
      <c r="HEO5" s="244"/>
      <c r="HFB5" s="244"/>
      <c r="HFO5" s="244"/>
      <c r="HGB5" s="244"/>
      <c r="HGO5" s="244"/>
      <c r="HHB5" s="244"/>
      <c r="HHO5" s="244"/>
      <c r="HIB5" s="244"/>
      <c r="HIO5" s="244"/>
      <c r="HJB5" s="244"/>
      <c r="HJO5" s="244"/>
      <c r="HKB5" s="244"/>
      <c r="HKO5" s="244"/>
      <c r="HLB5" s="244"/>
      <c r="HLO5" s="244"/>
      <c r="HMB5" s="244"/>
      <c r="HMO5" s="244"/>
      <c r="HNB5" s="244"/>
      <c r="HNO5" s="244"/>
      <c r="HOB5" s="244"/>
      <c r="HOO5" s="244"/>
      <c r="HPB5" s="244"/>
      <c r="HPO5" s="244"/>
      <c r="HQB5" s="244"/>
      <c r="HQO5" s="244"/>
      <c r="HRB5" s="244"/>
      <c r="HRO5" s="244"/>
      <c r="HSB5" s="244"/>
      <c r="HSO5" s="244"/>
      <c r="HTB5" s="244"/>
      <c r="HTO5" s="244"/>
      <c r="HUB5" s="244"/>
      <c r="HUO5" s="244"/>
      <c r="HVB5" s="244"/>
      <c r="HVO5" s="244"/>
      <c r="HWB5" s="244"/>
      <c r="HWO5" s="244"/>
      <c r="HXB5" s="244"/>
      <c r="HXO5" s="244"/>
      <c r="HYB5" s="244"/>
      <c r="HYO5" s="244"/>
      <c r="HZB5" s="244"/>
      <c r="HZO5" s="244"/>
      <c r="IAB5" s="244"/>
      <c r="IAO5" s="244"/>
      <c r="IBB5" s="244"/>
      <c r="IBO5" s="244"/>
      <c r="ICB5" s="244"/>
      <c r="ICO5" s="244"/>
      <c r="IDB5" s="244"/>
      <c r="IDO5" s="244"/>
      <c r="IEB5" s="244"/>
      <c r="IEO5" s="244"/>
      <c r="IFB5" s="244"/>
      <c r="IFO5" s="244"/>
      <c r="IGB5" s="244"/>
      <c r="IGO5" s="244"/>
      <c r="IHB5" s="244"/>
      <c r="IHO5" s="244"/>
      <c r="IIB5" s="244"/>
      <c r="IIO5" s="244"/>
      <c r="IJB5" s="244"/>
      <c r="IJO5" s="244"/>
      <c r="IKB5" s="244"/>
      <c r="IKO5" s="244"/>
      <c r="ILB5" s="244"/>
      <c r="ILO5" s="244"/>
      <c r="IMB5" s="244"/>
      <c r="IMO5" s="244"/>
      <c r="INB5" s="244"/>
      <c r="INO5" s="244"/>
      <c r="IOB5" s="244"/>
      <c r="IOO5" s="244"/>
      <c r="IPB5" s="244"/>
      <c r="IPO5" s="244"/>
      <c r="IQB5" s="244"/>
      <c r="IQO5" s="244"/>
      <c r="IRB5" s="244"/>
      <c r="IRO5" s="244"/>
      <c r="ISB5" s="244"/>
      <c r="ISO5" s="244"/>
      <c r="ITB5" s="244"/>
      <c r="ITO5" s="244"/>
      <c r="IUB5" s="244"/>
      <c r="IUO5" s="244"/>
      <c r="IVB5" s="244"/>
      <c r="IVO5" s="244"/>
      <c r="IWB5" s="244"/>
      <c r="IWO5" s="244"/>
      <c r="IXB5" s="244"/>
      <c r="IXO5" s="244"/>
      <c r="IYB5" s="244"/>
      <c r="IYO5" s="244"/>
      <c r="IZB5" s="244"/>
      <c r="IZO5" s="244"/>
      <c r="JAB5" s="244"/>
      <c r="JAO5" s="244"/>
      <c r="JBB5" s="244"/>
      <c r="JBO5" s="244"/>
      <c r="JCB5" s="244"/>
      <c r="JCO5" s="244"/>
      <c r="JDB5" s="244"/>
      <c r="JDO5" s="244"/>
      <c r="JEB5" s="244"/>
      <c r="JEO5" s="244"/>
      <c r="JFB5" s="244"/>
      <c r="JFO5" s="244"/>
      <c r="JGB5" s="244"/>
      <c r="JGO5" s="244"/>
      <c r="JHB5" s="244"/>
      <c r="JHO5" s="244"/>
      <c r="JIB5" s="244"/>
      <c r="JIO5" s="244"/>
      <c r="JJB5" s="244"/>
      <c r="JJO5" s="244"/>
      <c r="JKB5" s="244"/>
      <c r="JKO5" s="244"/>
      <c r="JLB5" s="244"/>
      <c r="JLO5" s="244"/>
      <c r="JMB5" s="244"/>
      <c r="JMO5" s="244"/>
      <c r="JNB5" s="244"/>
      <c r="JNO5" s="244"/>
      <c r="JOB5" s="244"/>
      <c r="JOO5" s="244"/>
      <c r="JPB5" s="244"/>
      <c r="JPO5" s="244"/>
      <c r="JQB5" s="244"/>
      <c r="JQO5" s="244"/>
      <c r="JRB5" s="244"/>
      <c r="JRO5" s="244"/>
      <c r="JSB5" s="244"/>
      <c r="JSO5" s="244"/>
      <c r="JTB5" s="244"/>
      <c r="JTO5" s="244"/>
      <c r="JUB5" s="244"/>
      <c r="JUO5" s="244"/>
      <c r="JVB5" s="244"/>
      <c r="JVO5" s="244"/>
      <c r="JWB5" s="244"/>
      <c r="JWO5" s="244"/>
      <c r="JXB5" s="244"/>
      <c r="JXO5" s="244"/>
      <c r="JYB5" s="244"/>
      <c r="JYO5" s="244"/>
      <c r="JZB5" s="244"/>
      <c r="JZO5" s="244"/>
      <c r="KAB5" s="244"/>
      <c r="KAO5" s="244"/>
      <c r="KBB5" s="244"/>
      <c r="KBO5" s="244"/>
      <c r="KCB5" s="244"/>
      <c r="KCO5" s="244"/>
      <c r="KDB5" s="244"/>
      <c r="KDO5" s="244"/>
      <c r="KEB5" s="244"/>
      <c r="KEO5" s="244"/>
      <c r="KFB5" s="244"/>
      <c r="KFO5" s="244"/>
      <c r="KGB5" s="244"/>
      <c r="KGO5" s="244"/>
      <c r="KHB5" s="244"/>
      <c r="KHO5" s="244"/>
      <c r="KIB5" s="244"/>
      <c r="KIO5" s="244"/>
      <c r="KJB5" s="244"/>
      <c r="KJO5" s="244"/>
      <c r="KKB5" s="244"/>
      <c r="KKO5" s="244"/>
      <c r="KLB5" s="244"/>
      <c r="KLO5" s="244"/>
      <c r="KMB5" s="244"/>
      <c r="KMO5" s="244"/>
      <c r="KNB5" s="244"/>
      <c r="KNO5" s="244"/>
      <c r="KOB5" s="244"/>
      <c r="KOO5" s="244"/>
      <c r="KPB5" s="244"/>
      <c r="KPO5" s="244"/>
      <c r="KQB5" s="244"/>
      <c r="KQO5" s="244"/>
      <c r="KRB5" s="244"/>
      <c r="KRO5" s="244"/>
      <c r="KSB5" s="244"/>
      <c r="KSO5" s="244"/>
      <c r="KTB5" s="244"/>
      <c r="KTO5" s="244"/>
      <c r="KUB5" s="244"/>
      <c r="KUO5" s="244"/>
      <c r="KVB5" s="244"/>
      <c r="KVO5" s="244"/>
      <c r="KWB5" s="244"/>
      <c r="KWO5" s="244"/>
      <c r="KXB5" s="244"/>
      <c r="KXO5" s="244"/>
      <c r="KYB5" s="244"/>
      <c r="KYO5" s="244"/>
      <c r="KZB5" s="244"/>
      <c r="KZO5" s="244"/>
      <c r="LAB5" s="244"/>
      <c r="LAO5" s="244"/>
      <c r="LBB5" s="244"/>
      <c r="LBO5" s="244"/>
      <c r="LCB5" s="244"/>
      <c r="LCO5" s="244"/>
      <c r="LDB5" s="244"/>
      <c r="LDO5" s="244"/>
      <c r="LEB5" s="244"/>
      <c r="LEO5" s="244"/>
      <c r="LFB5" s="244"/>
      <c r="LFO5" s="244"/>
      <c r="LGB5" s="244"/>
      <c r="LGO5" s="244"/>
      <c r="LHB5" s="244"/>
      <c r="LHO5" s="244"/>
      <c r="LIB5" s="244"/>
      <c r="LIO5" s="244"/>
      <c r="LJB5" s="244"/>
      <c r="LJO5" s="244"/>
      <c r="LKB5" s="244"/>
      <c r="LKO5" s="244"/>
      <c r="LLB5" s="244"/>
      <c r="LLO5" s="244"/>
      <c r="LMB5" s="244"/>
      <c r="LMO5" s="244"/>
      <c r="LNB5" s="244"/>
      <c r="LNO5" s="244"/>
      <c r="LOB5" s="244"/>
      <c r="LOO5" s="244"/>
      <c r="LPB5" s="244"/>
      <c r="LPO5" s="244"/>
      <c r="LQB5" s="244"/>
      <c r="LQO5" s="244"/>
      <c r="LRB5" s="244"/>
      <c r="LRO5" s="244"/>
      <c r="LSB5" s="244"/>
      <c r="LSO5" s="244"/>
      <c r="LTB5" s="244"/>
      <c r="LTO5" s="244"/>
      <c r="LUB5" s="244"/>
      <c r="LUO5" s="244"/>
      <c r="LVB5" s="244"/>
      <c r="LVO5" s="244"/>
      <c r="LWB5" s="244"/>
      <c r="LWO5" s="244"/>
      <c r="LXB5" s="244"/>
      <c r="LXO5" s="244"/>
      <c r="LYB5" s="244"/>
      <c r="LYO5" s="244"/>
      <c r="LZB5" s="244"/>
      <c r="LZO5" s="244"/>
      <c r="MAB5" s="244"/>
      <c r="MAO5" s="244"/>
      <c r="MBB5" s="244"/>
      <c r="MBO5" s="244"/>
      <c r="MCB5" s="244"/>
      <c r="MCO5" s="244"/>
      <c r="MDB5" s="244"/>
      <c r="MDO5" s="244"/>
      <c r="MEB5" s="244"/>
      <c r="MEO5" s="244"/>
      <c r="MFB5" s="244"/>
      <c r="MFO5" s="244"/>
      <c r="MGB5" s="244"/>
      <c r="MGO5" s="244"/>
      <c r="MHB5" s="244"/>
      <c r="MHO5" s="244"/>
      <c r="MIB5" s="244"/>
      <c r="MIO5" s="244"/>
      <c r="MJB5" s="244"/>
      <c r="MJO5" s="244"/>
      <c r="MKB5" s="244"/>
      <c r="MKO5" s="244"/>
      <c r="MLB5" s="244"/>
      <c r="MLO5" s="244"/>
      <c r="MMB5" s="244"/>
      <c r="MMO5" s="244"/>
      <c r="MNB5" s="244"/>
      <c r="MNO5" s="244"/>
      <c r="MOB5" s="244"/>
      <c r="MOO5" s="244"/>
      <c r="MPB5" s="244"/>
      <c r="MPO5" s="244"/>
      <c r="MQB5" s="244"/>
      <c r="MQO5" s="244"/>
      <c r="MRB5" s="244"/>
      <c r="MRO5" s="244"/>
      <c r="MSB5" s="244"/>
      <c r="MSO5" s="244"/>
      <c r="MTB5" s="244"/>
      <c r="MTO5" s="244"/>
      <c r="MUB5" s="244"/>
      <c r="MUO5" s="244"/>
      <c r="MVB5" s="244"/>
      <c r="MVO5" s="244"/>
      <c r="MWB5" s="244"/>
      <c r="MWO5" s="244"/>
      <c r="MXB5" s="244"/>
      <c r="MXO5" s="244"/>
      <c r="MYB5" s="244"/>
      <c r="MYO5" s="244"/>
      <c r="MZB5" s="244"/>
      <c r="MZO5" s="244"/>
      <c r="NAB5" s="244"/>
      <c r="NAO5" s="244"/>
      <c r="NBB5" s="244"/>
      <c r="NBO5" s="244"/>
      <c r="NCB5" s="244"/>
      <c r="NCO5" s="244"/>
      <c r="NDB5" s="244"/>
      <c r="NDO5" s="244"/>
      <c r="NEB5" s="244"/>
      <c r="NEO5" s="244"/>
      <c r="NFB5" s="244"/>
      <c r="NFO5" s="244"/>
      <c r="NGB5" s="244"/>
      <c r="NGO5" s="244"/>
      <c r="NHB5" s="244"/>
      <c r="NHO5" s="244"/>
      <c r="NIB5" s="244"/>
      <c r="NIO5" s="244"/>
      <c r="NJB5" s="244"/>
      <c r="NJO5" s="244"/>
      <c r="NKB5" s="244"/>
      <c r="NKO5" s="244"/>
      <c r="NLB5" s="244"/>
      <c r="NLO5" s="244"/>
      <c r="NMB5" s="244"/>
      <c r="NMO5" s="244"/>
      <c r="NNB5" s="244"/>
      <c r="NNO5" s="244"/>
      <c r="NOB5" s="244"/>
      <c r="NOO5" s="244"/>
      <c r="NPB5" s="244"/>
      <c r="NPO5" s="244"/>
      <c r="NQB5" s="244"/>
      <c r="NQO5" s="244"/>
      <c r="NRB5" s="244"/>
      <c r="NRO5" s="244"/>
      <c r="NSB5" s="244"/>
      <c r="NSO5" s="244"/>
      <c r="NTB5" s="244"/>
      <c r="NTO5" s="244"/>
      <c r="NUB5" s="244"/>
      <c r="NUO5" s="244"/>
      <c r="NVB5" s="244"/>
      <c r="NVO5" s="244"/>
      <c r="NWB5" s="244"/>
      <c r="NWO5" s="244"/>
      <c r="NXB5" s="244"/>
      <c r="NXO5" s="244"/>
      <c r="NYB5" s="244"/>
      <c r="NYO5" s="244"/>
      <c r="NZB5" s="244"/>
      <c r="NZO5" s="244"/>
      <c r="OAB5" s="244"/>
      <c r="OAO5" s="244"/>
      <c r="OBB5" s="244"/>
      <c r="OBO5" s="244"/>
      <c r="OCB5" s="244"/>
      <c r="OCO5" s="244"/>
      <c r="ODB5" s="244"/>
      <c r="ODO5" s="244"/>
      <c r="OEB5" s="244"/>
      <c r="OEO5" s="244"/>
      <c r="OFB5" s="244"/>
      <c r="OFO5" s="244"/>
      <c r="OGB5" s="244"/>
      <c r="OGO5" s="244"/>
      <c r="OHB5" s="244"/>
      <c r="OHO5" s="244"/>
      <c r="OIB5" s="244"/>
      <c r="OIO5" s="244"/>
      <c r="OJB5" s="244"/>
      <c r="OJO5" s="244"/>
      <c r="OKB5" s="244"/>
      <c r="OKO5" s="244"/>
      <c r="OLB5" s="244"/>
      <c r="OLO5" s="244"/>
      <c r="OMB5" s="244"/>
      <c r="OMO5" s="244"/>
      <c r="ONB5" s="244"/>
      <c r="ONO5" s="244"/>
      <c r="OOB5" s="244"/>
      <c r="OOO5" s="244"/>
      <c r="OPB5" s="244"/>
      <c r="OPO5" s="244"/>
      <c r="OQB5" s="244"/>
      <c r="OQO5" s="244"/>
      <c r="ORB5" s="244"/>
      <c r="ORO5" s="244"/>
      <c r="OSB5" s="244"/>
      <c r="OSO5" s="244"/>
      <c r="OTB5" s="244"/>
      <c r="OTO5" s="244"/>
      <c r="OUB5" s="244"/>
      <c r="OUO5" s="244"/>
      <c r="OVB5" s="244"/>
      <c r="OVO5" s="244"/>
      <c r="OWB5" s="244"/>
      <c r="OWO5" s="244"/>
      <c r="OXB5" s="244"/>
      <c r="OXO5" s="244"/>
      <c r="OYB5" s="244"/>
      <c r="OYO5" s="244"/>
      <c r="OZB5" s="244"/>
      <c r="OZO5" s="244"/>
      <c r="PAB5" s="244"/>
      <c r="PAO5" s="244"/>
      <c r="PBB5" s="244"/>
      <c r="PBO5" s="244"/>
      <c r="PCB5" s="244"/>
      <c r="PCO5" s="244"/>
      <c r="PDB5" s="244"/>
      <c r="PDO5" s="244"/>
      <c r="PEB5" s="244"/>
      <c r="PEO5" s="244"/>
      <c r="PFB5" s="244"/>
      <c r="PFO5" s="244"/>
      <c r="PGB5" s="244"/>
      <c r="PGO5" s="244"/>
      <c r="PHB5" s="244"/>
      <c r="PHO5" s="244"/>
      <c r="PIB5" s="244"/>
      <c r="PIO5" s="244"/>
      <c r="PJB5" s="244"/>
      <c r="PJO5" s="244"/>
      <c r="PKB5" s="244"/>
      <c r="PKO5" s="244"/>
      <c r="PLB5" s="244"/>
      <c r="PLO5" s="244"/>
      <c r="PMB5" s="244"/>
      <c r="PMO5" s="244"/>
      <c r="PNB5" s="244"/>
      <c r="PNO5" s="244"/>
      <c r="POB5" s="244"/>
      <c r="POO5" s="244"/>
      <c r="PPB5" s="244"/>
      <c r="PPO5" s="244"/>
      <c r="PQB5" s="244"/>
      <c r="PQO5" s="244"/>
      <c r="PRB5" s="244"/>
      <c r="PRO5" s="244"/>
      <c r="PSB5" s="244"/>
      <c r="PSO5" s="244"/>
      <c r="PTB5" s="244"/>
      <c r="PTO5" s="244"/>
      <c r="PUB5" s="244"/>
      <c r="PUO5" s="244"/>
      <c r="PVB5" s="244"/>
      <c r="PVO5" s="244"/>
      <c r="PWB5" s="244"/>
      <c r="PWO5" s="244"/>
      <c r="PXB5" s="244"/>
      <c r="PXO5" s="244"/>
      <c r="PYB5" s="244"/>
      <c r="PYO5" s="244"/>
      <c r="PZB5" s="244"/>
      <c r="PZO5" s="244"/>
      <c r="QAB5" s="244"/>
      <c r="QAO5" s="244"/>
      <c r="QBB5" s="244"/>
      <c r="QBO5" s="244"/>
      <c r="QCB5" s="244"/>
      <c r="QCO5" s="244"/>
      <c r="QDB5" s="244"/>
      <c r="QDO5" s="244"/>
      <c r="QEB5" s="244"/>
      <c r="QEO5" s="244"/>
      <c r="QFB5" s="244"/>
      <c r="QFO5" s="244"/>
      <c r="QGB5" s="244"/>
      <c r="QGO5" s="244"/>
      <c r="QHB5" s="244"/>
      <c r="QHO5" s="244"/>
      <c r="QIB5" s="244"/>
      <c r="QIO5" s="244"/>
      <c r="QJB5" s="244"/>
      <c r="QJO5" s="244"/>
      <c r="QKB5" s="244"/>
      <c r="QKO5" s="244"/>
      <c r="QLB5" s="244"/>
      <c r="QLO5" s="244"/>
      <c r="QMB5" s="244"/>
      <c r="QMO5" s="244"/>
      <c r="QNB5" s="244"/>
      <c r="QNO5" s="244"/>
      <c r="QOB5" s="244"/>
      <c r="QOO5" s="244"/>
      <c r="QPB5" s="244"/>
      <c r="QPO5" s="244"/>
      <c r="QQB5" s="244"/>
      <c r="QQO5" s="244"/>
      <c r="QRB5" s="244"/>
      <c r="QRO5" s="244"/>
      <c r="QSB5" s="244"/>
      <c r="QSO5" s="244"/>
      <c r="QTB5" s="244"/>
      <c r="QTO5" s="244"/>
      <c r="QUB5" s="244"/>
      <c r="QUO5" s="244"/>
      <c r="QVB5" s="244"/>
      <c r="QVO5" s="244"/>
      <c r="QWB5" s="244"/>
      <c r="QWO5" s="244"/>
      <c r="QXB5" s="244"/>
      <c r="QXO5" s="244"/>
      <c r="QYB5" s="244"/>
      <c r="QYO5" s="244"/>
      <c r="QZB5" s="244"/>
      <c r="QZO5" s="244"/>
      <c r="RAB5" s="244"/>
      <c r="RAO5" s="244"/>
      <c r="RBB5" s="244"/>
      <c r="RBO5" s="244"/>
      <c r="RCB5" s="244"/>
      <c r="RCO5" s="244"/>
      <c r="RDB5" s="244"/>
      <c r="RDO5" s="244"/>
      <c r="REB5" s="244"/>
      <c r="REO5" s="244"/>
      <c r="RFB5" s="244"/>
      <c r="RFO5" s="244"/>
      <c r="RGB5" s="244"/>
      <c r="RGO5" s="244"/>
      <c r="RHB5" s="244"/>
      <c r="RHO5" s="244"/>
      <c r="RIB5" s="244"/>
      <c r="RIO5" s="244"/>
      <c r="RJB5" s="244"/>
      <c r="RJO5" s="244"/>
      <c r="RKB5" s="244"/>
      <c r="RKO5" s="244"/>
      <c r="RLB5" s="244"/>
      <c r="RLO5" s="244"/>
      <c r="RMB5" s="244"/>
      <c r="RMO5" s="244"/>
      <c r="RNB5" s="244"/>
      <c r="RNO5" s="244"/>
      <c r="ROB5" s="244"/>
      <c r="ROO5" s="244"/>
      <c r="RPB5" s="244"/>
      <c r="RPO5" s="244"/>
      <c r="RQB5" s="244"/>
      <c r="RQO5" s="244"/>
      <c r="RRB5" s="244"/>
      <c r="RRO5" s="244"/>
      <c r="RSB5" s="244"/>
      <c r="RSO5" s="244"/>
      <c r="RTB5" s="244"/>
      <c r="RTO5" s="244"/>
      <c r="RUB5" s="244"/>
      <c r="RUO5" s="244"/>
      <c r="RVB5" s="244"/>
      <c r="RVO5" s="244"/>
      <c r="RWB5" s="244"/>
      <c r="RWO5" s="244"/>
      <c r="RXB5" s="244"/>
      <c r="RXO5" s="244"/>
      <c r="RYB5" s="244"/>
      <c r="RYO5" s="244"/>
      <c r="RZB5" s="244"/>
      <c r="RZO5" s="244"/>
      <c r="SAB5" s="244"/>
      <c r="SAO5" s="244"/>
      <c r="SBB5" s="244"/>
      <c r="SBO5" s="244"/>
      <c r="SCB5" s="244"/>
      <c r="SCO5" s="244"/>
      <c r="SDB5" s="244"/>
      <c r="SDO5" s="244"/>
      <c r="SEB5" s="244"/>
      <c r="SEO5" s="244"/>
      <c r="SFB5" s="244"/>
      <c r="SFO5" s="244"/>
      <c r="SGB5" s="244"/>
      <c r="SGO5" s="244"/>
      <c r="SHB5" s="244"/>
      <c r="SHO5" s="244"/>
      <c r="SIB5" s="244"/>
      <c r="SIO5" s="244"/>
      <c r="SJB5" s="244"/>
      <c r="SJO5" s="244"/>
      <c r="SKB5" s="244"/>
      <c r="SKO5" s="244"/>
      <c r="SLB5" s="244"/>
      <c r="SLO5" s="244"/>
      <c r="SMB5" s="244"/>
      <c r="SMO5" s="244"/>
      <c r="SNB5" s="244"/>
      <c r="SNO5" s="244"/>
      <c r="SOB5" s="244"/>
      <c r="SOO5" s="244"/>
      <c r="SPB5" s="244"/>
      <c r="SPO5" s="244"/>
      <c r="SQB5" s="244"/>
      <c r="SQO5" s="244"/>
      <c r="SRB5" s="244"/>
      <c r="SRO5" s="244"/>
      <c r="SSB5" s="244"/>
      <c r="SSO5" s="244"/>
      <c r="STB5" s="244"/>
      <c r="STO5" s="244"/>
      <c r="SUB5" s="244"/>
      <c r="SUO5" s="244"/>
      <c r="SVB5" s="244"/>
      <c r="SVO5" s="244"/>
      <c r="SWB5" s="244"/>
      <c r="SWO5" s="244"/>
      <c r="SXB5" s="244"/>
      <c r="SXO5" s="244"/>
      <c r="SYB5" s="244"/>
      <c r="SYO5" s="244"/>
      <c r="SZB5" s="244"/>
      <c r="SZO5" s="244"/>
      <c r="TAB5" s="244"/>
      <c r="TAO5" s="244"/>
      <c r="TBB5" s="244"/>
      <c r="TBO5" s="244"/>
      <c r="TCB5" s="244"/>
      <c r="TCO5" s="244"/>
      <c r="TDB5" s="244"/>
      <c r="TDO5" s="244"/>
      <c r="TEB5" s="244"/>
      <c r="TEO5" s="244"/>
      <c r="TFB5" s="244"/>
      <c r="TFO5" s="244"/>
      <c r="TGB5" s="244"/>
      <c r="TGO5" s="244"/>
      <c r="THB5" s="244"/>
      <c r="THO5" s="244"/>
      <c r="TIB5" s="244"/>
      <c r="TIO5" s="244"/>
      <c r="TJB5" s="244"/>
      <c r="TJO5" s="244"/>
      <c r="TKB5" s="244"/>
      <c r="TKO5" s="244"/>
      <c r="TLB5" s="244"/>
      <c r="TLO5" s="244"/>
      <c r="TMB5" s="244"/>
      <c r="TMO5" s="244"/>
      <c r="TNB5" s="244"/>
      <c r="TNO5" s="244"/>
      <c r="TOB5" s="244"/>
      <c r="TOO5" s="244"/>
      <c r="TPB5" s="244"/>
      <c r="TPO5" s="244"/>
      <c r="TQB5" s="244"/>
      <c r="TQO5" s="244"/>
      <c r="TRB5" s="244"/>
      <c r="TRO5" s="244"/>
      <c r="TSB5" s="244"/>
      <c r="TSO5" s="244"/>
      <c r="TTB5" s="244"/>
      <c r="TTO5" s="244"/>
      <c r="TUB5" s="244"/>
      <c r="TUO5" s="244"/>
      <c r="TVB5" s="244"/>
      <c r="TVO5" s="244"/>
      <c r="TWB5" s="244"/>
      <c r="TWO5" s="244"/>
      <c r="TXB5" s="244"/>
      <c r="TXO5" s="244"/>
      <c r="TYB5" s="244"/>
      <c r="TYO5" s="244"/>
      <c r="TZB5" s="244"/>
      <c r="TZO5" s="244"/>
      <c r="UAB5" s="244"/>
      <c r="UAO5" s="244"/>
      <c r="UBB5" s="244"/>
      <c r="UBO5" s="244"/>
      <c r="UCB5" s="244"/>
      <c r="UCO5" s="244"/>
      <c r="UDB5" s="244"/>
      <c r="UDO5" s="244"/>
      <c r="UEB5" s="244"/>
      <c r="UEO5" s="244"/>
      <c r="UFB5" s="244"/>
      <c r="UFO5" s="244"/>
      <c r="UGB5" s="244"/>
      <c r="UGO5" s="244"/>
      <c r="UHB5" s="244"/>
      <c r="UHO5" s="244"/>
      <c r="UIB5" s="244"/>
      <c r="UIO5" s="244"/>
      <c r="UJB5" s="244"/>
      <c r="UJO5" s="244"/>
      <c r="UKB5" s="244"/>
      <c r="UKO5" s="244"/>
      <c r="ULB5" s="244"/>
      <c r="ULO5" s="244"/>
      <c r="UMB5" s="244"/>
      <c r="UMO5" s="244"/>
      <c r="UNB5" s="244"/>
      <c r="UNO5" s="244"/>
      <c r="UOB5" s="244"/>
      <c r="UOO5" s="244"/>
      <c r="UPB5" s="244"/>
      <c r="UPO5" s="244"/>
      <c r="UQB5" s="244"/>
      <c r="UQO5" s="244"/>
      <c r="URB5" s="244"/>
      <c r="URO5" s="244"/>
      <c r="USB5" s="244"/>
      <c r="USO5" s="244"/>
      <c r="UTB5" s="244"/>
      <c r="UTO5" s="244"/>
      <c r="UUB5" s="244"/>
      <c r="UUO5" s="244"/>
      <c r="UVB5" s="244"/>
      <c r="UVO5" s="244"/>
      <c r="UWB5" s="244"/>
      <c r="UWO5" s="244"/>
      <c r="UXB5" s="244"/>
      <c r="UXO5" s="244"/>
      <c r="UYB5" s="244"/>
      <c r="UYO5" s="244"/>
      <c r="UZB5" s="244"/>
      <c r="UZO5" s="244"/>
      <c r="VAB5" s="244"/>
      <c r="VAO5" s="244"/>
      <c r="VBB5" s="244"/>
      <c r="VBO5" s="244"/>
      <c r="VCB5" s="244"/>
      <c r="VCO5" s="244"/>
      <c r="VDB5" s="244"/>
      <c r="VDO5" s="244"/>
      <c r="VEB5" s="244"/>
      <c r="VEO5" s="244"/>
      <c r="VFB5" s="244"/>
      <c r="VFO5" s="244"/>
      <c r="VGB5" s="244"/>
      <c r="VGO5" s="244"/>
      <c r="VHB5" s="244"/>
      <c r="VHO5" s="244"/>
      <c r="VIB5" s="244"/>
      <c r="VIO5" s="244"/>
      <c r="VJB5" s="244"/>
      <c r="VJO5" s="244"/>
      <c r="VKB5" s="244"/>
      <c r="VKO5" s="244"/>
      <c r="VLB5" s="244"/>
      <c r="VLO5" s="244"/>
      <c r="VMB5" s="244"/>
      <c r="VMO5" s="244"/>
      <c r="VNB5" s="244"/>
      <c r="VNO5" s="244"/>
      <c r="VOB5" s="244"/>
      <c r="VOO5" s="244"/>
      <c r="VPB5" s="244"/>
      <c r="VPO5" s="244"/>
      <c r="VQB5" s="244"/>
      <c r="VQO5" s="244"/>
      <c r="VRB5" s="244"/>
      <c r="VRO5" s="244"/>
      <c r="VSB5" s="244"/>
      <c r="VSO5" s="244"/>
      <c r="VTB5" s="244"/>
      <c r="VTO5" s="244"/>
      <c r="VUB5" s="244"/>
      <c r="VUO5" s="244"/>
      <c r="VVB5" s="244"/>
      <c r="VVO5" s="244"/>
      <c r="VWB5" s="244"/>
      <c r="VWO5" s="244"/>
      <c r="VXB5" s="244"/>
      <c r="VXO5" s="244"/>
      <c r="VYB5" s="244"/>
      <c r="VYO5" s="244"/>
      <c r="VZB5" s="244"/>
      <c r="VZO5" s="244"/>
      <c r="WAB5" s="244"/>
      <c r="WAO5" s="244"/>
      <c r="WBB5" s="244"/>
      <c r="WBO5" s="244"/>
      <c r="WCB5" s="244"/>
      <c r="WCO5" s="244"/>
      <c r="WDB5" s="244"/>
      <c r="WDO5" s="244"/>
      <c r="WEB5" s="244"/>
      <c r="WEO5" s="244"/>
      <c r="WFB5" s="244"/>
      <c r="WFO5" s="244"/>
      <c r="WGB5" s="244"/>
      <c r="WGO5" s="244"/>
      <c r="WHB5" s="244"/>
      <c r="WHO5" s="244"/>
      <c r="WIB5" s="244"/>
      <c r="WIO5" s="244"/>
      <c r="WJB5" s="244"/>
      <c r="WJO5" s="244"/>
      <c r="WKB5" s="244"/>
      <c r="WKO5" s="244"/>
      <c r="WLB5" s="244"/>
      <c r="WLO5" s="244"/>
      <c r="WMB5" s="244"/>
      <c r="WMO5" s="244"/>
      <c r="WNB5" s="244"/>
      <c r="WNO5" s="244"/>
      <c r="WOB5" s="244"/>
      <c r="WOO5" s="244"/>
      <c r="WPB5" s="244"/>
      <c r="WPO5" s="244"/>
      <c r="WQB5" s="244"/>
      <c r="WQO5" s="244"/>
      <c r="WRB5" s="244"/>
      <c r="WRO5" s="244"/>
      <c r="WSB5" s="244"/>
      <c r="WSO5" s="244"/>
      <c r="WTB5" s="244"/>
      <c r="WTO5" s="244"/>
      <c r="WUB5" s="244"/>
      <c r="WUO5" s="244"/>
      <c r="WVB5" s="244"/>
      <c r="WVO5" s="244"/>
      <c r="WWB5" s="244"/>
      <c r="WWO5" s="244"/>
      <c r="WXB5" s="244"/>
      <c r="WXO5" s="244"/>
      <c r="WYB5" s="244"/>
      <c r="WYO5" s="244"/>
      <c r="WZB5" s="244"/>
      <c r="WZO5" s="244"/>
      <c r="XAB5" s="244"/>
      <c r="XAO5" s="244"/>
      <c r="XBB5" s="244"/>
      <c r="XBO5" s="244"/>
      <c r="XCB5" s="244"/>
      <c r="XCO5" s="244"/>
      <c r="XDB5" s="244"/>
      <c r="XDO5" s="244"/>
      <c r="XEB5" s="244"/>
      <c r="XEO5" s="244"/>
      <c r="XFB5" s="244"/>
    </row>
    <row r="6" spans="1:1016 1029:2043 2056:3070 3083:4084 4097:5111 5124:6138 6151:7165 7178:8192 8205:9206 9219:10233 10246:11260 11273:12287 12300:13301 13314:14328 14341:15355 15368:16382" s="188" customFormat="1" ht="13" customHeight="1">
      <c r="A6" s="255"/>
      <c r="B6" s="16" t="str">
        <f>IF('Summary | Sumário'!D$6=Names!B$3,Names!M4,Names!N4)</f>
        <v>Income from securities and derivatives and foreing exchange</v>
      </c>
      <c r="C6" s="246">
        <v>72729</v>
      </c>
      <c r="D6" s="246">
        <v>-25040</v>
      </c>
      <c r="E6" s="246">
        <v>721949.66599999997</v>
      </c>
      <c r="F6" s="246">
        <v>1605401.1030000001</v>
      </c>
      <c r="G6" s="246">
        <v>1634543</v>
      </c>
      <c r="H6" s="246">
        <v>2629169.8134021345</v>
      </c>
      <c r="I6" s="246"/>
      <c r="J6" s="246">
        <v>74012.403999999995</v>
      </c>
      <c r="K6" s="246">
        <v>89585.596000000005</v>
      </c>
      <c r="L6" s="246">
        <v>224342</v>
      </c>
      <c r="M6" s="246">
        <v>334009.66600000003</v>
      </c>
      <c r="N6" s="246">
        <v>376055.38300000003</v>
      </c>
      <c r="O6" s="246">
        <v>429378.674</v>
      </c>
      <c r="P6" s="246">
        <v>378059.73599999998</v>
      </c>
      <c r="Q6" s="246">
        <v>421907.31</v>
      </c>
      <c r="R6" s="246">
        <v>386325.30200000003</v>
      </c>
      <c r="S6" s="246">
        <v>369367</v>
      </c>
      <c r="T6" s="246">
        <v>508679.01922000002</v>
      </c>
      <c r="U6" s="246">
        <v>370171.67877999996</v>
      </c>
      <c r="V6" s="246">
        <v>537136.61082000006</v>
      </c>
      <c r="W6" s="246">
        <v>642093.19580384996</v>
      </c>
      <c r="X6" s="246">
        <v>587740.70944000012</v>
      </c>
      <c r="Y6" s="246">
        <v>862199.29693614994</v>
      </c>
      <c r="Z6" s="246"/>
      <c r="AA6" s="409">
        <f t="shared" si="0"/>
        <v>0.46697222616696776</v>
      </c>
      <c r="AB6" s="409">
        <f t="shared" si="1"/>
        <v>1.3291876347152192</v>
      </c>
    </row>
    <row r="7" spans="1:1016 1029:2043 2056:3070 3083:4084 4097:5111 5124:6138 6151:7165 7178:8192 8205:9206 9219:10233 10246:11260 11273:12287 12300:13301 13314:14328 14341:15355 15368:16382" s="182" customFormat="1" ht="13" customHeight="1">
      <c r="A7" s="269"/>
      <c r="B7" s="336" t="str">
        <f>IF('Summary | Sumário'!D$6=Names!B$3,Names!M5,Names!N5)</f>
        <v>Net interest income and income from securities, derivatives and foreing exchange</v>
      </c>
      <c r="C7" s="337">
        <v>591527</v>
      </c>
      <c r="D7" s="337">
        <v>733280.89517999999</v>
      </c>
      <c r="E7" s="337">
        <v>1614135.9119999998</v>
      </c>
      <c r="F7" s="337">
        <v>2435209.1849999996</v>
      </c>
      <c r="G7" s="337">
        <v>3296797</v>
      </c>
      <c r="H7" s="337">
        <v>4456744.3939420003</v>
      </c>
      <c r="I7" s="258"/>
      <c r="J7" s="337">
        <v>297457.33899999998</v>
      </c>
      <c r="K7" s="337">
        <v>308984.34700000007</v>
      </c>
      <c r="L7" s="337">
        <v>453160.88</v>
      </c>
      <c r="M7" s="337">
        <v>554532.34600000002</v>
      </c>
      <c r="N7" s="337">
        <v>560444.0149999999</v>
      </c>
      <c r="O7" s="337">
        <v>586650.3110000001</v>
      </c>
      <c r="P7" s="337">
        <v>586724.46699999995</v>
      </c>
      <c r="Q7" s="337">
        <v>701390.39199999999</v>
      </c>
      <c r="R7" s="337">
        <v>726481.12400000007</v>
      </c>
      <c r="S7" s="337">
        <v>828266</v>
      </c>
      <c r="T7" s="337">
        <v>845216.10796000005</v>
      </c>
      <c r="U7" s="337">
        <v>896833.76303999987</v>
      </c>
      <c r="V7" s="337">
        <v>992420.72051999974</v>
      </c>
      <c r="W7" s="337">
        <v>1041865.7258038499</v>
      </c>
      <c r="X7" s="337">
        <v>1164350.1315736333</v>
      </c>
      <c r="Y7" s="337">
        <v>1258107.8160445173</v>
      </c>
      <c r="Z7" s="258"/>
      <c r="AA7" s="387">
        <f>Y7/X7-1</f>
        <v>8.0523617362562083E-2</v>
      </c>
      <c r="AB7" s="387">
        <f>Y7/U7-1</f>
        <v>0.40283279677150619</v>
      </c>
    </row>
    <row r="8" spans="1:1016 1029:2043 2056:3070 3083:4084 4097:5111 5124:6138 6151:7165 7178:8192 8205:9206 9219:10233 10246:11260 11273:12287 12300:13301 13314:14328 14341:15355 15368:16382" ht="13" customHeight="1">
      <c r="C8" s="134"/>
      <c r="D8" s="134"/>
      <c r="E8" s="134"/>
      <c r="F8" s="134"/>
      <c r="G8" s="134"/>
      <c r="H8" s="134"/>
      <c r="I8" s="134"/>
      <c r="J8" s="134"/>
      <c r="K8" s="134"/>
      <c r="L8" s="134"/>
      <c r="M8" s="134"/>
      <c r="N8" s="134"/>
      <c r="O8" s="134"/>
      <c r="P8" s="134"/>
      <c r="Q8" s="134"/>
      <c r="R8" s="134"/>
      <c r="S8" s="134"/>
      <c r="T8" s="134"/>
      <c r="U8" s="134"/>
      <c r="V8" s="134"/>
      <c r="W8" s="134"/>
      <c r="X8" s="134"/>
      <c r="Y8" s="134"/>
      <c r="Z8" s="134"/>
      <c r="AA8" s="241"/>
      <c r="AB8" s="241"/>
    </row>
    <row r="9" spans="1:1016 1029:2043 2056:3070 3083:4084 4097:5111 5124:6138 6151:7165 7178:8192 8205:9206 9219:10233 10246:11260 11273:12287 12300:13301 13314:14328 14341:15355 15368:16382" s="243" customFormat="1" ht="13" customHeight="1">
      <c r="A9" s="242"/>
      <c r="B9" s="22" t="str">
        <f>IF('Summary | Sumário'!D$6=Names!B$3,Names!M6,Names!N6)</f>
        <v xml:space="preserve">Revenues from services and commissions </v>
      </c>
      <c r="C9" s="268">
        <v>130457</v>
      </c>
      <c r="D9" s="268">
        <v>257145</v>
      </c>
      <c r="E9" s="268">
        <v>542569</v>
      </c>
      <c r="F9" s="268">
        <v>968039</v>
      </c>
      <c r="G9" s="268">
        <v>1304382</v>
      </c>
      <c r="H9" s="268">
        <v>1753280.4850000001</v>
      </c>
      <c r="I9" s="206"/>
      <c r="J9" s="268">
        <v>100965</v>
      </c>
      <c r="K9" s="268">
        <v>110911</v>
      </c>
      <c r="L9" s="268">
        <v>149283</v>
      </c>
      <c r="M9" s="268">
        <v>181410</v>
      </c>
      <c r="N9" s="268">
        <v>206219</v>
      </c>
      <c r="O9" s="268">
        <v>238515</v>
      </c>
      <c r="P9" s="268">
        <v>250433</v>
      </c>
      <c r="Q9" s="268">
        <v>272872</v>
      </c>
      <c r="R9" s="268">
        <v>282353</v>
      </c>
      <c r="S9" s="268">
        <v>298524</v>
      </c>
      <c r="T9" s="268">
        <v>347780</v>
      </c>
      <c r="U9" s="268">
        <v>375724.6</v>
      </c>
      <c r="V9" s="268">
        <v>374339.16833017452</v>
      </c>
      <c r="W9" s="268">
        <v>397142.87599999999</v>
      </c>
      <c r="X9" s="268">
        <v>467667</v>
      </c>
      <c r="Y9" s="268">
        <v>514131.44066982553</v>
      </c>
      <c r="Z9" s="215"/>
      <c r="AA9" s="410">
        <f>Y9/X9-1</f>
        <v>9.935368685373458E-2</v>
      </c>
      <c r="AB9" s="410">
        <f>Y9/U9-1</f>
        <v>0.36837311336501677</v>
      </c>
      <c r="AC9" s="133"/>
      <c r="AO9" s="244"/>
      <c r="BB9" s="244"/>
      <c r="BO9" s="244"/>
      <c r="CB9" s="244"/>
      <c r="CO9" s="244"/>
      <c r="DB9" s="244"/>
      <c r="DO9" s="244"/>
      <c r="EB9" s="244"/>
      <c r="EO9" s="244"/>
      <c r="FB9" s="244"/>
      <c r="FO9" s="244"/>
      <c r="GB9" s="244"/>
      <c r="GO9" s="244"/>
      <c r="HB9" s="244"/>
      <c r="HO9" s="244"/>
      <c r="IB9" s="244"/>
      <c r="IO9" s="244"/>
      <c r="JB9" s="244"/>
      <c r="JO9" s="244"/>
      <c r="KB9" s="244"/>
      <c r="KO9" s="244"/>
      <c r="LB9" s="244"/>
      <c r="LO9" s="244"/>
      <c r="MB9" s="244"/>
      <c r="MO9" s="244"/>
      <c r="NB9" s="244"/>
      <c r="NO9" s="244"/>
      <c r="OB9" s="244"/>
      <c r="OO9" s="244"/>
      <c r="PB9" s="244"/>
      <c r="PO9" s="244"/>
      <c r="QB9" s="244"/>
      <c r="QO9" s="244"/>
      <c r="RB9" s="244"/>
      <c r="RO9" s="244"/>
      <c r="SB9" s="244"/>
      <c r="SO9" s="244"/>
      <c r="TB9" s="244"/>
      <c r="TO9" s="244"/>
      <c r="UB9" s="244"/>
      <c r="UO9" s="244"/>
      <c r="VB9" s="244"/>
      <c r="VO9" s="244"/>
      <c r="WB9" s="244"/>
      <c r="WO9" s="244"/>
      <c r="XB9" s="244"/>
      <c r="XO9" s="244"/>
      <c r="YB9" s="244"/>
      <c r="YO9" s="244"/>
      <c r="ZB9" s="244"/>
      <c r="ZO9" s="244"/>
      <c r="AAB9" s="244"/>
      <c r="AAO9" s="244"/>
      <c r="ABB9" s="244"/>
      <c r="ABO9" s="244"/>
      <c r="ACB9" s="244"/>
      <c r="ACO9" s="244"/>
      <c r="ADB9" s="244"/>
      <c r="ADO9" s="244"/>
      <c r="AEB9" s="244"/>
      <c r="AEO9" s="244"/>
      <c r="AFB9" s="244"/>
      <c r="AFO9" s="244"/>
      <c r="AGB9" s="244"/>
      <c r="AGO9" s="244"/>
      <c r="AHB9" s="244"/>
      <c r="AHO9" s="244"/>
      <c r="AIB9" s="244"/>
      <c r="AIO9" s="244"/>
      <c r="AJB9" s="244"/>
      <c r="AJO9" s="244"/>
      <c r="AKB9" s="244"/>
      <c r="AKO9" s="244"/>
      <c r="ALB9" s="244"/>
      <c r="ALO9" s="244"/>
      <c r="AMB9" s="244"/>
      <c r="AMO9" s="244"/>
      <c r="ANB9" s="244"/>
      <c r="ANO9" s="244"/>
      <c r="AOB9" s="244"/>
      <c r="AOO9" s="244"/>
      <c r="APB9" s="244"/>
      <c r="APO9" s="244"/>
      <c r="AQB9" s="244"/>
      <c r="AQO9" s="244"/>
      <c r="ARB9" s="244"/>
      <c r="ARO9" s="244"/>
      <c r="ASB9" s="244"/>
      <c r="ASO9" s="244"/>
      <c r="ATB9" s="244"/>
      <c r="ATO9" s="244"/>
      <c r="AUB9" s="244"/>
      <c r="AUO9" s="244"/>
      <c r="AVB9" s="244"/>
      <c r="AVO9" s="244"/>
      <c r="AWB9" s="244"/>
      <c r="AWO9" s="244"/>
      <c r="AXB9" s="244"/>
      <c r="AXO9" s="244"/>
      <c r="AYB9" s="244"/>
      <c r="AYO9" s="244"/>
      <c r="AZB9" s="244"/>
      <c r="AZO9" s="244"/>
      <c r="BAB9" s="244"/>
      <c r="BAO9" s="244"/>
      <c r="BBB9" s="244"/>
      <c r="BBO9" s="244"/>
      <c r="BCB9" s="244"/>
      <c r="BCO9" s="244"/>
      <c r="BDB9" s="244"/>
      <c r="BDO9" s="244"/>
      <c r="BEB9" s="244"/>
      <c r="BEO9" s="244"/>
      <c r="BFB9" s="244"/>
      <c r="BFO9" s="244"/>
      <c r="BGB9" s="244"/>
      <c r="BGO9" s="244"/>
      <c r="BHB9" s="244"/>
      <c r="BHO9" s="244"/>
      <c r="BIB9" s="244"/>
      <c r="BIO9" s="244"/>
      <c r="BJB9" s="244"/>
      <c r="BJO9" s="244"/>
      <c r="BKB9" s="244"/>
      <c r="BKO9" s="244"/>
      <c r="BLB9" s="244"/>
      <c r="BLO9" s="244"/>
      <c r="BMB9" s="244"/>
      <c r="BMO9" s="244"/>
      <c r="BNB9" s="244"/>
      <c r="BNO9" s="244"/>
      <c r="BOB9" s="244"/>
      <c r="BOO9" s="244"/>
      <c r="BPB9" s="244"/>
      <c r="BPO9" s="244"/>
      <c r="BQB9" s="244"/>
      <c r="BQO9" s="244"/>
      <c r="BRB9" s="244"/>
      <c r="BRO9" s="244"/>
      <c r="BSB9" s="244"/>
      <c r="BSO9" s="244"/>
      <c r="BTB9" s="244"/>
      <c r="BTO9" s="244"/>
      <c r="BUB9" s="244"/>
      <c r="BUO9" s="244"/>
      <c r="BVB9" s="244"/>
      <c r="BVO9" s="244"/>
      <c r="BWB9" s="244"/>
      <c r="BWO9" s="244"/>
      <c r="BXB9" s="244"/>
      <c r="BXO9" s="244"/>
      <c r="BYB9" s="244"/>
      <c r="BYO9" s="244"/>
      <c r="BZB9" s="244"/>
      <c r="BZO9" s="244"/>
      <c r="CAB9" s="244"/>
      <c r="CAO9" s="244"/>
      <c r="CBB9" s="244"/>
      <c r="CBO9" s="244"/>
      <c r="CCB9" s="244"/>
      <c r="CCO9" s="244"/>
      <c r="CDB9" s="244"/>
      <c r="CDO9" s="244"/>
      <c r="CEB9" s="244"/>
      <c r="CEO9" s="244"/>
      <c r="CFB9" s="244"/>
      <c r="CFO9" s="244"/>
      <c r="CGB9" s="244"/>
      <c r="CGO9" s="244"/>
      <c r="CHB9" s="244"/>
      <c r="CHO9" s="244"/>
      <c r="CIB9" s="244"/>
      <c r="CIO9" s="244"/>
      <c r="CJB9" s="244"/>
      <c r="CJO9" s="244"/>
      <c r="CKB9" s="244"/>
      <c r="CKO9" s="244"/>
      <c r="CLB9" s="244"/>
      <c r="CLO9" s="244"/>
      <c r="CMB9" s="244"/>
      <c r="CMO9" s="244"/>
      <c r="CNB9" s="244"/>
      <c r="CNO9" s="244"/>
      <c r="COB9" s="244"/>
      <c r="COO9" s="244"/>
      <c r="CPB9" s="244"/>
      <c r="CPO9" s="244"/>
      <c r="CQB9" s="244"/>
      <c r="CQO9" s="244"/>
      <c r="CRB9" s="244"/>
      <c r="CRO9" s="244"/>
      <c r="CSB9" s="244"/>
      <c r="CSO9" s="244"/>
      <c r="CTB9" s="244"/>
      <c r="CTO9" s="244"/>
      <c r="CUB9" s="244"/>
      <c r="CUO9" s="244"/>
      <c r="CVB9" s="244"/>
      <c r="CVO9" s="244"/>
      <c r="CWB9" s="244"/>
      <c r="CWO9" s="244"/>
      <c r="CXB9" s="244"/>
      <c r="CXO9" s="244"/>
      <c r="CYB9" s="244"/>
      <c r="CYO9" s="244"/>
      <c r="CZB9" s="244"/>
      <c r="CZO9" s="244"/>
      <c r="DAB9" s="244"/>
      <c r="DAO9" s="244"/>
      <c r="DBB9" s="244"/>
      <c r="DBO9" s="244"/>
      <c r="DCB9" s="244"/>
      <c r="DCO9" s="244"/>
      <c r="DDB9" s="244"/>
      <c r="DDO9" s="244"/>
      <c r="DEB9" s="244"/>
      <c r="DEO9" s="244"/>
      <c r="DFB9" s="244"/>
      <c r="DFO9" s="244"/>
      <c r="DGB9" s="244"/>
      <c r="DGO9" s="244"/>
      <c r="DHB9" s="244"/>
      <c r="DHO9" s="244"/>
      <c r="DIB9" s="244"/>
      <c r="DIO9" s="244"/>
      <c r="DJB9" s="244"/>
      <c r="DJO9" s="244"/>
      <c r="DKB9" s="244"/>
      <c r="DKO9" s="244"/>
      <c r="DLB9" s="244"/>
      <c r="DLO9" s="244"/>
      <c r="DMB9" s="244"/>
      <c r="DMO9" s="244"/>
      <c r="DNB9" s="244"/>
      <c r="DNO9" s="244"/>
      <c r="DOB9" s="244"/>
      <c r="DOO9" s="244"/>
      <c r="DPB9" s="244"/>
      <c r="DPO9" s="244"/>
      <c r="DQB9" s="244"/>
      <c r="DQO9" s="244"/>
      <c r="DRB9" s="244"/>
      <c r="DRO9" s="244"/>
      <c r="DSB9" s="244"/>
      <c r="DSO9" s="244"/>
      <c r="DTB9" s="244"/>
      <c r="DTO9" s="244"/>
      <c r="DUB9" s="244"/>
      <c r="DUO9" s="244"/>
      <c r="DVB9" s="244"/>
      <c r="DVO9" s="244"/>
      <c r="DWB9" s="244"/>
      <c r="DWO9" s="244"/>
      <c r="DXB9" s="244"/>
      <c r="DXO9" s="244"/>
      <c r="DYB9" s="244"/>
      <c r="DYO9" s="244"/>
      <c r="DZB9" s="244"/>
      <c r="DZO9" s="244"/>
      <c r="EAB9" s="244"/>
      <c r="EAO9" s="244"/>
      <c r="EBB9" s="244"/>
      <c r="EBO9" s="244"/>
      <c r="ECB9" s="244"/>
      <c r="ECO9" s="244"/>
      <c r="EDB9" s="244"/>
      <c r="EDO9" s="244"/>
      <c r="EEB9" s="244"/>
      <c r="EEO9" s="244"/>
      <c r="EFB9" s="244"/>
      <c r="EFO9" s="244"/>
      <c r="EGB9" s="244"/>
      <c r="EGO9" s="244"/>
      <c r="EHB9" s="244"/>
      <c r="EHO9" s="244"/>
      <c r="EIB9" s="244"/>
      <c r="EIO9" s="244"/>
      <c r="EJB9" s="244"/>
      <c r="EJO9" s="244"/>
      <c r="EKB9" s="244"/>
      <c r="EKO9" s="244"/>
      <c r="ELB9" s="244"/>
      <c r="ELO9" s="244"/>
      <c r="EMB9" s="244"/>
      <c r="EMO9" s="244"/>
      <c r="ENB9" s="244"/>
      <c r="ENO9" s="244"/>
      <c r="EOB9" s="244"/>
      <c r="EOO9" s="244"/>
      <c r="EPB9" s="244"/>
      <c r="EPO9" s="244"/>
      <c r="EQB9" s="244"/>
      <c r="EQO9" s="244"/>
      <c r="ERB9" s="244"/>
      <c r="ERO9" s="244"/>
      <c r="ESB9" s="244"/>
      <c r="ESO9" s="244"/>
      <c r="ETB9" s="244"/>
      <c r="ETO9" s="244"/>
      <c r="EUB9" s="244"/>
      <c r="EUO9" s="244"/>
      <c r="EVB9" s="244"/>
      <c r="EVO9" s="244"/>
      <c r="EWB9" s="244"/>
      <c r="EWO9" s="244"/>
      <c r="EXB9" s="244"/>
      <c r="EXO9" s="244"/>
      <c r="EYB9" s="244"/>
      <c r="EYO9" s="244"/>
      <c r="EZB9" s="244"/>
      <c r="EZO9" s="244"/>
      <c r="FAB9" s="244"/>
      <c r="FAO9" s="244"/>
      <c r="FBB9" s="244"/>
      <c r="FBO9" s="244"/>
      <c r="FCB9" s="244"/>
      <c r="FCO9" s="244"/>
      <c r="FDB9" s="244"/>
      <c r="FDO9" s="244"/>
      <c r="FEB9" s="244"/>
      <c r="FEO9" s="244"/>
      <c r="FFB9" s="244"/>
      <c r="FFO9" s="244"/>
      <c r="FGB9" s="244"/>
      <c r="FGO9" s="244"/>
      <c r="FHB9" s="244"/>
      <c r="FHO9" s="244"/>
      <c r="FIB9" s="244"/>
      <c r="FIO9" s="244"/>
      <c r="FJB9" s="244"/>
      <c r="FJO9" s="244"/>
      <c r="FKB9" s="244"/>
      <c r="FKO9" s="244"/>
      <c r="FLB9" s="244"/>
      <c r="FLO9" s="244"/>
      <c r="FMB9" s="244"/>
      <c r="FMO9" s="244"/>
      <c r="FNB9" s="244"/>
      <c r="FNO9" s="244"/>
      <c r="FOB9" s="244"/>
      <c r="FOO9" s="244"/>
      <c r="FPB9" s="244"/>
      <c r="FPO9" s="244"/>
      <c r="FQB9" s="244"/>
      <c r="FQO9" s="244"/>
      <c r="FRB9" s="244"/>
      <c r="FRO9" s="244"/>
      <c r="FSB9" s="244"/>
      <c r="FSO9" s="244"/>
      <c r="FTB9" s="244"/>
      <c r="FTO9" s="244"/>
      <c r="FUB9" s="244"/>
      <c r="FUO9" s="244"/>
      <c r="FVB9" s="244"/>
      <c r="FVO9" s="244"/>
      <c r="FWB9" s="244"/>
      <c r="FWO9" s="244"/>
      <c r="FXB9" s="244"/>
      <c r="FXO9" s="244"/>
      <c r="FYB9" s="244"/>
      <c r="FYO9" s="244"/>
      <c r="FZB9" s="244"/>
      <c r="FZO9" s="244"/>
      <c r="GAB9" s="244"/>
      <c r="GAO9" s="244"/>
      <c r="GBB9" s="244"/>
      <c r="GBO9" s="244"/>
      <c r="GCB9" s="244"/>
      <c r="GCO9" s="244"/>
      <c r="GDB9" s="244"/>
      <c r="GDO9" s="244"/>
      <c r="GEB9" s="244"/>
      <c r="GEO9" s="244"/>
      <c r="GFB9" s="244"/>
      <c r="GFO9" s="244"/>
      <c r="GGB9" s="244"/>
      <c r="GGO9" s="244"/>
      <c r="GHB9" s="244"/>
      <c r="GHO9" s="244"/>
      <c r="GIB9" s="244"/>
      <c r="GIO9" s="244"/>
      <c r="GJB9" s="244"/>
      <c r="GJO9" s="244"/>
      <c r="GKB9" s="244"/>
      <c r="GKO9" s="244"/>
      <c r="GLB9" s="244"/>
      <c r="GLO9" s="244"/>
      <c r="GMB9" s="244"/>
      <c r="GMO9" s="244"/>
      <c r="GNB9" s="244"/>
      <c r="GNO9" s="244"/>
      <c r="GOB9" s="244"/>
      <c r="GOO9" s="244"/>
      <c r="GPB9" s="244"/>
      <c r="GPO9" s="244"/>
      <c r="GQB9" s="244"/>
      <c r="GQO9" s="244"/>
      <c r="GRB9" s="244"/>
      <c r="GRO9" s="244"/>
      <c r="GSB9" s="244"/>
      <c r="GSO9" s="244"/>
      <c r="GTB9" s="244"/>
      <c r="GTO9" s="244"/>
      <c r="GUB9" s="244"/>
      <c r="GUO9" s="244"/>
      <c r="GVB9" s="244"/>
      <c r="GVO9" s="244"/>
      <c r="GWB9" s="244"/>
      <c r="GWO9" s="244"/>
      <c r="GXB9" s="244"/>
      <c r="GXO9" s="244"/>
      <c r="GYB9" s="244"/>
      <c r="GYO9" s="244"/>
      <c r="GZB9" s="244"/>
      <c r="GZO9" s="244"/>
      <c r="HAB9" s="244"/>
      <c r="HAO9" s="244"/>
      <c r="HBB9" s="244"/>
      <c r="HBO9" s="244"/>
      <c r="HCB9" s="244"/>
      <c r="HCO9" s="244"/>
      <c r="HDB9" s="244"/>
      <c r="HDO9" s="244"/>
      <c r="HEB9" s="244"/>
      <c r="HEO9" s="244"/>
      <c r="HFB9" s="244"/>
      <c r="HFO9" s="244"/>
      <c r="HGB9" s="244"/>
      <c r="HGO9" s="244"/>
      <c r="HHB9" s="244"/>
      <c r="HHO9" s="244"/>
      <c r="HIB9" s="244"/>
      <c r="HIO9" s="244"/>
      <c r="HJB9" s="244"/>
      <c r="HJO9" s="244"/>
      <c r="HKB9" s="244"/>
      <c r="HKO9" s="244"/>
      <c r="HLB9" s="244"/>
      <c r="HLO9" s="244"/>
      <c r="HMB9" s="244"/>
      <c r="HMO9" s="244"/>
      <c r="HNB9" s="244"/>
      <c r="HNO9" s="244"/>
      <c r="HOB9" s="244"/>
      <c r="HOO9" s="244"/>
      <c r="HPB9" s="244"/>
      <c r="HPO9" s="244"/>
      <c r="HQB9" s="244"/>
      <c r="HQO9" s="244"/>
      <c r="HRB9" s="244"/>
      <c r="HRO9" s="244"/>
      <c r="HSB9" s="244"/>
      <c r="HSO9" s="244"/>
      <c r="HTB9" s="244"/>
      <c r="HTO9" s="244"/>
      <c r="HUB9" s="244"/>
      <c r="HUO9" s="244"/>
      <c r="HVB9" s="244"/>
      <c r="HVO9" s="244"/>
      <c r="HWB9" s="244"/>
      <c r="HWO9" s="244"/>
      <c r="HXB9" s="244"/>
      <c r="HXO9" s="244"/>
      <c r="HYB9" s="244"/>
      <c r="HYO9" s="244"/>
      <c r="HZB9" s="244"/>
      <c r="HZO9" s="244"/>
      <c r="IAB9" s="244"/>
      <c r="IAO9" s="244"/>
      <c r="IBB9" s="244"/>
      <c r="IBO9" s="244"/>
      <c r="ICB9" s="244"/>
      <c r="ICO9" s="244"/>
      <c r="IDB9" s="244"/>
      <c r="IDO9" s="244"/>
      <c r="IEB9" s="244"/>
      <c r="IEO9" s="244"/>
      <c r="IFB9" s="244"/>
      <c r="IFO9" s="244"/>
      <c r="IGB9" s="244"/>
      <c r="IGO9" s="244"/>
      <c r="IHB9" s="244"/>
      <c r="IHO9" s="244"/>
      <c r="IIB9" s="244"/>
      <c r="IIO9" s="244"/>
      <c r="IJB9" s="244"/>
      <c r="IJO9" s="244"/>
      <c r="IKB9" s="244"/>
      <c r="IKO9" s="244"/>
      <c r="ILB9" s="244"/>
      <c r="ILO9" s="244"/>
      <c r="IMB9" s="244"/>
      <c r="IMO9" s="244"/>
      <c r="INB9" s="244"/>
      <c r="INO9" s="244"/>
      <c r="IOB9" s="244"/>
      <c r="IOO9" s="244"/>
      <c r="IPB9" s="244"/>
      <c r="IPO9" s="244"/>
      <c r="IQB9" s="244"/>
      <c r="IQO9" s="244"/>
      <c r="IRB9" s="244"/>
      <c r="IRO9" s="244"/>
      <c r="ISB9" s="244"/>
      <c r="ISO9" s="244"/>
      <c r="ITB9" s="244"/>
      <c r="ITO9" s="244"/>
      <c r="IUB9" s="244"/>
      <c r="IUO9" s="244"/>
      <c r="IVB9" s="244"/>
      <c r="IVO9" s="244"/>
      <c r="IWB9" s="244"/>
      <c r="IWO9" s="244"/>
      <c r="IXB9" s="244"/>
      <c r="IXO9" s="244"/>
      <c r="IYB9" s="244"/>
      <c r="IYO9" s="244"/>
      <c r="IZB9" s="244"/>
      <c r="IZO9" s="244"/>
      <c r="JAB9" s="244"/>
      <c r="JAO9" s="244"/>
      <c r="JBB9" s="244"/>
      <c r="JBO9" s="244"/>
      <c r="JCB9" s="244"/>
      <c r="JCO9" s="244"/>
      <c r="JDB9" s="244"/>
      <c r="JDO9" s="244"/>
      <c r="JEB9" s="244"/>
      <c r="JEO9" s="244"/>
      <c r="JFB9" s="244"/>
      <c r="JFO9" s="244"/>
      <c r="JGB9" s="244"/>
      <c r="JGO9" s="244"/>
      <c r="JHB9" s="244"/>
      <c r="JHO9" s="244"/>
      <c r="JIB9" s="244"/>
      <c r="JIO9" s="244"/>
      <c r="JJB9" s="244"/>
      <c r="JJO9" s="244"/>
      <c r="JKB9" s="244"/>
      <c r="JKO9" s="244"/>
      <c r="JLB9" s="244"/>
      <c r="JLO9" s="244"/>
      <c r="JMB9" s="244"/>
      <c r="JMO9" s="244"/>
      <c r="JNB9" s="244"/>
      <c r="JNO9" s="244"/>
      <c r="JOB9" s="244"/>
      <c r="JOO9" s="244"/>
      <c r="JPB9" s="244"/>
      <c r="JPO9" s="244"/>
      <c r="JQB9" s="244"/>
      <c r="JQO9" s="244"/>
      <c r="JRB9" s="244"/>
      <c r="JRO9" s="244"/>
      <c r="JSB9" s="244"/>
      <c r="JSO9" s="244"/>
      <c r="JTB9" s="244"/>
      <c r="JTO9" s="244"/>
      <c r="JUB9" s="244"/>
      <c r="JUO9" s="244"/>
      <c r="JVB9" s="244"/>
      <c r="JVO9" s="244"/>
      <c r="JWB9" s="244"/>
      <c r="JWO9" s="244"/>
      <c r="JXB9" s="244"/>
      <c r="JXO9" s="244"/>
      <c r="JYB9" s="244"/>
      <c r="JYO9" s="244"/>
      <c r="JZB9" s="244"/>
      <c r="JZO9" s="244"/>
      <c r="KAB9" s="244"/>
      <c r="KAO9" s="244"/>
      <c r="KBB9" s="244"/>
      <c r="KBO9" s="244"/>
      <c r="KCB9" s="244"/>
      <c r="KCO9" s="244"/>
      <c r="KDB9" s="244"/>
      <c r="KDO9" s="244"/>
      <c r="KEB9" s="244"/>
      <c r="KEO9" s="244"/>
      <c r="KFB9" s="244"/>
      <c r="KFO9" s="244"/>
      <c r="KGB9" s="244"/>
      <c r="KGO9" s="244"/>
      <c r="KHB9" s="244"/>
      <c r="KHO9" s="244"/>
      <c r="KIB9" s="244"/>
      <c r="KIO9" s="244"/>
      <c r="KJB9" s="244"/>
      <c r="KJO9" s="244"/>
      <c r="KKB9" s="244"/>
      <c r="KKO9" s="244"/>
      <c r="KLB9" s="244"/>
      <c r="KLO9" s="244"/>
      <c r="KMB9" s="244"/>
      <c r="KMO9" s="244"/>
      <c r="KNB9" s="244"/>
      <c r="KNO9" s="244"/>
      <c r="KOB9" s="244"/>
      <c r="KOO9" s="244"/>
      <c r="KPB9" s="244"/>
      <c r="KPO9" s="244"/>
      <c r="KQB9" s="244"/>
      <c r="KQO9" s="244"/>
      <c r="KRB9" s="244"/>
      <c r="KRO9" s="244"/>
      <c r="KSB9" s="244"/>
      <c r="KSO9" s="244"/>
      <c r="KTB9" s="244"/>
      <c r="KTO9" s="244"/>
      <c r="KUB9" s="244"/>
      <c r="KUO9" s="244"/>
      <c r="KVB9" s="244"/>
      <c r="KVO9" s="244"/>
      <c r="KWB9" s="244"/>
      <c r="KWO9" s="244"/>
      <c r="KXB9" s="244"/>
      <c r="KXO9" s="244"/>
      <c r="KYB9" s="244"/>
      <c r="KYO9" s="244"/>
      <c r="KZB9" s="244"/>
      <c r="KZO9" s="244"/>
      <c r="LAB9" s="244"/>
      <c r="LAO9" s="244"/>
      <c r="LBB9" s="244"/>
      <c r="LBO9" s="244"/>
      <c r="LCB9" s="244"/>
      <c r="LCO9" s="244"/>
      <c r="LDB9" s="244"/>
      <c r="LDO9" s="244"/>
      <c r="LEB9" s="244"/>
      <c r="LEO9" s="244"/>
      <c r="LFB9" s="244"/>
      <c r="LFO9" s="244"/>
      <c r="LGB9" s="244"/>
      <c r="LGO9" s="244"/>
      <c r="LHB9" s="244"/>
      <c r="LHO9" s="244"/>
      <c r="LIB9" s="244"/>
      <c r="LIO9" s="244"/>
      <c r="LJB9" s="244"/>
      <c r="LJO9" s="244"/>
      <c r="LKB9" s="244"/>
      <c r="LKO9" s="244"/>
      <c r="LLB9" s="244"/>
      <c r="LLO9" s="244"/>
      <c r="LMB9" s="244"/>
      <c r="LMO9" s="244"/>
      <c r="LNB9" s="244"/>
      <c r="LNO9" s="244"/>
      <c r="LOB9" s="244"/>
      <c r="LOO9" s="244"/>
      <c r="LPB9" s="244"/>
      <c r="LPO9" s="244"/>
      <c r="LQB9" s="244"/>
      <c r="LQO9" s="244"/>
      <c r="LRB9" s="244"/>
      <c r="LRO9" s="244"/>
      <c r="LSB9" s="244"/>
      <c r="LSO9" s="244"/>
      <c r="LTB9" s="244"/>
      <c r="LTO9" s="244"/>
      <c r="LUB9" s="244"/>
      <c r="LUO9" s="244"/>
      <c r="LVB9" s="244"/>
      <c r="LVO9" s="244"/>
      <c r="LWB9" s="244"/>
      <c r="LWO9" s="244"/>
      <c r="LXB9" s="244"/>
      <c r="LXO9" s="244"/>
      <c r="LYB9" s="244"/>
      <c r="LYO9" s="244"/>
      <c r="LZB9" s="244"/>
      <c r="LZO9" s="244"/>
      <c r="MAB9" s="244"/>
      <c r="MAO9" s="244"/>
      <c r="MBB9" s="244"/>
      <c r="MBO9" s="244"/>
      <c r="MCB9" s="244"/>
      <c r="MCO9" s="244"/>
      <c r="MDB9" s="244"/>
      <c r="MDO9" s="244"/>
      <c r="MEB9" s="244"/>
      <c r="MEO9" s="244"/>
      <c r="MFB9" s="244"/>
      <c r="MFO9" s="244"/>
      <c r="MGB9" s="244"/>
      <c r="MGO9" s="244"/>
      <c r="MHB9" s="244"/>
      <c r="MHO9" s="244"/>
      <c r="MIB9" s="244"/>
      <c r="MIO9" s="244"/>
      <c r="MJB9" s="244"/>
      <c r="MJO9" s="244"/>
      <c r="MKB9" s="244"/>
      <c r="MKO9" s="244"/>
      <c r="MLB9" s="244"/>
      <c r="MLO9" s="244"/>
      <c r="MMB9" s="244"/>
      <c r="MMO9" s="244"/>
      <c r="MNB9" s="244"/>
      <c r="MNO9" s="244"/>
      <c r="MOB9" s="244"/>
      <c r="MOO9" s="244"/>
      <c r="MPB9" s="244"/>
      <c r="MPO9" s="244"/>
      <c r="MQB9" s="244"/>
      <c r="MQO9" s="244"/>
      <c r="MRB9" s="244"/>
      <c r="MRO9" s="244"/>
      <c r="MSB9" s="244"/>
      <c r="MSO9" s="244"/>
      <c r="MTB9" s="244"/>
      <c r="MTO9" s="244"/>
      <c r="MUB9" s="244"/>
      <c r="MUO9" s="244"/>
      <c r="MVB9" s="244"/>
      <c r="MVO9" s="244"/>
      <c r="MWB9" s="244"/>
      <c r="MWO9" s="244"/>
      <c r="MXB9" s="244"/>
      <c r="MXO9" s="244"/>
      <c r="MYB9" s="244"/>
      <c r="MYO9" s="244"/>
      <c r="MZB9" s="244"/>
      <c r="MZO9" s="244"/>
      <c r="NAB9" s="244"/>
      <c r="NAO9" s="244"/>
      <c r="NBB9" s="244"/>
      <c r="NBO9" s="244"/>
      <c r="NCB9" s="244"/>
      <c r="NCO9" s="244"/>
      <c r="NDB9" s="244"/>
      <c r="NDO9" s="244"/>
      <c r="NEB9" s="244"/>
      <c r="NEO9" s="244"/>
      <c r="NFB9" s="244"/>
      <c r="NFO9" s="244"/>
      <c r="NGB9" s="244"/>
      <c r="NGO9" s="244"/>
      <c r="NHB9" s="244"/>
      <c r="NHO9" s="244"/>
      <c r="NIB9" s="244"/>
      <c r="NIO9" s="244"/>
      <c r="NJB9" s="244"/>
      <c r="NJO9" s="244"/>
      <c r="NKB9" s="244"/>
      <c r="NKO9" s="244"/>
      <c r="NLB9" s="244"/>
      <c r="NLO9" s="244"/>
      <c r="NMB9" s="244"/>
      <c r="NMO9" s="244"/>
      <c r="NNB9" s="244"/>
      <c r="NNO9" s="244"/>
      <c r="NOB9" s="244"/>
      <c r="NOO9" s="244"/>
      <c r="NPB9" s="244"/>
      <c r="NPO9" s="244"/>
      <c r="NQB9" s="244"/>
      <c r="NQO9" s="244"/>
      <c r="NRB9" s="244"/>
      <c r="NRO9" s="244"/>
      <c r="NSB9" s="244"/>
      <c r="NSO9" s="244"/>
      <c r="NTB9" s="244"/>
      <c r="NTO9" s="244"/>
      <c r="NUB9" s="244"/>
      <c r="NUO9" s="244"/>
      <c r="NVB9" s="244"/>
      <c r="NVO9" s="244"/>
      <c r="NWB9" s="244"/>
      <c r="NWO9" s="244"/>
      <c r="NXB9" s="244"/>
      <c r="NXO9" s="244"/>
      <c r="NYB9" s="244"/>
      <c r="NYO9" s="244"/>
      <c r="NZB9" s="244"/>
      <c r="NZO9" s="244"/>
      <c r="OAB9" s="244"/>
      <c r="OAO9" s="244"/>
      <c r="OBB9" s="244"/>
      <c r="OBO9" s="244"/>
      <c r="OCB9" s="244"/>
      <c r="OCO9" s="244"/>
      <c r="ODB9" s="244"/>
      <c r="ODO9" s="244"/>
      <c r="OEB9" s="244"/>
      <c r="OEO9" s="244"/>
      <c r="OFB9" s="244"/>
      <c r="OFO9" s="244"/>
      <c r="OGB9" s="244"/>
      <c r="OGO9" s="244"/>
      <c r="OHB9" s="244"/>
      <c r="OHO9" s="244"/>
      <c r="OIB9" s="244"/>
      <c r="OIO9" s="244"/>
      <c r="OJB9" s="244"/>
      <c r="OJO9" s="244"/>
      <c r="OKB9" s="244"/>
      <c r="OKO9" s="244"/>
      <c r="OLB9" s="244"/>
      <c r="OLO9" s="244"/>
      <c r="OMB9" s="244"/>
      <c r="OMO9" s="244"/>
      <c r="ONB9" s="244"/>
      <c r="ONO9" s="244"/>
      <c r="OOB9" s="244"/>
      <c r="OOO9" s="244"/>
      <c r="OPB9" s="244"/>
      <c r="OPO9" s="244"/>
      <c r="OQB9" s="244"/>
      <c r="OQO9" s="244"/>
      <c r="ORB9" s="244"/>
      <c r="ORO9" s="244"/>
      <c r="OSB9" s="244"/>
      <c r="OSO9" s="244"/>
      <c r="OTB9" s="244"/>
      <c r="OTO9" s="244"/>
      <c r="OUB9" s="244"/>
      <c r="OUO9" s="244"/>
      <c r="OVB9" s="244"/>
      <c r="OVO9" s="244"/>
      <c r="OWB9" s="244"/>
      <c r="OWO9" s="244"/>
      <c r="OXB9" s="244"/>
      <c r="OXO9" s="244"/>
      <c r="OYB9" s="244"/>
      <c r="OYO9" s="244"/>
      <c r="OZB9" s="244"/>
      <c r="OZO9" s="244"/>
      <c r="PAB9" s="244"/>
      <c r="PAO9" s="244"/>
      <c r="PBB9" s="244"/>
      <c r="PBO9" s="244"/>
      <c r="PCB9" s="244"/>
      <c r="PCO9" s="244"/>
      <c r="PDB9" s="244"/>
      <c r="PDO9" s="244"/>
      <c r="PEB9" s="244"/>
      <c r="PEO9" s="244"/>
      <c r="PFB9" s="244"/>
      <c r="PFO9" s="244"/>
      <c r="PGB9" s="244"/>
      <c r="PGO9" s="244"/>
      <c r="PHB9" s="244"/>
      <c r="PHO9" s="244"/>
      <c r="PIB9" s="244"/>
      <c r="PIO9" s="244"/>
      <c r="PJB9" s="244"/>
      <c r="PJO9" s="244"/>
      <c r="PKB9" s="244"/>
      <c r="PKO9" s="244"/>
      <c r="PLB9" s="244"/>
      <c r="PLO9" s="244"/>
      <c r="PMB9" s="244"/>
      <c r="PMO9" s="244"/>
      <c r="PNB9" s="244"/>
      <c r="PNO9" s="244"/>
      <c r="POB9" s="244"/>
      <c r="POO9" s="244"/>
      <c r="PPB9" s="244"/>
      <c r="PPO9" s="244"/>
      <c r="PQB9" s="244"/>
      <c r="PQO9" s="244"/>
      <c r="PRB9" s="244"/>
      <c r="PRO9" s="244"/>
      <c r="PSB9" s="244"/>
      <c r="PSO9" s="244"/>
      <c r="PTB9" s="244"/>
      <c r="PTO9" s="244"/>
      <c r="PUB9" s="244"/>
      <c r="PUO9" s="244"/>
      <c r="PVB9" s="244"/>
      <c r="PVO9" s="244"/>
      <c r="PWB9" s="244"/>
      <c r="PWO9" s="244"/>
      <c r="PXB9" s="244"/>
      <c r="PXO9" s="244"/>
      <c r="PYB9" s="244"/>
      <c r="PYO9" s="244"/>
      <c r="PZB9" s="244"/>
      <c r="PZO9" s="244"/>
      <c r="QAB9" s="244"/>
      <c r="QAO9" s="244"/>
      <c r="QBB9" s="244"/>
      <c r="QBO9" s="244"/>
      <c r="QCB9" s="244"/>
      <c r="QCO9" s="244"/>
      <c r="QDB9" s="244"/>
      <c r="QDO9" s="244"/>
      <c r="QEB9" s="244"/>
      <c r="QEO9" s="244"/>
      <c r="QFB9" s="244"/>
      <c r="QFO9" s="244"/>
      <c r="QGB9" s="244"/>
      <c r="QGO9" s="244"/>
      <c r="QHB9" s="244"/>
      <c r="QHO9" s="244"/>
      <c r="QIB9" s="244"/>
      <c r="QIO9" s="244"/>
      <c r="QJB9" s="244"/>
      <c r="QJO9" s="244"/>
      <c r="QKB9" s="244"/>
      <c r="QKO9" s="244"/>
      <c r="QLB9" s="244"/>
      <c r="QLO9" s="244"/>
      <c r="QMB9" s="244"/>
      <c r="QMO9" s="244"/>
      <c r="QNB9" s="244"/>
      <c r="QNO9" s="244"/>
      <c r="QOB9" s="244"/>
      <c r="QOO9" s="244"/>
      <c r="QPB9" s="244"/>
      <c r="QPO9" s="244"/>
      <c r="QQB9" s="244"/>
      <c r="QQO9" s="244"/>
      <c r="QRB9" s="244"/>
      <c r="QRO9" s="244"/>
      <c r="QSB9" s="244"/>
      <c r="QSO9" s="244"/>
      <c r="QTB9" s="244"/>
      <c r="QTO9" s="244"/>
      <c r="QUB9" s="244"/>
      <c r="QUO9" s="244"/>
      <c r="QVB9" s="244"/>
      <c r="QVO9" s="244"/>
      <c r="QWB9" s="244"/>
      <c r="QWO9" s="244"/>
      <c r="QXB9" s="244"/>
      <c r="QXO9" s="244"/>
      <c r="QYB9" s="244"/>
      <c r="QYO9" s="244"/>
      <c r="QZB9" s="244"/>
      <c r="QZO9" s="244"/>
      <c r="RAB9" s="244"/>
      <c r="RAO9" s="244"/>
      <c r="RBB9" s="244"/>
      <c r="RBO9" s="244"/>
      <c r="RCB9" s="244"/>
      <c r="RCO9" s="244"/>
      <c r="RDB9" s="244"/>
      <c r="RDO9" s="244"/>
      <c r="REB9" s="244"/>
      <c r="REO9" s="244"/>
      <c r="RFB9" s="244"/>
      <c r="RFO9" s="244"/>
      <c r="RGB9" s="244"/>
      <c r="RGO9" s="244"/>
      <c r="RHB9" s="244"/>
      <c r="RHO9" s="244"/>
      <c r="RIB9" s="244"/>
      <c r="RIO9" s="244"/>
      <c r="RJB9" s="244"/>
      <c r="RJO9" s="244"/>
      <c r="RKB9" s="244"/>
      <c r="RKO9" s="244"/>
      <c r="RLB9" s="244"/>
      <c r="RLO9" s="244"/>
      <c r="RMB9" s="244"/>
      <c r="RMO9" s="244"/>
      <c r="RNB9" s="244"/>
      <c r="RNO9" s="244"/>
      <c r="ROB9" s="244"/>
      <c r="ROO9" s="244"/>
      <c r="RPB9" s="244"/>
      <c r="RPO9" s="244"/>
      <c r="RQB9" s="244"/>
      <c r="RQO9" s="244"/>
      <c r="RRB9" s="244"/>
      <c r="RRO9" s="244"/>
      <c r="RSB9" s="244"/>
      <c r="RSO9" s="244"/>
      <c r="RTB9" s="244"/>
      <c r="RTO9" s="244"/>
      <c r="RUB9" s="244"/>
      <c r="RUO9" s="244"/>
      <c r="RVB9" s="244"/>
      <c r="RVO9" s="244"/>
      <c r="RWB9" s="244"/>
      <c r="RWO9" s="244"/>
      <c r="RXB9" s="244"/>
      <c r="RXO9" s="244"/>
      <c r="RYB9" s="244"/>
      <c r="RYO9" s="244"/>
      <c r="RZB9" s="244"/>
      <c r="RZO9" s="244"/>
      <c r="SAB9" s="244"/>
      <c r="SAO9" s="244"/>
      <c r="SBB9" s="244"/>
      <c r="SBO9" s="244"/>
      <c r="SCB9" s="244"/>
      <c r="SCO9" s="244"/>
      <c r="SDB9" s="244"/>
      <c r="SDO9" s="244"/>
      <c r="SEB9" s="244"/>
      <c r="SEO9" s="244"/>
      <c r="SFB9" s="244"/>
      <c r="SFO9" s="244"/>
      <c r="SGB9" s="244"/>
      <c r="SGO9" s="244"/>
      <c r="SHB9" s="244"/>
      <c r="SHO9" s="244"/>
      <c r="SIB9" s="244"/>
      <c r="SIO9" s="244"/>
      <c r="SJB9" s="244"/>
      <c r="SJO9" s="244"/>
      <c r="SKB9" s="244"/>
      <c r="SKO9" s="244"/>
      <c r="SLB9" s="244"/>
      <c r="SLO9" s="244"/>
      <c r="SMB9" s="244"/>
      <c r="SMO9" s="244"/>
      <c r="SNB9" s="244"/>
      <c r="SNO9" s="244"/>
      <c r="SOB9" s="244"/>
      <c r="SOO9" s="244"/>
      <c r="SPB9" s="244"/>
      <c r="SPO9" s="244"/>
      <c r="SQB9" s="244"/>
      <c r="SQO9" s="244"/>
      <c r="SRB9" s="244"/>
      <c r="SRO9" s="244"/>
      <c r="SSB9" s="244"/>
      <c r="SSO9" s="244"/>
      <c r="STB9" s="244"/>
      <c r="STO9" s="244"/>
      <c r="SUB9" s="244"/>
      <c r="SUO9" s="244"/>
      <c r="SVB9" s="244"/>
      <c r="SVO9" s="244"/>
      <c r="SWB9" s="244"/>
      <c r="SWO9" s="244"/>
      <c r="SXB9" s="244"/>
      <c r="SXO9" s="244"/>
      <c r="SYB9" s="244"/>
      <c r="SYO9" s="244"/>
      <c r="SZB9" s="244"/>
      <c r="SZO9" s="244"/>
      <c r="TAB9" s="244"/>
      <c r="TAO9" s="244"/>
      <c r="TBB9" s="244"/>
      <c r="TBO9" s="244"/>
      <c r="TCB9" s="244"/>
      <c r="TCO9" s="244"/>
      <c r="TDB9" s="244"/>
      <c r="TDO9" s="244"/>
      <c r="TEB9" s="244"/>
      <c r="TEO9" s="244"/>
      <c r="TFB9" s="244"/>
      <c r="TFO9" s="244"/>
      <c r="TGB9" s="244"/>
      <c r="TGO9" s="244"/>
      <c r="THB9" s="244"/>
      <c r="THO9" s="244"/>
      <c r="TIB9" s="244"/>
      <c r="TIO9" s="244"/>
      <c r="TJB9" s="244"/>
      <c r="TJO9" s="244"/>
      <c r="TKB9" s="244"/>
      <c r="TKO9" s="244"/>
      <c r="TLB9" s="244"/>
      <c r="TLO9" s="244"/>
      <c r="TMB9" s="244"/>
      <c r="TMO9" s="244"/>
      <c r="TNB9" s="244"/>
      <c r="TNO9" s="244"/>
      <c r="TOB9" s="244"/>
      <c r="TOO9" s="244"/>
      <c r="TPB9" s="244"/>
      <c r="TPO9" s="244"/>
      <c r="TQB9" s="244"/>
      <c r="TQO9" s="244"/>
      <c r="TRB9" s="244"/>
      <c r="TRO9" s="244"/>
      <c r="TSB9" s="244"/>
      <c r="TSO9" s="244"/>
      <c r="TTB9" s="244"/>
      <c r="TTO9" s="244"/>
      <c r="TUB9" s="244"/>
      <c r="TUO9" s="244"/>
      <c r="TVB9" s="244"/>
      <c r="TVO9" s="244"/>
      <c r="TWB9" s="244"/>
      <c r="TWO9" s="244"/>
      <c r="TXB9" s="244"/>
      <c r="TXO9" s="244"/>
      <c r="TYB9" s="244"/>
      <c r="TYO9" s="244"/>
      <c r="TZB9" s="244"/>
      <c r="TZO9" s="244"/>
      <c r="UAB9" s="244"/>
      <c r="UAO9" s="244"/>
      <c r="UBB9" s="244"/>
      <c r="UBO9" s="244"/>
      <c r="UCB9" s="244"/>
      <c r="UCO9" s="244"/>
      <c r="UDB9" s="244"/>
      <c r="UDO9" s="244"/>
      <c r="UEB9" s="244"/>
      <c r="UEO9" s="244"/>
      <c r="UFB9" s="244"/>
      <c r="UFO9" s="244"/>
      <c r="UGB9" s="244"/>
      <c r="UGO9" s="244"/>
      <c r="UHB9" s="244"/>
      <c r="UHO9" s="244"/>
      <c r="UIB9" s="244"/>
      <c r="UIO9" s="244"/>
      <c r="UJB9" s="244"/>
      <c r="UJO9" s="244"/>
      <c r="UKB9" s="244"/>
      <c r="UKO9" s="244"/>
      <c r="ULB9" s="244"/>
      <c r="ULO9" s="244"/>
      <c r="UMB9" s="244"/>
      <c r="UMO9" s="244"/>
      <c r="UNB9" s="244"/>
      <c r="UNO9" s="244"/>
      <c r="UOB9" s="244"/>
      <c r="UOO9" s="244"/>
      <c r="UPB9" s="244"/>
      <c r="UPO9" s="244"/>
      <c r="UQB9" s="244"/>
      <c r="UQO9" s="244"/>
      <c r="URB9" s="244"/>
      <c r="URO9" s="244"/>
      <c r="USB9" s="244"/>
      <c r="USO9" s="244"/>
      <c r="UTB9" s="244"/>
      <c r="UTO9" s="244"/>
      <c r="UUB9" s="244"/>
      <c r="UUO9" s="244"/>
      <c r="UVB9" s="244"/>
      <c r="UVO9" s="244"/>
      <c r="UWB9" s="244"/>
      <c r="UWO9" s="244"/>
      <c r="UXB9" s="244"/>
      <c r="UXO9" s="244"/>
      <c r="UYB9" s="244"/>
      <c r="UYO9" s="244"/>
      <c r="UZB9" s="244"/>
      <c r="UZO9" s="244"/>
      <c r="VAB9" s="244"/>
      <c r="VAO9" s="244"/>
      <c r="VBB9" s="244"/>
      <c r="VBO9" s="244"/>
      <c r="VCB9" s="244"/>
      <c r="VCO9" s="244"/>
      <c r="VDB9" s="244"/>
      <c r="VDO9" s="244"/>
      <c r="VEB9" s="244"/>
      <c r="VEO9" s="244"/>
      <c r="VFB9" s="244"/>
      <c r="VFO9" s="244"/>
      <c r="VGB9" s="244"/>
      <c r="VGO9" s="244"/>
      <c r="VHB9" s="244"/>
      <c r="VHO9" s="244"/>
      <c r="VIB9" s="244"/>
      <c r="VIO9" s="244"/>
      <c r="VJB9" s="244"/>
      <c r="VJO9" s="244"/>
      <c r="VKB9" s="244"/>
      <c r="VKO9" s="244"/>
      <c r="VLB9" s="244"/>
      <c r="VLO9" s="244"/>
      <c r="VMB9" s="244"/>
      <c r="VMO9" s="244"/>
      <c r="VNB9" s="244"/>
      <c r="VNO9" s="244"/>
      <c r="VOB9" s="244"/>
      <c r="VOO9" s="244"/>
      <c r="VPB9" s="244"/>
      <c r="VPO9" s="244"/>
      <c r="VQB9" s="244"/>
      <c r="VQO9" s="244"/>
      <c r="VRB9" s="244"/>
      <c r="VRO9" s="244"/>
      <c r="VSB9" s="244"/>
      <c r="VSO9" s="244"/>
      <c r="VTB9" s="244"/>
      <c r="VTO9" s="244"/>
      <c r="VUB9" s="244"/>
      <c r="VUO9" s="244"/>
      <c r="VVB9" s="244"/>
      <c r="VVO9" s="244"/>
      <c r="VWB9" s="244"/>
      <c r="VWO9" s="244"/>
      <c r="VXB9" s="244"/>
      <c r="VXO9" s="244"/>
      <c r="VYB9" s="244"/>
      <c r="VYO9" s="244"/>
      <c r="VZB9" s="244"/>
      <c r="VZO9" s="244"/>
      <c r="WAB9" s="244"/>
      <c r="WAO9" s="244"/>
      <c r="WBB9" s="244"/>
      <c r="WBO9" s="244"/>
      <c r="WCB9" s="244"/>
      <c r="WCO9" s="244"/>
      <c r="WDB9" s="244"/>
      <c r="WDO9" s="244"/>
      <c r="WEB9" s="244"/>
      <c r="WEO9" s="244"/>
      <c r="WFB9" s="244"/>
      <c r="WFO9" s="244"/>
      <c r="WGB9" s="244"/>
      <c r="WGO9" s="244"/>
      <c r="WHB9" s="244"/>
      <c r="WHO9" s="244"/>
      <c r="WIB9" s="244"/>
      <c r="WIO9" s="244"/>
      <c r="WJB9" s="244"/>
      <c r="WJO9" s="244"/>
      <c r="WKB9" s="244"/>
      <c r="WKO9" s="244"/>
      <c r="WLB9" s="244"/>
      <c r="WLO9" s="244"/>
      <c r="WMB9" s="244"/>
      <c r="WMO9" s="244"/>
      <c r="WNB9" s="244"/>
      <c r="WNO9" s="244"/>
      <c r="WOB9" s="244"/>
      <c r="WOO9" s="244"/>
      <c r="WPB9" s="244"/>
      <c r="WPO9" s="244"/>
      <c r="WQB9" s="244"/>
      <c r="WQO9" s="244"/>
      <c r="WRB9" s="244"/>
      <c r="WRO9" s="244"/>
      <c r="WSB9" s="244"/>
      <c r="WSO9" s="244"/>
      <c r="WTB9" s="244"/>
      <c r="WTO9" s="244"/>
      <c r="WUB9" s="244"/>
      <c r="WUO9" s="244"/>
      <c r="WVB9" s="244"/>
      <c r="WVO9" s="244"/>
      <c r="WWB9" s="244"/>
      <c r="WWO9" s="244"/>
      <c r="WXB9" s="244"/>
      <c r="WXO9" s="244"/>
      <c r="WYB9" s="244"/>
      <c r="WYO9" s="244"/>
      <c r="WZB9" s="244"/>
      <c r="WZO9" s="244"/>
      <c r="XAB9" s="244"/>
      <c r="XAO9" s="244"/>
      <c r="XBB9" s="244"/>
      <c r="XBO9" s="244"/>
      <c r="XCB9" s="244"/>
      <c r="XCO9" s="244"/>
      <c r="XDB9" s="244"/>
      <c r="XDO9" s="244"/>
      <c r="XEB9" s="244"/>
      <c r="XEO9" s="244"/>
      <c r="XFB9" s="244"/>
    </row>
    <row r="10" spans="1:1016 1029:2043 2056:3070 3083:4084 4097:5111 5124:6138 6151:7165 7178:8192 8205:9206 9219:10233 10246:11260 11273:12287 12300:13301 13314:14328 14341:15355 15368:16382" s="188" customFormat="1" ht="13" customHeight="1">
      <c r="A10" s="255"/>
      <c r="B10" s="16" t="str">
        <f>IF('Summary | Sumário'!D$6=Names!B$3,Names!M7,Names!N7)</f>
        <v>Expenses from services and commissions</v>
      </c>
      <c r="C10" s="246">
        <v>-56627.339</v>
      </c>
      <c r="D10" s="246">
        <v>-71611</v>
      </c>
      <c r="E10" s="246">
        <v>-100297</v>
      </c>
      <c r="F10" s="246">
        <v>-129233</v>
      </c>
      <c r="G10" s="246">
        <v>-135582</v>
      </c>
      <c r="H10" s="246">
        <v>-143430.21100000001</v>
      </c>
      <c r="I10" s="246"/>
      <c r="J10" s="246">
        <v>-23279</v>
      </c>
      <c r="K10" s="246">
        <v>-21841</v>
      </c>
      <c r="L10" s="246">
        <v>-26430</v>
      </c>
      <c r="M10" s="246">
        <v>-28747</v>
      </c>
      <c r="N10" s="246">
        <v>-28516</v>
      </c>
      <c r="O10" s="246">
        <v>-33954</v>
      </c>
      <c r="P10" s="246">
        <v>-33404</v>
      </c>
      <c r="Q10" s="246">
        <v>-33359</v>
      </c>
      <c r="R10" s="246">
        <v>-35678</v>
      </c>
      <c r="S10" s="246">
        <v>-31723</v>
      </c>
      <c r="T10" s="246">
        <v>-32271</v>
      </c>
      <c r="U10" s="246">
        <v>-35910</v>
      </c>
      <c r="V10" s="246">
        <v>-34021.773478642281</v>
      </c>
      <c r="W10" s="246">
        <v>-32942.008999999998</v>
      </c>
      <c r="X10" s="246">
        <v>-37676.508000000002</v>
      </c>
      <c r="Y10" s="246">
        <v>-38789.920521357737</v>
      </c>
      <c r="Z10" s="246"/>
      <c r="AA10" s="409">
        <f t="shared" ref="AA10:AA11" si="2">Y10/X10-1</f>
        <v>2.9551903306902494E-2</v>
      </c>
      <c r="AB10" s="409">
        <f t="shared" ref="AB10:AB11" si="3">Y10/U10-1</f>
        <v>8.0198287979886818E-2</v>
      </c>
    </row>
    <row r="11" spans="1:1016 1029:2043 2056:3070 3083:4084 4097:5111 5124:6138 6151:7165 7178:8192 8205:9206 9219:10233 10246:11260 11273:12287 12300:13301 13314:14328 14341:15355 15368:16382" ht="13" customHeight="1">
      <c r="A11" s="242"/>
      <c r="B11" s="22" t="str">
        <f>IF('Summary | Sumário'!D$6=Names!B$3,Names!M10,Names!N10)</f>
        <v>Other revenues</v>
      </c>
      <c r="C11" s="245">
        <v>46867</v>
      </c>
      <c r="D11" s="245">
        <v>92564</v>
      </c>
      <c r="E11" s="245">
        <v>165415</v>
      </c>
      <c r="F11" s="245">
        <v>288682</v>
      </c>
      <c r="G11" s="245">
        <v>286980</v>
      </c>
      <c r="H11" s="245">
        <v>333570.52926939999</v>
      </c>
      <c r="I11" s="246"/>
      <c r="J11" s="245">
        <v>41623</v>
      </c>
      <c r="K11" s="245">
        <v>69359</v>
      </c>
      <c r="L11" s="245">
        <v>30496</v>
      </c>
      <c r="M11" s="245">
        <v>23937</v>
      </c>
      <c r="N11" s="245">
        <v>95374</v>
      </c>
      <c r="O11" s="245">
        <v>85809</v>
      </c>
      <c r="P11" s="245">
        <v>46550</v>
      </c>
      <c r="Q11" s="245">
        <v>60949</v>
      </c>
      <c r="R11" s="245">
        <v>50958</v>
      </c>
      <c r="S11" s="245">
        <v>54967</v>
      </c>
      <c r="T11" s="245">
        <v>104770.50028000001</v>
      </c>
      <c r="U11" s="245">
        <v>76284.499719999993</v>
      </c>
      <c r="V11" s="245">
        <v>68201</v>
      </c>
      <c r="W11" s="245">
        <v>72531.218238679983</v>
      </c>
      <c r="X11" s="245">
        <v>81802.620979938802</v>
      </c>
      <c r="Y11" s="245">
        <v>111035.69005078121</v>
      </c>
      <c r="Z11" s="246"/>
      <c r="AA11" s="410">
        <f t="shared" si="2"/>
        <v>0.35736103220960969</v>
      </c>
      <c r="AB11" s="410">
        <f t="shared" si="3"/>
        <v>0.4555472010478463</v>
      </c>
    </row>
    <row r="12" spans="1:1016 1029:2043 2056:3070 3083:4084 4097:5111 5124:6138 6151:7165 7178:8192 8205:9206 9219:10233 10246:11260 11273:12287 12300:13301 13314:14328 14341:15355 15368:16382" s="182" customFormat="1" ht="13" customHeight="1">
      <c r="A12" s="269"/>
      <c r="B12" s="338" t="str">
        <f>IF('Summary | Sumário'!D$6=Names!B$3,Names!M26,Names!N26)</f>
        <v>Revenues</v>
      </c>
      <c r="C12" s="339">
        <v>712223.66099999996</v>
      </c>
      <c r="D12" s="339">
        <v>1011378.89518</v>
      </c>
      <c r="E12" s="339">
        <v>2221823.2459999998</v>
      </c>
      <c r="F12" s="339">
        <v>3562697.1849999996</v>
      </c>
      <c r="G12" s="339">
        <v>4752577</v>
      </c>
      <c r="H12" s="339">
        <v>6400165.1972113997</v>
      </c>
      <c r="I12" s="258"/>
      <c r="J12" s="339">
        <v>416766.33899999998</v>
      </c>
      <c r="K12" s="339">
        <v>467413.34700000007</v>
      </c>
      <c r="L12" s="339">
        <v>606509.88</v>
      </c>
      <c r="M12" s="339">
        <v>731132.34600000002</v>
      </c>
      <c r="N12" s="339">
        <v>833521.0149999999</v>
      </c>
      <c r="O12" s="339">
        <v>877020.3110000001</v>
      </c>
      <c r="P12" s="339">
        <v>850303.46699999995</v>
      </c>
      <c r="Q12" s="339">
        <v>1001852.392</v>
      </c>
      <c r="R12" s="339">
        <v>1024114.1240000001</v>
      </c>
      <c r="S12" s="339">
        <v>1150034</v>
      </c>
      <c r="T12" s="339">
        <v>1265495.60824</v>
      </c>
      <c r="U12" s="339">
        <v>1312933.8627599999</v>
      </c>
      <c r="V12" s="339">
        <v>1400940.115371532</v>
      </c>
      <c r="W12" s="339">
        <v>1478597.8110425298</v>
      </c>
      <c r="X12" s="339">
        <v>1676142.244553572</v>
      </c>
      <c r="Y12" s="339">
        <v>1844485.0262437663</v>
      </c>
      <c r="Z12" s="258"/>
      <c r="AA12" s="411">
        <f>Y12/X12-1</f>
        <v>0.10043466313029481</v>
      </c>
      <c r="AB12" s="411">
        <f>Y12/U12-1</f>
        <v>0.4048575320971306</v>
      </c>
    </row>
    <row r="13" spans="1:1016 1029:2043 2056:3070 3083:4084 4097:5111 5124:6138 6151:7165 7178:8192 8205:9206 9219:10233 10246:11260 11273:12287 12300:13301 13314:14328 14341:15355 15368:16382" s="182" customFormat="1" ht="13" customHeight="1">
      <c r="A13" s="269"/>
      <c r="B13" s="52"/>
      <c r="C13" s="270"/>
      <c r="D13" s="270"/>
      <c r="E13" s="270"/>
      <c r="F13" s="270"/>
      <c r="G13" s="270"/>
      <c r="H13" s="270"/>
      <c r="I13" s="258"/>
      <c r="J13" s="270"/>
      <c r="K13" s="270"/>
      <c r="L13" s="270"/>
      <c r="M13" s="270"/>
      <c r="N13" s="270"/>
      <c r="O13" s="270"/>
      <c r="P13" s="270"/>
      <c r="Q13" s="270"/>
      <c r="R13" s="270"/>
      <c r="S13" s="270"/>
      <c r="T13" s="270"/>
      <c r="U13" s="270"/>
      <c r="V13" s="270"/>
      <c r="W13" s="270"/>
      <c r="X13" s="270"/>
      <c r="Y13" s="270"/>
      <c r="Z13" s="258"/>
      <c r="AA13" s="402"/>
      <c r="AB13" s="402"/>
    </row>
    <row r="14" spans="1:1016 1029:2043 2056:3070 3083:4084 4097:5111 5124:6138 6151:7165 7178:8192 8205:9206 9219:10233 10246:11260 11273:12287 12300:13301 13314:14328 14341:15355 15368:16382" ht="13" customHeight="1">
      <c r="A14" s="242"/>
      <c r="B14" s="16" t="str">
        <f>IF('Summary | Sumário'!D$6=Names!B$3,Names!M13,Names!N13)</f>
        <v>Impairment losses on financial assets</v>
      </c>
      <c r="C14" s="169">
        <v>-138570</v>
      </c>
      <c r="D14" s="169">
        <v>-213688</v>
      </c>
      <c r="E14" s="169">
        <v>-595581</v>
      </c>
      <c r="F14" s="169">
        <v>-1083237</v>
      </c>
      <c r="G14" s="169">
        <v>-1541584</v>
      </c>
      <c r="H14" s="169">
        <v>-1799452.3359999999</v>
      </c>
      <c r="I14" s="246"/>
      <c r="J14" s="169">
        <v>-106669</v>
      </c>
      <c r="K14" s="169">
        <v>-167441</v>
      </c>
      <c r="L14" s="169">
        <v>-138005</v>
      </c>
      <c r="M14" s="169">
        <v>-183466</v>
      </c>
      <c r="N14" s="169">
        <v>-312946</v>
      </c>
      <c r="O14" s="169">
        <v>-242464</v>
      </c>
      <c r="P14" s="169">
        <v>-263113</v>
      </c>
      <c r="Q14" s="169">
        <v>-264714</v>
      </c>
      <c r="R14" s="169">
        <v>-350681</v>
      </c>
      <c r="S14" s="169">
        <v>-398560</v>
      </c>
      <c r="T14" s="169">
        <v>-407899</v>
      </c>
      <c r="U14" s="169">
        <v>-384444</v>
      </c>
      <c r="V14" s="169">
        <v>-411048</v>
      </c>
      <c r="W14" s="169">
        <v>-421247.66100000002</v>
      </c>
      <c r="X14" s="169">
        <v>-471426.65</v>
      </c>
      <c r="Y14" s="169">
        <v>-495730.02499999967</v>
      </c>
      <c r="Z14" s="169"/>
      <c r="AA14" s="397">
        <f>Y14/X14-1</f>
        <v>5.1552823753174826E-2</v>
      </c>
      <c r="AB14" s="397">
        <f>Y14/U14-1</f>
        <v>0.28947265401462796</v>
      </c>
    </row>
    <row r="15" spans="1:1016 1029:2043 2056:3070 3083:4084 4097:5111 5124:6138 6151:7165 7178:8192 8205:9206 9219:10233 10246:11260 11273:12287 12300:13301 13314:14328 14341:15355 15368:16382" s="182" customFormat="1" ht="13" customHeight="1">
      <c r="A15" s="269"/>
      <c r="B15" s="340" t="str">
        <f>IF('Summary | Sumário'!D$6=Names!B$3,Names!M25,Names!N25)</f>
        <v>Net result of losses</v>
      </c>
      <c r="C15" s="337">
        <v>573653.66099999996</v>
      </c>
      <c r="D15" s="337">
        <v>797690.89517999999</v>
      </c>
      <c r="E15" s="337">
        <v>1626242.2459999998</v>
      </c>
      <c r="F15" s="337">
        <v>2479460.1849999996</v>
      </c>
      <c r="G15" s="337">
        <v>3210993</v>
      </c>
      <c r="H15" s="337">
        <v>4600712.8612114005</v>
      </c>
      <c r="I15" s="258"/>
      <c r="J15" s="337">
        <v>310096.935</v>
      </c>
      <c r="K15" s="337">
        <v>299972.75100000005</v>
      </c>
      <c r="L15" s="337">
        <v>468504.88</v>
      </c>
      <c r="M15" s="337">
        <v>547666.67999999993</v>
      </c>
      <c r="N15" s="337">
        <v>520575.0149999999</v>
      </c>
      <c r="O15" s="337">
        <v>634556.3110000001</v>
      </c>
      <c r="P15" s="337">
        <v>587190.46699999995</v>
      </c>
      <c r="Q15" s="337">
        <v>737138.39199999999</v>
      </c>
      <c r="R15" s="337">
        <v>673433.12400000007</v>
      </c>
      <c r="S15" s="337">
        <v>751474</v>
      </c>
      <c r="T15" s="337">
        <v>857596.60823999997</v>
      </c>
      <c r="U15" s="337">
        <v>928489.86275999993</v>
      </c>
      <c r="V15" s="337">
        <v>989892.11537153204</v>
      </c>
      <c r="W15" s="337">
        <v>1057350.1500425297</v>
      </c>
      <c r="X15" s="337">
        <v>1204715.5945535721</v>
      </c>
      <c r="Y15" s="337">
        <v>1348755.0012437666</v>
      </c>
      <c r="Z15" s="258"/>
      <c r="AA15" s="387">
        <f>Y15/X15-1</f>
        <v>0.11956299672834469</v>
      </c>
      <c r="AB15" s="387">
        <f>Y15/U15-1</f>
        <v>0.45263298538823005</v>
      </c>
      <c r="AD15" s="244"/>
    </row>
    <row r="16" spans="1:1016 1029:2043 2056:3070 3083:4084 4097:5111 5124:6138 6151:7165 7178:8192 8205:9206 9219:10233 10246:11260 11273:12287 12300:13301 13314:14328 14341:15355 15368:16382" ht="13" customHeight="1">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241"/>
      <c r="AB16" s="241"/>
    </row>
    <row r="17" spans="1:28" ht="13" customHeight="1">
      <c r="A17" s="242"/>
      <c r="B17" s="22" t="str">
        <f>IF('Summary | Sumário'!D$6=Names!B$3,Names!M12,Names!N12)</f>
        <v>Other income</v>
      </c>
      <c r="C17" s="271">
        <v>0</v>
      </c>
      <c r="D17" s="271">
        <v>109216</v>
      </c>
      <c r="E17" s="271">
        <v>0</v>
      </c>
      <c r="F17" s="271">
        <v>0</v>
      </c>
      <c r="G17" s="271">
        <v>0</v>
      </c>
      <c r="H17" s="271">
        <v>0</v>
      </c>
      <c r="I17" s="246"/>
      <c r="J17" s="271">
        <v>0</v>
      </c>
      <c r="K17" s="271">
        <v>0</v>
      </c>
      <c r="L17" s="271">
        <v>0</v>
      </c>
      <c r="M17" s="271">
        <v>0</v>
      </c>
      <c r="N17" s="271">
        <v>0</v>
      </c>
      <c r="O17" s="271">
        <v>0</v>
      </c>
      <c r="P17" s="271">
        <v>0</v>
      </c>
      <c r="Q17" s="271">
        <v>0</v>
      </c>
      <c r="R17" s="271" t="s">
        <v>891</v>
      </c>
      <c r="S17" s="271">
        <v>0</v>
      </c>
      <c r="T17" s="271">
        <v>0</v>
      </c>
      <c r="U17" s="271">
        <v>0</v>
      </c>
      <c r="V17" s="271">
        <v>0</v>
      </c>
      <c r="W17" s="271">
        <v>0</v>
      </c>
      <c r="X17" s="271">
        <v>0</v>
      </c>
      <c r="Y17" s="271">
        <v>0</v>
      </c>
      <c r="Z17" s="169"/>
      <c r="AA17" s="412"/>
      <c r="AB17" s="412"/>
    </row>
    <row r="18" spans="1:28" ht="13" customHeight="1">
      <c r="A18" s="242"/>
      <c r="B18" s="16" t="str">
        <f>IF('Summary | Sumário'!D$6=Names!B$3,Names!M14,Names!N14)</f>
        <v>Personnel expenses</v>
      </c>
      <c r="C18" s="169">
        <v>-169198</v>
      </c>
      <c r="D18" s="169">
        <v>-229096</v>
      </c>
      <c r="E18" s="169">
        <v>-443328</v>
      </c>
      <c r="F18" s="169">
        <v>-733605</v>
      </c>
      <c r="G18" s="169">
        <v>-790739</v>
      </c>
      <c r="H18" s="169">
        <v>-937761.13</v>
      </c>
      <c r="I18" s="246"/>
      <c r="J18" s="169">
        <v>-81861</v>
      </c>
      <c r="K18" s="169">
        <v>-93046</v>
      </c>
      <c r="L18" s="169">
        <v>-121250</v>
      </c>
      <c r="M18" s="169">
        <v>-147171</v>
      </c>
      <c r="N18" s="169">
        <v>-145120</v>
      </c>
      <c r="O18" s="169">
        <v>-172466</v>
      </c>
      <c r="P18" s="169">
        <v>-176232</v>
      </c>
      <c r="Q18" s="169">
        <v>-239787</v>
      </c>
      <c r="R18" s="169">
        <v>-172412</v>
      </c>
      <c r="S18" s="169">
        <v>-186249</v>
      </c>
      <c r="T18" s="169">
        <v>-210661</v>
      </c>
      <c r="U18" s="169">
        <v>-221417</v>
      </c>
      <c r="V18" s="169">
        <v>-190463</v>
      </c>
      <c r="W18" s="169">
        <v>-204206.56551999997</v>
      </c>
      <c r="X18" s="169">
        <v>-258954.60447999998</v>
      </c>
      <c r="Y18" s="169">
        <v>-284136.96000000008</v>
      </c>
      <c r="Z18" s="169"/>
      <c r="AA18" s="397">
        <f>Y18/X18-1</f>
        <v>9.7246216457776979E-2</v>
      </c>
      <c r="AB18" s="397">
        <f>Y18/U18-1</f>
        <v>0.28326623520325933</v>
      </c>
    </row>
    <row r="19" spans="1:28" ht="13" customHeight="1">
      <c r="A19" s="242"/>
      <c r="B19" s="22" t="str">
        <f>IF('Summary | Sumário'!D$6=Names!B$3,Names!M15,Names!N15)</f>
        <v>Depreciation and amortization</v>
      </c>
      <c r="C19" s="271">
        <v>-17463</v>
      </c>
      <c r="D19" s="271">
        <v>-43659</v>
      </c>
      <c r="E19" s="271">
        <v>-94250.52</v>
      </c>
      <c r="F19" s="271">
        <v>-163972</v>
      </c>
      <c r="G19" s="271">
        <v>-160440</v>
      </c>
      <c r="H19" s="271">
        <v>-208829.429</v>
      </c>
      <c r="I19" s="246"/>
      <c r="J19" s="271">
        <v>-19166</v>
      </c>
      <c r="K19" s="271">
        <v>-25338</v>
      </c>
      <c r="L19" s="271">
        <v>-30883</v>
      </c>
      <c r="M19" s="271">
        <v>-18863.520000000004</v>
      </c>
      <c r="N19" s="271">
        <v>-36478</v>
      </c>
      <c r="O19" s="271">
        <v>-35511</v>
      </c>
      <c r="P19" s="271">
        <v>-35620</v>
      </c>
      <c r="Q19" s="271">
        <v>-56363</v>
      </c>
      <c r="R19" s="271">
        <v>-37577</v>
      </c>
      <c r="S19" s="271">
        <v>-41130</v>
      </c>
      <c r="T19" s="271">
        <v>-40591</v>
      </c>
      <c r="U19" s="271">
        <v>-41142</v>
      </c>
      <c r="V19" s="271">
        <v>-41900</v>
      </c>
      <c r="W19" s="271">
        <v>-53034.879000000001</v>
      </c>
      <c r="X19" s="271">
        <v>-53349</v>
      </c>
      <c r="Y19" s="271">
        <v>-60545.549999999988</v>
      </c>
      <c r="Z19" s="169"/>
      <c r="AA19" s="645">
        <f t="shared" ref="AA19:AA21" si="4">Y19/X19-1</f>
        <v>0.13489568689197529</v>
      </c>
      <c r="AB19" s="645">
        <f t="shared" ref="AB19:AB22" si="5">Y19/U19-1</f>
        <v>0.47162388799766641</v>
      </c>
    </row>
    <row r="20" spans="1:28" ht="13" customHeight="1">
      <c r="A20" s="242"/>
      <c r="B20" s="16" t="str">
        <f>IF('Summary | Sumário'!D$6=Names!B$3,Names!M16,Names!N16)</f>
        <v>Tax expenses</v>
      </c>
      <c r="C20" s="246">
        <v>0</v>
      </c>
      <c r="D20" s="246">
        <v>0</v>
      </c>
      <c r="E20" s="246">
        <v>-146721.22500000001</v>
      </c>
      <c r="F20" s="246">
        <v>-248588</v>
      </c>
      <c r="G20" s="246">
        <v>-326584</v>
      </c>
      <c r="H20" s="246">
        <v>-477037.39600000001</v>
      </c>
      <c r="I20" s="246"/>
      <c r="J20" s="246">
        <v>-27534.687000000002</v>
      </c>
      <c r="K20" s="246">
        <v>-30373</v>
      </c>
      <c r="L20" s="246">
        <v>-40645.811999999998</v>
      </c>
      <c r="M20" s="246">
        <v>-48167.726000000002</v>
      </c>
      <c r="N20" s="246">
        <v>-56693</v>
      </c>
      <c r="O20" s="246">
        <v>-61600</v>
      </c>
      <c r="P20" s="246">
        <v>-61544</v>
      </c>
      <c r="Q20" s="246">
        <v>-68751</v>
      </c>
      <c r="R20" s="246">
        <v>-68871</v>
      </c>
      <c r="S20" s="246">
        <v>-72463</v>
      </c>
      <c r="T20" s="246">
        <v>-94072</v>
      </c>
      <c r="U20" s="246">
        <v>-91178</v>
      </c>
      <c r="V20" s="246">
        <v>-86331</v>
      </c>
      <c r="W20" s="246">
        <v>-99417.270999999993</v>
      </c>
      <c r="X20" s="246">
        <v>-123632.909</v>
      </c>
      <c r="Y20" s="246">
        <v>-167656.21600000001</v>
      </c>
      <c r="Z20" s="246"/>
      <c r="AA20" s="397">
        <f t="shared" si="4"/>
        <v>0.35608081501989108</v>
      </c>
      <c r="AB20" s="397">
        <f t="shared" si="5"/>
        <v>0.83877926692842597</v>
      </c>
    </row>
    <row r="21" spans="1:28" ht="13" customHeight="1">
      <c r="A21" s="242"/>
      <c r="B21" s="22" t="str">
        <f>IF('Summary | Sumário'!D$6=Names!B$3,Names!M17,Names!N17)</f>
        <v>Administrative expenses</v>
      </c>
      <c r="C21" s="245">
        <v>-386309</v>
      </c>
      <c r="D21" s="245">
        <v>-641327</v>
      </c>
      <c r="E21" s="245">
        <v>-1164239.7749999999</v>
      </c>
      <c r="F21" s="245">
        <v>-1494484</v>
      </c>
      <c r="G21" s="245">
        <v>-1461348</v>
      </c>
      <c r="H21" s="245">
        <v>-1769055.128</v>
      </c>
      <c r="I21" s="246"/>
      <c r="J21" s="245">
        <v>-219095.31299999999</v>
      </c>
      <c r="K21" s="245">
        <v>-272761</v>
      </c>
      <c r="L21" s="245">
        <v>-235355.18799999999</v>
      </c>
      <c r="M21" s="245">
        <v>-437028.27399999998</v>
      </c>
      <c r="N21" s="245">
        <v>-376806</v>
      </c>
      <c r="O21" s="245">
        <v>-348618</v>
      </c>
      <c r="P21" s="245">
        <v>-379946</v>
      </c>
      <c r="Q21" s="245">
        <v>-389114</v>
      </c>
      <c r="R21" s="245">
        <v>-385615</v>
      </c>
      <c r="S21" s="245">
        <v>-347868</v>
      </c>
      <c r="T21" s="245">
        <v>-362877</v>
      </c>
      <c r="U21" s="245">
        <v>-364988</v>
      </c>
      <c r="V21" s="245">
        <v>-395244</v>
      </c>
      <c r="W21" s="245">
        <v>-402827.25400000002</v>
      </c>
      <c r="X21" s="245">
        <v>-474826</v>
      </c>
      <c r="Y21" s="245">
        <v>-496157.87400000007</v>
      </c>
      <c r="Z21" s="246"/>
      <c r="AA21" s="645">
        <f t="shared" si="4"/>
        <v>4.4925665401642112E-2</v>
      </c>
      <c r="AB21" s="645">
        <f t="shared" si="5"/>
        <v>0.35938133308492359</v>
      </c>
    </row>
    <row r="22" spans="1:28" ht="13" customHeight="1">
      <c r="A22" s="242"/>
      <c r="B22" s="51" t="str">
        <f>IF('Summary | Sumário'!D$6=Names!B$3,Names!M19,Names!N19)</f>
        <v>Income from equity interests in affiliates</v>
      </c>
      <c r="C22" s="246">
        <v>0</v>
      </c>
      <c r="D22" s="246">
        <v>0</v>
      </c>
      <c r="E22" s="246">
        <v>-8764</v>
      </c>
      <c r="F22" s="246">
        <v>-17384</v>
      </c>
      <c r="G22" s="246">
        <v>-32040</v>
      </c>
      <c r="H22" s="246">
        <v>-2480</v>
      </c>
      <c r="I22" s="246"/>
      <c r="J22" s="246">
        <v>0</v>
      </c>
      <c r="K22" s="246">
        <v>3893</v>
      </c>
      <c r="L22" s="246">
        <v>-5454</v>
      </c>
      <c r="M22" s="246">
        <v>-7203</v>
      </c>
      <c r="N22" s="246">
        <v>-5572</v>
      </c>
      <c r="O22" s="246">
        <v>-4490</v>
      </c>
      <c r="P22" s="246">
        <v>-3892</v>
      </c>
      <c r="Q22" s="246">
        <v>-3430</v>
      </c>
      <c r="R22" s="246">
        <v>-3061</v>
      </c>
      <c r="S22" s="246">
        <v>-23465</v>
      </c>
      <c r="T22" s="246">
        <v>-4070.8986899999982</v>
      </c>
      <c r="U22" s="246">
        <v>-1443.1013100000018</v>
      </c>
      <c r="V22" s="246">
        <v>-2223</v>
      </c>
      <c r="W22" s="246">
        <v>-257.02199999999999</v>
      </c>
      <c r="X22" s="246">
        <v>0</v>
      </c>
      <c r="Y22" s="246">
        <v>0</v>
      </c>
      <c r="Z22" s="246"/>
      <c r="AA22" s="397" t="str">
        <f>IFERROR(Y22/X22-1,"n.m.")</f>
        <v>n.m.</v>
      </c>
      <c r="AB22" s="397">
        <f t="shared" si="5"/>
        <v>-1</v>
      </c>
    </row>
    <row r="23" spans="1:28" ht="13" customHeight="1">
      <c r="A23" s="242"/>
      <c r="B23" s="341" t="str">
        <f>IF('Summary | Sumário'!D$6=Names!B$3,Names!M20,Names!N20)</f>
        <v>Profit / (loss) before income tax</v>
      </c>
      <c r="C23" s="337">
        <v>683.66099999996368</v>
      </c>
      <c r="D23" s="337">
        <v>-7175.1048200000077</v>
      </c>
      <c r="E23" s="337">
        <v>-231061.27400000021</v>
      </c>
      <c r="F23" s="337">
        <v>-178572.81500000041</v>
      </c>
      <c r="G23" s="337">
        <v>439842</v>
      </c>
      <c r="H23" s="337">
        <v>1205549.5823173386</v>
      </c>
      <c r="I23" s="258"/>
      <c r="J23" s="337">
        <v>-37560.065000000002</v>
      </c>
      <c r="K23" s="337">
        <v>-117652.24899999995</v>
      </c>
      <c r="L23" s="337">
        <v>34916.880000000005</v>
      </c>
      <c r="M23" s="337">
        <v>-110766.84000000008</v>
      </c>
      <c r="N23" s="337">
        <v>-100093.9850000001</v>
      </c>
      <c r="O23" s="337">
        <v>11871.311000000103</v>
      </c>
      <c r="P23" s="337">
        <v>-70043.533000000054</v>
      </c>
      <c r="Q23" s="337">
        <v>-20306.608000000007</v>
      </c>
      <c r="R23" s="337">
        <v>5897.1240000000689</v>
      </c>
      <c r="S23" s="337">
        <v>80299</v>
      </c>
      <c r="T23" s="337">
        <v>145354</v>
      </c>
      <c r="U23" s="337">
        <v>208291.87599999993</v>
      </c>
      <c r="V23" s="337">
        <v>273732</v>
      </c>
      <c r="W23" s="337">
        <v>297607</v>
      </c>
      <c r="X23" s="337">
        <v>293952.08107357216</v>
      </c>
      <c r="Y23" s="337">
        <v>340258.50124376646</v>
      </c>
      <c r="Z23" s="258"/>
      <c r="AA23" s="387">
        <f>Y23/X23-1</f>
        <v>0.15753050633652244</v>
      </c>
      <c r="AB23" s="387">
        <f>Y23/U23-1</f>
        <v>0.63356587773863327</v>
      </c>
    </row>
    <row r="24" spans="1:28" ht="13" customHeight="1">
      <c r="A24" s="242"/>
      <c r="AA24" s="261"/>
      <c r="AB24" s="261"/>
    </row>
    <row r="25" spans="1:28" ht="13" customHeight="1">
      <c r="A25" s="242"/>
      <c r="B25" s="53" t="str">
        <f>IF('Summary | Sumário'!D$6=Names!B$3,Names!M27,Names!N27)</f>
        <v>Income tax and social contribution</v>
      </c>
      <c r="C25" s="268">
        <v>29686</v>
      </c>
      <c r="D25" s="268">
        <v>37709</v>
      </c>
      <c r="E25" s="268">
        <v>175993</v>
      </c>
      <c r="F25" s="268">
        <v>164494</v>
      </c>
      <c r="G25" s="268">
        <v>-87581</v>
      </c>
      <c r="H25" s="268">
        <v>-232708.78587989899</v>
      </c>
      <c r="I25" s="206"/>
      <c r="J25" s="268">
        <v>34867</v>
      </c>
      <c r="K25" s="268">
        <v>87154</v>
      </c>
      <c r="L25" s="268">
        <v>-568.73549999999886</v>
      </c>
      <c r="M25" s="268">
        <v>54540.735499999995</v>
      </c>
      <c r="N25" s="268">
        <v>71272</v>
      </c>
      <c r="O25" s="268">
        <v>3654</v>
      </c>
      <c r="P25" s="268">
        <v>40448</v>
      </c>
      <c r="Q25" s="268">
        <v>49120</v>
      </c>
      <c r="R25" s="268">
        <v>18319</v>
      </c>
      <c r="S25" s="268">
        <v>-16127</v>
      </c>
      <c r="T25" s="268">
        <v>-41194</v>
      </c>
      <c r="U25" s="268">
        <v>-48579</v>
      </c>
      <c r="V25" s="268">
        <v>-78512</v>
      </c>
      <c r="W25" s="268">
        <v>-74943.733999999997</v>
      </c>
      <c r="X25" s="268">
        <v>-33942</v>
      </c>
      <c r="Y25" s="268">
        <v>-45311.051879898987</v>
      </c>
      <c r="Z25" s="215"/>
      <c r="AA25" s="410">
        <f>Y25/X25-1</f>
        <v>0.33495527310998141</v>
      </c>
      <c r="AB25" s="410">
        <f>Y25/U25-1</f>
        <v>-6.7270798495255413E-2</v>
      </c>
    </row>
    <row r="26" spans="1:28" ht="13" customHeight="1">
      <c r="A26" s="242"/>
      <c r="B26" s="342" t="str">
        <f>IF('Summary | Sumário'!D$6=Names!B$3,Names!M24,Names!N24)</f>
        <v>Profit / (loss) for the period</v>
      </c>
      <c r="C26" s="339">
        <v>30369.660999999964</v>
      </c>
      <c r="D26" s="339">
        <v>30533.895179999992</v>
      </c>
      <c r="E26" s="339">
        <v>-55068</v>
      </c>
      <c r="F26" s="339">
        <v>-14078.81500000041</v>
      </c>
      <c r="G26" s="339">
        <v>352260</v>
      </c>
      <c r="H26" s="339">
        <v>972841.09212010098</v>
      </c>
      <c r="I26" s="258"/>
      <c r="J26" s="339">
        <v>-2693.0650000000023</v>
      </c>
      <c r="K26" s="339">
        <v>-30498.248999999953</v>
      </c>
      <c r="L26" s="339">
        <v>34348.144500000009</v>
      </c>
      <c r="M26" s="339">
        <v>-56225.264500000005</v>
      </c>
      <c r="N26" s="339">
        <v>-28821.985000000102</v>
      </c>
      <c r="O26" s="339">
        <v>15525.311000000103</v>
      </c>
      <c r="P26" s="339">
        <v>-29595.533000000054</v>
      </c>
      <c r="Q26" s="339">
        <v>28813.391999999643</v>
      </c>
      <c r="R26" s="339">
        <v>24216</v>
      </c>
      <c r="S26" s="339">
        <v>64172</v>
      </c>
      <c r="T26" s="339">
        <v>104161</v>
      </c>
      <c r="U26" s="339">
        <v>159712.87599999993</v>
      </c>
      <c r="V26" s="339">
        <v>195220</v>
      </c>
      <c r="W26" s="339">
        <v>222664.266</v>
      </c>
      <c r="X26" s="339">
        <v>260010.08107357216</v>
      </c>
      <c r="Y26" s="339">
        <v>294946.74504652875</v>
      </c>
      <c r="Z26" s="258"/>
      <c r="AA26" s="411">
        <f>Y26/X26-1</f>
        <v>0.13436657466781443</v>
      </c>
      <c r="AB26" s="411">
        <f>Y26/U26-1</f>
        <v>0.84673116177889685</v>
      </c>
    </row>
    <row r="27" spans="1:28" ht="13" customHeight="1">
      <c r="B27" s="8"/>
      <c r="C27" s="628"/>
      <c r="D27" s="628"/>
      <c r="E27" s="628"/>
      <c r="F27" s="628"/>
      <c r="G27" s="628"/>
      <c r="H27" s="628"/>
      <c r="I27" s="272"/>
      <c r="J27" s="628"/>
      <c r="K27" s="628"/>
      <c r="L27" s="628"/>
      <c r="M27" s="628"/>
      <c r="N27" s="628"/>
      <c r="O27" s="628"/>
      <c r="P27" s="628"/>
      <c r="Q27" s="628"/>
      <c r="R27" s="628"/>
      <c r="S27" s="628"/>
      <c r="T27" s="628"/>
      <c r="U27" s="628"/>
      <c r="V27" s="628"/>
      <c r="W27" s="628"/>
      <c r="X27" s="628"/>
      <c r="Y27" s="628"/>
      <c r="Z27" s="272"/>
      <c r="AA27" s="272"/>
      <c r="AB27" s="272"/>
    </row>
    <row r="28" spans="1:28" ht="13" customHeight="1">
      <c r="B28" s="26" t="str">
        <f>IF('Summary | Sumário'!D$6=Names!B$3,Names!M29,Names!N29)</f>
        <v>Profit attributable to:</v>
      </c>
    </row>
    <row r="29" spans="1:28" ht="13" customHeight="1">
      <c r="B29" s="8" t="str">
        <f>IF('Summary | Sumário'!D$6=Names!B$3,Names!M30,Names!N30)</f>
        <v>Owners of the Company</v>
      </c>
      <c r="C29" s="268">
        <v>27683</v>
      </c>
      <c r="D29" s="268">
        <v>17911</v>
      </c>
      <c r="E29" s="268">
        <v>-72664</v>
      </c>
      <c r="F29" s="268">
        <v>-11090</v>
      </c>
      <c r="G29" s="268">
        <v>302343</v>
      </c>
      <c r="H29" s="268">
        <v>907132</v>
      </c>
      <c r="I29" s="206"/>
      <c r="J29" s="268">
        <v>-8659</v>
      </c>
      <c r="K29" s="268">
        <v>-12029</v>
      </c>
      <c r="L29" s="268">
        <v>3148.9583099999968</v>
      </c>
      <c r="M29" s="268">
        <v>-55124.958310000002</v>
      </c>
      <c r="N29" s="268">
        <v>3272</v>
      </c>
      <c r="O29" s="268">
        <v>-16590</v>
      </c>
      <c r="P29" s="268">
        <v>-30008</v>
      </c>
      <c r="Q29" s="268">
        <v>32236</v>
      </c>
      <c r="R29" s="268">
        <v>11405</v>
      </c>
      <c r="S29" s="268">
        <v>48746</v>
      </c>
      <c r="T29" s="268">
        <v>91291</v>
      </c>
      <c r="U29" s="268">
        <v>150901</v>
      </c>
      <c r="V29" s="268">
        <v>182793</v>
      </c>
      <c r="W29" s="268">
        <v>206479</v>
      </c>
      <c r="X29" s="268">
        <v>242671</v>
      </c>
      <c r="Y29" s="268">
        <v>275189</v>
      </c>
      <c r="AA29" s="410">
        <f>Y29/X29-1</f>
        <v>0.13400035438927604</v>
      </c>
      <c r="AB29" s="410">
        <f>Y29/U29-1</f>
        <v>0.82363933969953806</v>
      </c>
    </row>
    <row r="30" spans="1:28" ht="13" customHeight="1">
      <c r="B30" s="25" t="str">
        <f>IF('Summary | Sumário'!D$6=Names!B$3,Names!M31,Names!N31)</f>
        <v>Non-controlling shareholders</v>
      </c>
      <c r="C30" s="246">
        <v>2687</v>
      </c>
      <c r="D30" s="246">
        <v>12775</v>
      </c>
      <c r="E30" s="246">
        <v>17597</v>
      </c>
      <c r="F30" s="246">
        <v>-2989</v>
      </c>
      <c r="G30" s="246">
        <v>49917</v>
      </c>
      <c r="H30" s="246">
        <v>65709</v>
      </c>
      <c r="I30" s="246"/>
      <c r="J30" s="246">
        <v>5966</v>
      </c>
      <c r="K30" s="246">
        <v>-18469</v>
      </c>
      <c r="L30" s="246">
        <v>31198.785119999917</v>
      </c>
      <c r="M30" s="246">
        <v>-1098.7851199999168</v>
      </c>
      <c r="N30" s="246">
        <v>-32094</v>
      </c>
      <c r="O30" s="246">
        <v>32115</v>
      </c>
      <c r="P30" s="246">
        <v>413</v>
      </c>
      <c r="Q30" s="246">
        <v>-3423</v>
      </c>
      <c r="R30" s="246">
        <v>12810</v>
      </c>
      <c r="S30" s="246">
        <v>15426</v>
      </c>
      <c r="T30" s="246">
        <v>12870</v>
      </c>
      <c r="U30" s="246">
        <v>8811</v>
      </c>
      <c r="V30" s="246">
        <v>12427</v>
      </c>
      <c r="W30" s="246">
        <v>16186</v>
      </c>
      <c r="X30" s="246">
        <v>17340</v>
      </c>
      <c r="Y30" s="246">
        <v>19756</v>
      </c>
      <c r="AA30" s="397">
        <f>Y30/X30-1</f>
        <v>0.13933102652825835</v>
      </c>
      <c r="AB30" s="397">
        <f>Y30/U30-1</f>
        <v>1.2421972534332086</v>
      </c>
    </row>
    <row r="32" spans="1:28" ht="13" customHeight="1">
      <c r="B32" s="714"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32" s="133" t="s">
        <v>893</v>
      </c>
      <c r="Y32" s="217"/>
    </row>
    <row r="33" spans="2:31" ht="13" customHeight="1">
      <c r="B33" s="714"/>
    </row>
    <row r="34" spans="2:31" ht="13" customHeight="1">
      <c r="B34" s="714"/>
      <c r="AE34" s="217"/>
    </row>
    <row r="35" spans="2:31" ht="13" customHeight="1">
      <c r="B35" s="714"/>
    </row>
    <row r="36" spans="2:31" ht="13" customHeight="1">
      <c r="B36" s="714"/>
    </row>
  </sheetData>
  <sheetProtection algorithmName="SHA-512" hashValue="oQ71D76glGFi6lVB+MO0V/Kux8zMLo6QnkibGCEcgZnw3/M/OJ79lGPm/pX7e0aLgcdMkR0MeW7h1sZyY6BXpw==" saltValue="OpvAT+oesBMbDFSPTSQRXQ==" spinCount="100000" sheet="1" formatCells="0" formatColumns="0" formatRows="0" insertColumns="0" insertRows="0" insertHyperlinks="0" deleteColumns="0" deleteRows="0" sort="0" autoFilter="0" pivotTables="0"/>
  <mergeCells count="1">
    <mergeCell ref="B32:B36"/>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CD0F-7799-2A4B-B9E4-8C47FBB9B062}">
  <sheetPr codeName="Sheet5">
    <tabColor rgb="FFEB7100"/>
  </sheetPr>
  <dimension ref="A1:AH12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3" customWidth="1"/>
    <col min="9" max="9" width="2.83203125" style="133" customWidth="1"/>
    <col min="10" max="18" width="10.83203125" style="133" customWidth="1"/>
    <col min="19" max="24" width="10.83203125" style="133"/>
    <col min="25" max="25" width="10.83203125" style="133" customWidth="1"/>
    <col min="26" max="26" width="5.83203125" style="133" customWidth="1"/>
    <col min="27" max="16384" width="10.83203125" style="133"/>
  </cols>
  <sheetData>
    <row r="1" spans="1:34" ht="13" customHeight="1">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row>
    <row r="2" spans="1:34" s="10" customFormat="1" ht="13" customHeight="1">
      <c r="B2" s="310" t="str">
        <f>IF('Summary | Sumário'!D$6=Names!B$3,Names!O1,Names!P1)</f>
        <v>Credit (IFRS, R$ Thousands)</v>
      </c>
      <c r="C2" s="131">
        <f>IF('Summary | Sumário'!D6=Names!B3,Names!C2,Names!D2)</f>
        <v>2019</v>
      </c>
      <c r="D2" s="131">
        <f>IF('Summary | Sumário'!D6=Names!B3,Names!C3,Names!D3)</f>
        <v>2020</v>
      </c>
      <c r="E2" s="131">
        <f>IF('Summary | Sumário'!D6=Names!B3,Names!C4,Names!D4)</f>
        <v>2021</v>
      </c>
      <c r="F2" s="131">
        <f>IF('Summary | Sumário'!D6=Names!B3,Names!C5,Names!D5)</f>
        <v>2022</v>
      </c>
      <c r="G2" s="131">
        <f>IF('Summary | Sumário'!D6=Names!B3,Names!C18,Names!D18)</f>
        <v>2023</v>
      </c>
      <c r="H2" s="562">
        <f>IF('Summary | Sumário'!D6=Names!B3,Names!C23,Names!D23)</f>
        <v>2024</v>
      </c>
      <c r="I2" s="399"/>
      <c r="J2" s="20" t="str">
        <f>IF('Summary | Sumário'!D6=Names!B3,Names!C6,Names!D6)</f>
        <v>1Q21</v>
      </c>
      <c r="K2" s="20" t="str">
        <f>IF('Summary | Sumário'!D6=Names!B3,Names!C7,Names!D7)</f>
        <v>2Q21</v>
      </c>
      <c r="L2" s="20"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58"/>
      <c r="AD2" s="58"/>
      <c r="AE2" s="11"/>
      <c r="AG2" s="12"/>
      <c r="AH2" s="13"/>
    </row>
    <row r="3" spans="1:34" ht="13" customHeight="1">
      <c r="B3" s="14"/>
      <c r="C3" s="144"/>
      <c r="D3" s="144"/>
      <c r="E3" s="144"/>
      <c r="F3" s="144"/>
      <c r="G3" s="144"/>
      <c r="H3" s="311"/>
      <c r="I3" s="398"/>
      <c r="J3" s="145"/>
      <c r="K3" s="145"/>
      <c r="L3" s="145"/>
      <c r="M3" s="145"/>
      <c r="N3" s="145"/>
      <c r="O3" s="145"/>
      <c r="P3" s="145"/>
      <c r="Q3" s="145"/>
      <c r="R3" s="145"/>
      <c r="S3" s="145"/>
      <c r="T3" s="145"/>
      <c r="U3" s="145"/>
      <c r="V3" s="145"/>
      <c r="W3" s="145"/>
      <c r="X3" s="145"/>
      <c r="Y3" s="137"/>
      <c r="Z3" s="138"/>
      <c r="AA3" s="138"/>
      <c r="AB3" s="138"/>
    </row>
    <row r="4" spans="1:34" s="163" customFormat="1" ht="13" customHeight="1">
      <c r="A4" s="161"/>
      <c r="B4" s="3" t="str">
        <f>IF('Summary | Sumário'!D$6=Names!B$3,Names!O2,Names!P2)</f>
        <v>Loan portfolio</v>
      </c>
      <c r="C4" s="210"/>
      <c r="D4" s="210"/>
      <c r="E4" s="210"/>
      <c r="F4" s="210"/>
      <c r="G4" s="210"/>
      <c r="H4" s="210"/>
      <c r="I4" s="210"/>
      <c r="J4" s="210"/>
      <c r="K4" s="210"/>
      <c r="L4" s="210"/>
      <c r="M4" s="210"/>
      <c r="N4" s="210"/>
      <c r="O4" s="210"/>
      <c r="P4" s="210"/>
      <c r="Q4" s="210"/>
      <c r="R4" s="210"/>
      <c r="S4" s="210"/>
      <c r="T4" s="210"/>
      <c r="U4" s="210"/>
      <c r="V4" s="210"/>
      <c r="W4" s="210"/>
      <c r="X4" s="210"/>
      <c r="Y4" s="210"/>
      <c r="Z4" s="210"/>
      <c r="AA4" s="209"/>
      <c r="AB4" s="209"/>
    </row>
    <row r="5" spans="1:34" ht="13" customHeight="1">
      <c r="A5" s="242"/>
      <c r="B5" s="343" t="str">
        <f>IF('Summary | Sumário'!D$6=Names!B$3,Names!O3,Names!P3)</f>
        <v>Gross loans and advances to customers</v>
      </c>
      <c r="C5" s="344">
        <f>SUM(C6:C10)</f>
        <v>4777387</v>
      </c>
      <c r="D5" s="344">
        <f t="shared" ref="D5:R5" si="0">SUM(D6:D10)</f>
        <v>8790058</v>
      </c>
      <c r="E5" s="344">
        <f>M5</f>
        <v>17216362</v>
      </c>
      <c r="F5" s="344">
        <f>Q5</f>
        <v>22698328</v>
      </c>
      <c r="G5" s="344">
        <f>U5</f>
        <v>29784301</v>
      </c>
      <c r="H5" s="344">
        <f>Y5</f>
        <v>35596293</v>
      </c>
      <c r="I5" s="206"/>
      <c r="J5" s="344">
        <f t="shared" si="0"/>
        <v>10242909.3443</v>
      </c>
      <c r="K5" s="344">
        <f t="shared" si="0"/>
        <v>12527246</v>
      </c>
      <c r="L5" s="344">
        <f t="shared" si="0"/>
        <v>14860083</v>
      </c>
      <c r="M5" s="344">
        <f t="shared" si="0"/>
        <v>17216362</v>
      </c>
      <c r="N5" s="344">
        <f t="shared" si="0"/>
        <v>18176304</v>
      </c>
      <c r="O5" s="344">
        <f t="shared" si="0"/>
        <v>19484646.399999999</v>
      </c>
      <c r="P5" s="344">
        <f t="shared" si="0"/>
        <v>21005268</v>
      </c>
      <c r="Q5" s="344">
        <f t="shared" si="0"/>
        <v>22698328</v>
      </c>
      <c r="R5" s="344">
        <f t="shared" si="0"/>
        <v>23832874</v>
      </c>
      <c r="S5" s="344">
        <f t="shared" ref="S5:T5" si="1">SUM(S6:S10)</f>
        <v>25141383</v>
      </c>
      <c r="T5" s="344">
        <f t="shared" si="1"/>
        <v>27043601</v>
      </c>
      <c r="U5" s="344">
        <f t="shared" ref="U5:V5" si="2">SUM(U6:U10)</f>
        <v>29784301</v>
      </c>
      <c r="V5" s="344">
        <f t="shared" si="2"/>
        <v>30858626.881090201</v>
      </c>
      <c r="W5" s="344">
        <f t="shared" ref="W5:X5" si="3">SUM(W6:W10)</f>
        <v>32971552</v>
      </c>
      <c r="X5" s="344">
        <f t="shared" si="3"/>
        <v>33705888</v>
      </c>
      <c r="Y5" s="344">
        <f t="shared" ref="Y5" si="4">SUM(Y6:Y10)</f>
        <v>35596293</v>
      </c>
      <c r="Z5" s="206"/>
      <c r="AA5" s="415">
        <f>Y5/X5-1</f>
        <v>5.60853047396348E-2</v>
      </c>
      <c r="AB5" s="415">
        <f>Y5/U5-1</f>
        <v>0.19513608863944798</v>
      </c>
    </row>
    <row r="6" spans="1:34" ht="13" customHeight="1">
      <c r="A6" s="242"/>
      <c r="B6" s="54" t="str">
        <f>IF('Summary | Sumário'!D$6=Names!B$3,Names!O4,Names!P4)</f>
        <v>Real estate</v>
      </c>
      <c r="C6" s="251">
        <v>2519153</v>
      </c>
      <c r="D6" s="251">
        <v>3471356</v>
      </c>
      <c r="E6" s="251">
        <f t="shared" ref="E6:E12" si="5">M6</f>
        <v>5121411</v>
      </c>
      <c r="F6" s="251">
        <f t="shared" ref="F6:F12" si="6">Q6</f>
        <v>6251813</v>
      </c>
      <c r="G6" s="251">
        <f t="shared" ref="G6:G12" si="7">U6</f>
        <v>8583568</v>
      </c>
      <c r="H6" s="251">
        <f t="shared" ref="H6:H12" si="8">Y6</f>
        <v>11250187</v>
      </c>
      <c r="I6" s="251"/>
      <c r="J6" s="251">
        <v>3925594.9876600001</v>
      </c>
      <c r="K6" s="251">
        <v>4211173</v>
      </c>
      <c r="L6" s="251">
        <v>4703223</v>
      </c>
      <c r="M6" s="251">
        <v>5121411</v>
      </c>
      <c r="N6" s="251">
        <v>5350879</v>
      </c>
      <c r="O6" s="251">
        <v>5647720</v>
      </c>
      <c r="P6" s="251">
        <v>5930070</v>
      </c>
      <c r="Q6" s="251">
        <v>6251813</v>
      </c>
      <c r="R6" s="251">
        <v>6616802</v>
      </c>
      <c r="S6" s="251">
        <v>7020433</v>
      </c>
      <c r="T6" s="251">
        <v>7527810</v>
      </c>
      <c r="U6" s="251">
        <v>8583568</v>
      </c>
      <c r="V6" s="251">
        <v>9124375.4985301998</v>
      </c>
      <c r="W6" s="251">
        <v>9703768</v>
      </c>
      <c r="X6" s="251">
        <v>10266209</v>
      </c>
      <c r="Y6" s="251">
        <v>11250187</v>
      </c>
      <c r="Z6" s="251"/>
      <c r="AA6" s="233">
        <f t="shared" ref="AA6:AA11" si="9">Y6/X6-1</f>
        <v>9.5846285615264648E-2</v>
      </c>
      <c r="AB6" s="233">
        <f t="shared" ref="AB6:AB11" si="10">Y6/U6-1</f>
        <v>0.31066556471621132</v>
      </c>
      <c r="AC6" s="180"/>
      <c r="AD6" s="180"/>
      <c r="AE6" s="180"/>
    </row>
    <row r="7" spans="1:34" ht="13" customHeight="1">
      <c r="A7" s="242"/>
      <c r="B7" s="59" t="str">
        <f>IF('Summary | Sumário'!D$6=Names!B$3,Names!O5,Names!P5)</f>
        <v>Personal</v>
      </c>
      <c r="C7" s="252">
        <v>1002386</v>
      </c>
      <c r="D7" s="252">
        <v>1653554</v>
      </c>
      <c r="E7" s="252">
        <f t="shared" si="5"/>
        <v>3579283</v>
      </c>
      <c r="F7" s="252">
        <f t="shared" si="6"/>
        <v>5463781</v>
      </c>
      <c r="G7" s="252">
        <f t="shared" si="7"/>
        <v>7138744</v>
      </c>
      <c r="H7" s="252">
        <f t="shared" si="8"/>
        <v>8236791</v>
      </c>
      <c r="I7" s="251"/>
      <c r="J7" s="252">
        <v>2123654.0038399999</v>
      </c>
      <c r="K7" s="252">
        <v>2620848</v>
      </c>
      <c r="L7" s="252">
        <v>3100640</v>
      </c>
      <c r="M7" s="252">
        <v>3579283</v>
      </c>
      <c r="N7" s="252">
        <v>3936755</v>
      </c>
      <c r="O7" s="252">
        <v>4460508.5</v>
      </c>
      <c r="P7" s="252">
        <v>5057444</v>
      </c>
      <c r="Q7" s="252">
        <v>5463781</v>
      </c>
      <c r="R7" s="252">
        <v>6081266</v>
      </c>
      <c r="S7" s="252">
        <v>6500480</v>
      </c>
      <c r="T7" s="252">
        <v>6663058</v>
      </c>
      <c r="U7" s="252">
        <v>7138744</v>
      </c>
      <c r="V7" s="252">
        <v>7437794.5190500002</v>
      </c>
      <c r="W7" s="252">
        <v>7555457</v>
      </c>
      <c r="X7" s="252">
        <v>8003536</v>
      </c>
      <c r="Y7" s="252">
        <v>8236791</v>
      </c>
      <c r="Z7" s="251"/>
      <c r="AA7" s="232">
        <f t="shared" si="9"/>
        <v>2.9143993354937114E-2</v>
      </c>
      <c r="AB7" s="232">
        <f t="shared" si="10"/>
        <v>0.15381515291765613</v>
      </c>
      <c r="AC7" s="180"/>
      <c r="AD7" s="180"/>
      <c r="AE7" s="180"/>
    </row>
    <row r="8" spans="1:34" ht="13" customHeight="1">
      <c r="A8" s="242"/>
      <c r="B8" s="54" t="str">
        <f>IF('Summary | Sumário'!D$6=Names!B$3,Names!O6,Names!P6)</f>
        <v>SME</v>
      </c>
      <c r="C8" s="251">
        <v>472304</v>
      </c>
      <c r="D8" s="251">
        <v>1582869</v>
      </c>
      <c r="E8" s="251">
        <f t="shared" si="5"/>
        <v>3017159</v>
      </c>
      <c r="F8" s="251">
        <f t="shared" si="6"/>
        <v>3392500</v>
      </c>
      <c r="G8" s="251">
        <f t="shared" si="7"/>
        <v>3855754</v>
      </c>
      <c r="H8" s="251">
        <f t="shared" si="8"/>
        <v>3968591</v>
      </c>
      <c r="I8" s="251"/>
      <c r="J8" s="251">
        <v>1572378.9388100002</v>
      </c>
      <c r="K8" s="251">
        <v>2153921</v>
      </c>
      <c r="L8" s="251">
        <v>2703302</v>
      </c>
      <c r="M8" s="251">
        <v>3017159</v>
      </c>
      <c r="N8" s="251">
        <v>2929546</v>
      </c>
      <c r="O8" s="251">
        <v>2905002.5</v>
      </c>
      <c r="P8" s="251">
        <v>2978792</v>
      </c>
      <c r="Q8" s="251">
        <v>3392500</v>
      </c>
      <c r="R8" s="251">
        <v>3110840</v>
      </c>
      <c r="S8" s="251">
        <v>3215316</v>
      </c>
      <c r="T8" s="251">
        <v>3438526</v>
      </c>
      <c r="U8" s="251">
        <v>3855754</v>
      </c>
      <c r="V8" s="251">
        <v>3376688</v>
      </c>
      <c r="W8" s="251">
        <v>4359140</v>
      </c>
      <c r="X8" s="251">
        <v>4149476</v>
      </c>
      <c r="Y8" s="251">
        <v>3968591</v>
      </c>
      <c r="Z8" s="251"/>
      <c r="AA8" s="233">
        <f t="shared" si="9"/>
        <v>-4.3592251166171381E-2</v>
      </c>
      <c r="AB8" s="233">
        <f t="shared" si="10"/>
        <v>2.9264574451585812E-2</v>
      </c>
      <c r="AC8" s="180"/>
      <c r="AD8" s="180"/>
      <c r="AE8" s="180"/>
    </row>
    <row r="9" spans="1:34" ht="13" customHeight="1">
      <c r="A9" s="242"/>
      <c r="B9" s="59" t="str">
        <f>IF('Summary | Sumário'!D$6=Names!B$3,Names!O7,Names!P7)</f>
        <v>Credit cards</v>
      </c>
      <c r="C9" s="252">
        <v>783544</v>
      </c>
      <c r="D9" s="252">
        <v>1904642</v>
      </c>
      <c r="E9" s="252">
        <f t="shared" si="5"/>
        <v>4798318</v>
      </c>
      <c r="F9" s="252">
        <f t="shared" si="6"/>
        <v>6870565</v>
      </c>
      <c r="G9" s="252">
        <f t="shared" si="7"/>
        <v>9461277</v>
      </c>
      <c r="H9" s="252">
        <f t="shared" si="8"/>
        <v>11799890</v>
      </c>
      <c r="I9" s="251"/>
      <c r="J9" s="252">
        <v>2404920.48868</v>
      </c>
      <c r="K9" s="252">
        <v>3116734</v>
      </c>
      <c r="L9" s="252">
        <v>3807684</v>
      </c>
      <c r="M9" s="252">
        <v>4798318</v>
      </c>
      <c r="N9" s="252">
        <v>5315930</v>
      </c>
      <c r="O9" s="252">
        <v>5981406.4000000004</v>
      </c>
      <c r="P9" s="252">
        <v>6411572</v>
      </c>
      <c r="Q9" s="252">
        <v>6870565</v>
      </c>
      <c r="R9" s="252">
        <v>7273032</v>
      </c>
      <c r="S9" s="252">
        <v>7681011</v>
      </c>
      <c r="T9" s="252">
        <v>8650139</v>
      </c>
      <c r="U9" s="252">
        <v>9461277</v>
      </c>
      <c r="V9" s="252">
        <v>10111845.135790002</v>
      </c>
      <c r="W9" s="252">
        <v>10508082</v>
      </c>
      <c r="X9" s="252">
        <v>10769815</v>
      </c>
      <c r="Y9" s="252">
        <v>11799890</v>
      </c>
      <c r="Z9" s="251"/>
      <c r="AA9" s="232">
        <f t="shared" si="9"/>
        <v>9.5644632707247101E-2</v>
      </c>
      <c r="AB9" s="232">
        <f t="shared" si="10"/>
        <v>0.24717731020875933</v>
      </c>
      <c r="AC9" s="181"/>
      <c r="AD9" s="181"/>
      <c r="AE9" s="181"/>
    </row>
    <row r="10" spans="1:34" ht="13" customHeight="1">
      <c r="A10" s="242"/>
      <c r="B10" s="54" t="str">
        <f>IF('Summary | Sumário'!D$6=Names!B$3,Names!O8,Names!P8)</f>
        <v>Agribusiness</v>
      </c>
      <c r="C10" s="251">
        <v>0</v>
      </c>
      <c r="D10" s="251">
        <v>177637</v>
      </c>
      <c r="E10" s="251">
        <f t="shared" si="5"/>
        <v>700191</v>
      </c>
      <c r="F10" s="251">
        <f t="shared" si="6"/>
        <v>719669</v>
      </c>
      <c r="G10" s="251">
        <f t="shared" si="7"/>
        <v>744958</v>
      </c>
      <c r="H10" s="251">
        <f t="shared" si="8"/>
        <v>340834</v>
      </c>
      <c r="I10" s="251"/>
      <c r="J10" s="251">
        <v>216360.92530999999</v>
      </c>
      <c r="K10" s="251">
        <v>424570</v>
      </c>
      <c r="L10" s="251">
        <v>545234</v>
      </c>
      <c r="M10" s="251">
        <v>700191</v>
      </c>
      <c r="N10" s="251">
        <v>643194</v>
      </c>
      <c r="O10" s="251">
        <v>490009</v>
      </c>
      <c r="P10" s="251">
        <v>627390</v>
      </c>
      <c r="Q10" s="251">
        <v>719669</v>
      </c>
      <c r="R10" s="251">
        <v>750934</v>
      </c>
      <c r="S10" s="251">
        <v>724143</v>
      </c>
      <c r="T10" s="251">
        <v>764068</v>
      </c>
      <c r="U10" s="251">
        <v>744958</v>
      </c>
      <c r="V10" s="251">
        <v>807923.72772000008</v>
      </c>
      <c r="W10" s="251">
        <v>845105</v>
      </c>
      <c r="X10" s="251">
        <v>516852</v>
      </c>
      <c r="Y10" s="251">
        <v>340834</v>
      </c>
      <c r="Z10" s="251"/>
      <c r="AA10" s="233">
        <f t="shared" si="9"/>
        <v>-0.3405578386075705</v>
      </c>
      <c r="AB10" s="233">
        <f t="shared" si="10"/>
        <v>-0.54247890485101169</v>
      </c>
      <c r="AC10" s="180"/>
      <c r="AD10" s="180"/>
      <c r="AE10" s="180"/>
    </row>
    <row r="11" spans="1:34" ht="13" customHeight="1">
      <c r="A11" s="242"/>
      <c r="B11" s="53" t="str">
        <f>IF('Summary | Sumário'!D$6=Names!B$3,Names!O9,Names!P9)</f>
        <v>Prepayment of receivables</v>
      </c>
      <c r="C11" s="252">
        <v>0</v>
      </c>
      <c r="D11" s="252">
        <v>0</v>
      </c>
      <c r="E11" s="252">
        <f t="shared" si="5"/>
        <v>298104</v>
      </c>
      <c r="F11" s="252">
        <f t="shared" si="6"/>
        <v>1845665</v>
      </c>
      <c r="G11" s="252">
        <f t="shared" si="7"/>
        <v>1236536</v>
      </c>
      <c r="H11" s="252">
        <f t="shared" si="8"/>
        <v>5586520.30516</v>
      </c>
      <c r="I11" s="251"/>
      <c r="J11" s="252">
        <v>85776.282000000007</v>
      </c>
      <c r="K11" s="252">
        <v>71515.061000000002</v>
      </c>
      <c r="L11" s="252">
        <v>97555.932000000001</v>
      </c>
      <c r="M11" s="252">
        <v>298104</v>
      </c>
      <c r="N11" s="252">
        <v>347353.58600000001</v>
      </c>
      <c r="O11" s="252">
        <v>379917.21</v>
      </c>
      <c r="P11" s="252">
        <v>1029786.0000000001</v>
      </c>
      <c r="Q11" s="252">
        <v>1845665</v>
      </c>
      <c r="R11" s="252">
        <v>1296424</v>
      </c>
      <c r="S11" s="252">
        <v>1332977</v>
      </c>
      <c r="T11" s="252">
        <v>1215142</v>
      </c>
      <c r="U11" s="252">
        <v>1236536</v>
      </c>
      <c r="V11" s="252">
        <v>1284996.6508599999</v>
      </c>
      <c r="W11" s="252">
        <v>2702819.41658</v>
      </c>
      <c r="X11" s="252">
        <v>4353998.8030500002</v>
      </c>
      <c r="Y11" s="252">
        <v>5586520.30516</v>
      </c>
      <c r="Z11" s="251"/>
      <c r="AA11" s="232">
        <f t="shared" si="9"/>
        <v>0.28307805258159724</v>
      </c>
      <c r="AB11" s="232">
        <f t="shared" si="10"/>
        <v>3.5178792248345374</v>
      </c>
      <c r="AC11" s="180"/>
      <c r="AD11" s="180"/>
      <c r="AE11" s="180"/>
    </row>
    <row r="12" spans="1:34" ht="13" customHeight="1">
      <c r="A12" s="242"/>
      <c r="B12" s="342" t="str">
        <f>IF('Summary | Sumário'!D$6=Names!B$3,Names!O10,Names!P10)</f>
        <v>Gross loan portfolio</v>
      </c>
      <c r="C12" s="345">
        <f>C5+C11</f>
        <v>4777387</v>
      </c>
      <c r="D12" s="345">
        <f t="shared" ref="D12:R12" si="11">D5+D11</f>
        <v>8790058</v>
      </c>
      <c r="E12" s="345">
        <f t="shared" si="5"/>
        <v>17514466</v>
      </c>
      <c r="F12" s="345">
        <f t="shared" si="6"/>
        <v>24543993</v>
      </c>
      <c r="G12" s="345">
        <f t="shared" si="7"/>
        <v>31020837</v>
      </c>
      <c r="H12" s="345">
        <f t="shared" si="8"/>
        <v>41182813.305160001</v>
      </c>
      <c r="I12" s="165"/>
      <c r="J12" s="345">
        <f t="shared" si="11"/>
        <v>10328685.6263</v>
      </c>
      <c r="K12" s="345">
        <f t="shared" si="11"/>
        <v>12598761.061000001</v>
      </c>
      <c r="L12" s="345">
        <f t="shared" si="11"/>
        <v>14957638.932</v>
      </c>
      <c r="M12" s="345">
        <f>M5+M11</f>
        <v>17514466</v>
      </c>
      <c r="N12" s="345">
        <f t="shared" si="11"/>
        <v>18523657.585999999</v>
      </c>
      <c r="O12" s="345">
        <f t="shared" si="11"/>
        <v>19864563.609999999</v>
      </c>
      <c r="P12" s="345">
        <f t="shared" si="11"/>
        <v>22035054</v>
      </c>
      <c r="Q12" s="345">
        <f t="shared" si="11"/>
        <v>24543993</v>
      </c>
      <c r="R12" s="345">
        <f t="shared" si="11"/>
        <v>25129298</v>
      </c>
      <c r="S12" s="345">
        <f t="shared" ref="S12:T12" si="12">S5+S11</f>
        <v>26474360</v>
      </c>
      <c r="T12" s="345">
        <f t="shared" si="12"/>
        <v>28258743</v>
      </c>
      <c r="U12" s="345">
        <f t="shared" ref="U12:V12" si="13">U5+U11</f>
        <v>31020837</v>
      </c>
      <c r="V12" s="345">
        <f t="shared" si="13"/>
        <v>32143623.531950202</v>
      </c>
      <c r="W12" s="345">
        <f t="shared" ref="W12:X12" si="14">W5+W11</f>
        <v>35674371.416579999</v>
      </c>
      <c r="X12" s="345">
        <f t="shared" si="14"/>
        <v>38059886.803049996</v>
      </c>
      <c r="Y12" s="345">
        <f t="shared" ref="Y12" si="15">Y5+Y11</f>
        <v>41182813.305160001</v>
      </c>
      <c r="Z12" s="165"/>
      <c r="AA12" s="352">
        <f>Y12/X12-1</f>
        <v>8.2052963485423236E-2</v>
      </c>
      <c r="AB12" s="352">
        <f>Y12/U12-1</f>
        <v>0.32758549697288952</v>
      </c>
      <c r="AE12" s="180"/>
    </row>
    <row r="13" spans="1:34" ht="13" customHeight="1">
      <c r="A13" s="242"/>
      <c r="B13" s="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382"/>
      <c r="AB13" s="382"/>
    </row>
    <row r="14" spans="1:34" ht="13" customHeight="1">
      <c r="A14" s="242"/>
      <c r="B14" s="24" t="str">
        <f>IF('Summary | Sumário'!D$6=Names!B$3,Names!O11,Names!P11)</f>
        <v>Net loans and advances to customers</v>
      </c>
      <c r="C14" s="305"/>
      <c r="D14" s="305"/>
      <c r="E14" s="305"/>
      <c r="F14" s="305"/>
      <c r="G14" s="305"/>
      <c r="H14" s="305"/>
      <c r="I14" s="210"/>
      <c r="J14" s="305"/>
      <c r="K14" s="305"/>
      <c r="L14" s="305"/>
      <c r="M14" s="305"/>
      <c r="N14" s="305"/>
      <c r="O14" s="305"/>
      <c r="P14" s="305"/>
      <c r="Q14" s="305"/>
      <c r="R14" s="305"/>
      <c r="S14" s="305"/>
      <c r="T14" s="305"/>
      <c r="U14" s="305"/>
      <c r="V14" s="305"/>
      <c r="W14" s="305"/>
      <c r="X14" s="305"/>
      <c r="Y14" s="305"/>
      <c r="Z14" s="210"/>
      <c r="AA14" s="384"/>
      <c r="AB14" s="384"/>
    </row>
    <row r="15" spans="1:34" ht="13" customHeight="1">
      <c r="A15" s="242"/>
      <c r="B15" s="346" t="str">
        <f>IF('Summary | Sumário'!D$6=Names!B$3,Names!O12,Names!P12)</f>
        <v>Gross loans and advances to customers</v>
      </c>
      <c r="C15" s="347">
        <f>C5</f>
        <v>4777387</v>
      </c>
      <c r="D15" s="347">
        <f t="shared" ref="D15:R15" si="16">D5</f>
        <v>8790058</v>
      </c>
      <c r="E15" s="347">
        <f t="shared" ref="E15:E17" si="17">M15</f>
        <v>17216362</v>
      </c>
      <c r="F15" s="347">
        <f t="shared" ref="F15:F17" si="18">Q15</f>
        <v>22698328</v>
      </c>
      <c r="G15" s="347">
        <f t="shared" ref="G15:G17" si="19">U15</f>
        <v>29784301</v>
      </c>
      <c r="H15" s="347">
        <f>Y15</f>
        <v>35596293</v>
      </c>
      <c r="I15" s="206"/>
      <c r="J15" s="347">
        <f t="shared" si="16"/>
        <v>10242909.3443</v>
      </c>
      <c r="K15" s="347">
        <f t="shared" si="16"/>
        <v>12527246</v>
      </c>
      <c r="L15" s="347">
        <f t="shared" si="16"/>
        <v>14860083</v>
      </c>
      <c r="M15" s="347">
        <f t="shared" si="16"/>
        <v>17216362</v>
      </c>
      <c r="N15" s="347">
        <f t="shared" si="16"/>
        <v>18176304</v>
      </c>
      <c r="O15" s="347">
        <f t="shared" si="16"/>
        <v>19484646.399999999</v>
      </c>
      <c r="P15" s="347">
        <f t="shared" si="16"/>
        <v>21005268</v>
      </c>
      <c r="Q15" s="347">
        <f t="shared" si="16"/>
        <v>22698328</v>
      </c>
      <c r="R15" s="347">
        <f t="shared" si="16"/>
        <v>23832874</v>
      </c>
      <c r="S15" s="347">
        <f t="shared" ref="S15:T15" si="20">S5</f>
        <v>25141383</v>
      </c>
      <c r="T15" s="347">
        <f t="shared" si="20"/>
        <v>27043601</v>
      </c>
      <c r="U15" s="347">
        <f t="shared" ref="U15:V15" si="21">U5</f>
        <v>29784301</v>
      </c>
      <c r="V15" s="347">
        <f t="shared" si="21"/>
        <v>30858626.881090201</v>
      </c>
      <c r="W15" s="347">
        <f t="shared" ref="W15:X15" si="22">W5</f>
        <v>32971552</v>
      </c>
      <c r="X15" s="347">
        <f t="shared" si="22"/>
        <v>33705888</v>
      </c>
      <c r="Y15" s="347">
        <f t="shared" ref="Y15" si="23">Y5</f>
        <v>35596293</v>
      </c>
      <c r="Z15" s="206"/>
      <c r="AA15" s="417">
        <f>Y15/X15-1</f>
        <v>5.60853047396348E-2</v>
      </c>
      <c r="AB15" s="417">
        <f>Y15/U15-1</f>
        <v>0.19513608863944798</v>
      </c>
    </row>
    <row r="16" spans="1:34" ht="13" customHeight="1">
      <c r="A16" s="242"/>
      <c r="B16" s="53" t="str">
        <f>IF('Summary | Sumário'!D$6=Names!B$3,Names!O13,Names!P13)</f>
        <v>(-) Provision for expected loss</v>
      </c>
      <c r="C16" s="252">
        <v>-215563</v>
      </c>
      <c r="D16" s="252">
        <v>-282355</v>
      </c>
      <c r="E16" s="252">
        <f t="shared" si="17"/>
        <v>-680932.27827000001</v>
      </c>
      <c r="F16" s="252">
        <f t="shared" si="18"/>
        <v>-1318412</v>
      </c>
      <c r="G16" s="252">
        <f t="shared" si="19"/>
        <v>-1883758</v>
      </c>
      <c r="H16" s="252">
        <f t="shared" ref="H16:H17" si="24">Y16</f>
        <v>-2268938</v>
      </c>
      <c r="I16" s="251"/>
      <c r="J16" s="252">
        <v>-334789</v>
      </c>
      <c r="K16" s="252">
        <v>-486763</v>
      </c>
      <c r="L16" s="252">
        <v>-558546</v>
      </c>
      <c r="M16" s="252">
        <v>-680932.27827000001</v>
      </c>
      <c r="N16" s="252">
        <v>-801672</v>
      </c>
      <c r="O16" s="252">
        <v>-974457</v>
      </c>
      <c r="P16" s="252">
        <v>-1184365</v>
      </c>
      <c r="Q16" s="252">
        <v>-1318412</v>
      </c>
      <c r="R16" s="252">
        <v>-1461707</v>
      </c>
      <c r="S16" s="252">
        <v>-1617401</v>
      </c>
      <c r="T16" s="252">
        <v>-1746981</v>
      </c>
      <c r="U16" s="252">
        <v>-1883758</v>
      </c>
      <c r="V16" s="252">
        <v>-2031628</v>
      </c>
      <c r="W16" s="252">
        <v>-2164911.7689999999</v>
      </c>
      <c r="X16" s="252">
        <v>-2227466</v>
      </c>
      <c r="Y16" s="252">
        <v>-2268938</v>
      </c>
      <c r="Z16" s="251"/>
      <c r="AA16" s="643">
        <f>Y16/X16-1</f>
        <v>1.8618466005766221E-2</v>
      </c>
      <c r="AB16" s="643">
        <f>Y16/U16-1</f>
        <v>0.20447424775369227</v>
      </c>
    </row>
    <row r="17" spans="1:30" ht="13" customHeight="1">
      <c r="A17" s="242"/>
      <c r="B17" s="342" t="str">
        <f>IF('Summary | Sumário'!D$6=Names!B$3,Names!O14,Names!P14)</f>
        <v>Net loans and advances to customers</v>
      </c>
      <c r="C17" s="345">
        <f>C15+C16</f>
        <v>4561824</v>
      </c>
      <c r="D17" s="345">
        <f t="shared" ref="D17:R17" si="25">D15+D16</f>
        <v>8507703</v>
      </c>
      <c r="E17" s="345">
        <f t="shared" si="17"/>
        <v>16535429.721729999</v>
      </c>
      <c r="F17" s="345">
        <f t="shared" si="18"/>
        <v>21379916</v>
      </c>
      <c r="G17" s="345">
        <f t="shared" si="19"/>
        <v>27900543</v>
      </c>
      <c r="H17" s="345">
        <f t="shared" si="24"/>
        <v>33327355</v>
      </c>
      <c r="I17" s="165"/>
      <c r="J17" s="345">
        <f t="shared" si="25"/>
        <v>9908120.3443</v>
      </c>
      <c r="K17" s="345">
        <f t="shared" si="25"/>
        <v>12040483</v>
      </c>
      <c r="L17" s="345">
        <f t="shared" si="25"/>
        <v>14301537</v>
      </c>
      <c r="M17" s="345">
        <f t="shared" si="25"/>
        <v>16535429.721729999</v>
      </c>
      <c r="N17" s="345">
        <f t="shared" si="25"/>
        <v>17374632</v>
      </c>
      <c r="O17" s="345">
        <f t="shared" si="25"/>
        <v>18510189.399999999</v>
      </c>
      <c r="P17" s="345">
        <f t="shared" si="25"/>
        <v>19820903</v>
      </c>
      <c r="Q17" s="345">
        <f t="shared" si="25"/>
        <v>21379916</v>
      </c>
      <c r="R17" s="345">
        <f t="shared" si="25"/>
        <v>22371167</v>
      </c>
      <c r="S17" s="345">
        <f t="shared" ref="S17:T17" si="26">S15+S16</f>
        <v>23523982</v>
      </c>
      <c r="T17" s="345">
        <f t="shared" si="26"/>
        <v>25296620</v>
      </c>
      <c r="U17" s="345">
        <f t="shared" ref="U17:V17" si="27">U15+U16</f>
        <v>27900543</v>
      </c>
      <c r="V17" s="345">
        <f t="shared" si="27"/>
        <v>28826998.881090201</v>
      </c>
      <c r="W17" s="345">
        <f t="shared" ref="W17:X17" si="28">W15+W16</f>
        <v>30806640.230999999</v>
      </c>
      <c r="X17" s="345">
        <f t="shared" si="28"/>
        <v>31478422</v>
      </c>
      <c r="Y17" s="345">
        <f t="shared" ref="Y17" si="29">Y15+Y16</f>
        <v>33327355</v>
      </c>
      <c r="Z17" s="165"/>
      <c r="AA17" s="401">
        <f>Y17/X17-1</f>
        <v>5.8736521163608613E-2</v>
      </c>
      <c r="AB17" s="401">
        <f>Y17/U17-1</f>
        <v>0.19450560514180681</v>
      </c>
    </row>
    <row r="18" spans="1:30" ht="13" customHeight="1">
      <c r="A18" s="242"/>
      <c r="B18" s="53"/>
      <c r="C18" s="252"/>
      <c r="D18" s="252"/>
      <c r="E18" s="252"/>
      <c r="F18" s="252"/>
      <c r="G18" s="252"/>
      <c r="H18" s="252"/>
      <c r="I18" s="251"/>
      <c r="J18" s="252"/>
      <c r="K18" s="252"/>
      <c r="L18" s="252"/>
      <c r="M18" s="252"/>
      <c r="N18" s="252"/>
      <c r="O18" s="252"/>
      <c r="P18" s="252"/>
      <c r="Q18" s="252"/>
      <c r="R18" s="252"/>
      <c r="S18" s="252"/>
      <c r="T18" s="252"/>
      <c r="U18" s="252"/>
      <c r="V18" s="252"/>
      <c r="W18" s="252"/>
      <c r="X18" s="252"/>
      <c r="Y18" s="252"/>
      <c r="Z18" s="251"/>
      <c r="AA18" s="416"/>
      <c r="AB18" s="416"/>
    </row>
    <row r="19" spans="1:30" ht="13" customHeight="1">
      <c r="A19" s="242"/>
      <c r="B19" s="3" t="str">
        <f>IF('Summary | Sumário'!D$6=Names!B$3,Names!O15,Names!P15)</f>
        <v>NPL &gt; 90 days</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09"/>
      <c r="AB19" s="209"/>
    </row>
    <row r="20" spans="1:30" ht="13" customHeight="1">
      <c r="A20" s="242"/>
      <c r="B20" s="343" t="str">
        <f>IF('Summary | Sumário'!D$6=Names!B$3,Names!O16,Names!P16)</f>
        <v>NPL &gt; 90 days</v>
      </c>
      <c r="C20" s="348">
        <v>220389.40100000001</v>
      </c>
      <c r="D20" s="348">
        <v>269061.29599999997</v>
      </c>
      <c r="E20" s="348">
        <f t="shared" ref="E20:E22" si="30">M20</f>
        <v>519936.66624999954</v>
      </c>
      <c r="F20" s="348">
        <f t="shared" ref="F20:F22" si="31">Q20</f>
        <v>999522.19583999994</v>
      </c>
      <c r="G20" s="348">
        <f t="shared" ref="G20:G22" si="32">U20</f>
        <v>1425372.2890000001</v>
      </c>
      <c r="H20" s="348">
        <f t="shared" ref="H20:H22" si="33">Y20</f>
        <v>1737079.07705</v>
      </c>
      <c r="I20" s="246"/>
      <c r="J20" s="348">
        <v>284231.98275000002</v>
      </c>
      <c r="K20" s="348">
        <v>375711.22700000001</v>
      </c>
      <c r="L20" s="348">
        <v>451788.65100000001</v>
      </c>
      <c r="M20" s="348">
        <v>519936.66624999954</v>
      </c>
      <c r="N20" s="348">
        <v>635025.51165999984</v>
      </c>
      <c r="O20" s="348">
        <v>754933.16899999999</v>
      </c>
      <c r="P20" s="348">
        <v>838860.77459000004</v>
      </c>
      <c r="Q20" s="348">
        <v>999522.19583999994</v>
      </c>
      <c r="R20" s="348">
        <v>1112112.51</v>
      </c>
      <c r="S20" s="348">
        <v>1242634.2890000001</v>
      </c>
      <c r="T20" s="348">
        <v>1324578.226</v>
      </c>
      <c r="U20" s="348">
        <v>1425372.2890000001</v>
      </c>
      <c r="V20" s="348">
        <v>1552791.92823</v>
      </c>
      <c r="W20" s="348">
        <v>1663073.9831000001</v>
      </c>
      <c r="X20" s="348">
        <v>1719621.82455</v>
      </c>
      <c r="Y20" s="348">
        <v>1737079.07705</v>
      </c>
      <c r="Z20" s="246"/>
      <c r="AA20" s="418">
        <f>Y20/X20-1</f>
        <v>1.0151797477080837E-2</v>
      </c>
      <c r="AB20" s="418">
        <f>Y20/U20-1</f>
        <v>0.21868447314117789</v>
      </c>
      <c r="AC20" s="266"/>
      <c r="AD20" s="266"/>
    </row>
    <row r="21" spans="1:30" ht="13" customHeight="1">
      <c r="A21" s="242"/>
      <c r="B21" s="51" t="str">
        <f>IF('Summary | Sumário'!D$6=Names!B$3,Names!O17,Names!P17)</f>
        <v>NPL &gt; 90 days (%)</v>
      </c>
      <c r="C21" s="253">
        <v>4.613178731386007E-2</v>
      </c>
      <c r="D21" s="253">
        <v>3.0609729310091011E-2</v>
      </c>
      <c r="E21" s="253">
        <f t="shared" si="30"/>
        <v>3.0200147176854177E-2</v>
      </c>
      <c r="F21" s="253">
        <f t="shared" si="31"/>
        <v>4.4035058258035567E-2</v>
      </c>
      <c r="G21" s="253">
        <f t="shared" si="32"/>
        <v>4.7856496246126444E-2</v>
      </c>
      <c r="H21" s="253">
        <f t="shared" si="33"/>
        <v>4.8799437543959982E-2</v>
      </c>
      <c r="I21" s="253"/>
      <c r="J21" s="253">
        <v>2.7749145598771716E-2</v>
      </c>
      <c r="K21" s="253">
        <v>2.9991526230106761E-2</v>
      </c>
      <c r="L21" s="253">
        <v>3.0402834963976985E-2</v>
      </c>
      <c r="M21" s="253">
        <v>3.0200147176854177E-2</v>
      </c>
      <c r="N21" s="253">
        <v>3.4936998834306461E-2</v>
      </c>
      <c r="O21" s="253">
        <v>3.8745027931325456E-2</v>
      </c>
      <c r="P21" s="253">
        <v>3.9935733007072323E-2</v>
      </c>
      <c r="Q21" s="253">
        <v>4.4035058258035567E-2</v>
      </c>
      <c r="R21" s="253">
        <v>4.6662962679196812E-2</v>
      </c>
      <c r="S21" s="253">
        <v>4.9425852547570676E-2</v>
      </c>
      <c r="T21" s="253">
        <v>4.897935840718845E-2</v>
      </c>
      <c r="U21" s="253">
        <v>4.7856496246126444E-2</v>
      </c>
      <c r="V21" s="253">
        <v>5.0319540600866214E-2</v>
      </c>
      <c r="W21" s="253">
        <v>5.0439663352820033E-2</v>
      </c>
      <c r="X21" s="253">
        <v>5.1018439999266599E-2</v>
      </c>
      <c r="Y21" s="253">
        <v>4.8799437543959982E-2</v>
      </c>
      <c r="Z21" s="253"/>
      <c r="AA21" s="426">
        <f>(Y21-X21)*100</f>
        <v>-0.22190024553066165</v>
      </c>
      <c r="AB21" s="426">
        <f>(Y21-U21)*100</f>
        <v>9.4294129783353831E-2</v>
      </c>
    </row>
    <row r="22" spans="1:30" ht="13" customHeight="1">
      <c r="A22" s="242"/>
      <c r="B22" s="53" t="str">
        <f>IF('Summary | Sumário'!D$6=Names!B$3,Names!O18,Names!P18)</f>
        <v>NPL &gt; 90 days (including anticipation of credit card receivables, %)</v>
      </c>
      <c r="C22" s="256">
        <v>4.613178731386007E-2</v>
      </c>
      <c r="D22" s="256">
        <v>3.0609729310091011E-2</v>
      </c>
      <c r="E22" s="256">
        <f t="shared" si="30"/>
        <v>2.9686127241903896E-2</v>
      </c>
      <c r="F22" s="256">
        <f t="shared" si="31"/>
        <v>4.07236995153967E-2</v>
      </c>
      <c r="G22" s="256">
        <f t="shared" si="32"/>
        <v>4.5948866208864708E-2</v>
      </c>
      <c r="H22" s="256">
        <f t="shared" si="33"/>
        <v>4.2179708903771096E-2</v>
      </c>
      <c r="I22" s="253"/>
      <c r="J22" s="256">
        <v>2.7518698219089782E-2</v>
      </c>
      <c r="K22" s="256">
        <v>2.982128363105719E-2</v>
      </c>
      <c r="L22" s="256">
        <v>3.0204543180505222E-2</v>
      </c>
      <c r="M22" s="256">
        <v>2.9686127241903896E-2</v>
      </c>
      <c r="N22" s="256">
        <v>3.428186408174301E-2</v>
      </c>
      <c r="O22" s="256">
        <v>3.8004014778354349E-2</v>
      </c>
      <c r="P22" s="256">
        <v>3.8069376847907885E-2</v>
      </c>
      <c r="Q22" s="256">
        <v>4.07236995153967E-2</v>
      </c>
      <c r="R22" s="256">
        <v>4.425561390533074E-2</v>
      </c>
      <c r="S22" s="256">
        <v>4.6937273988870744E-2</v>
      </c>
      <c r="T22" s="256">
        <v>4.6873218175344886E-2</v>
      </c>
      <c r="U22" s="256">
        <v>4.5948866208864708E-2</v>
      </c>
      <c r="V22" s="256">
        <v>4.8307930395170035E-2</v>
      </c>
      <c r="W22" s="256">
        <v>4.6618172011492563E-2</v>
      </c>
      <c r="X22" s="256">
        <v>4.5182000499596732E-2</v>
      </c>
      <c r="Y22" s="256">
        <v>4.2179708903771096E-2</v>
      </c>
      <c r="Z22" s="253"/>
      <c r="AA22" s="640">
        <f t="shared" ref="AA22" si="34">(Y22-X22)*100</f>
        <v>-0.30022915958256358</v>
      </c>
      <c r="AB22" s="640">
        <f t="shared" ref="AB22" si="35">(Y22-U22)*100</f>
        <v>-0.37691573050936122</v>
      </c>
    </row>
    <row r="24" spans="1:30" ht="13" customHeight="1">
      <c r="A24" s="242"/>
      <c r="B24" s="24" t="str">
        <f>IF('Summary | Sumário'!D$6=Names!B$3,Names!O121,Names!P121)</f>
        <v>Coverage Ratio</v>
      </c>
      <c r="C24" s="305"/>
      <c r="D24" s="305"/>
      <c r="E24" s="305"/>
      <c r="F24" s="305"/>
      <c r="G24" s="305"/>
      <c r="H24" s="305"/>
      <c r="I24" s="210"/>
      <c r="J24" s="305"/>
      <c r="K24" s="305"/>
      <c r="L24" s="305"/>
      <c r="M24" s="305"/>
      <c r="N24" s="305"/>
      <c r="O24" s="305"/>
      <c r="P24" s="305"/>
      <c r="Q24" s="305"/>
      <c r="R24" s="305"/>
      <c r="S24" s="305"/>
      <c r="T24" s="305"/>
      <c r="U24" s="305"/>
      <c r="V24" s="305"/>
      <c r="W24" s="305"/>
      <c r="X24" s="305"/>
      <c r="Y24" s="305"/>
      <c r="Z24" s="210"/>
      <c r="AA24" s="384"/>
      <c r="AB24" s="384"/>
    </row>
    <row r="25" spans="1:30" ht="13" customHeight="1">
      <c r="A25" s="242"/>
      <c r="B25" s="346" t="str">
        <f>IF('Summary | Sumário'!D$6=Names!B$3,Names!O122,Names!P122)</f>
        <v>Total provision</v>
      </c>
      <c r="C25" s="347">
        <f>-C16</f>
        <v>215563</v>
      </c>
      <c r="D25" s="347">
        <f>-D16</f>
        <v>282355</v>
      </c>
      <c r="E25" s="347">
        <f t="shared" ref="E25:E29" si="36">M25</f>
        <v>712098.27827000001</v>
      </c>
      <c r="F25" s="347">
        <f t="shared" ref="F25:F29" si="37">Q25</f>
        <v>1347743</v>
      </c>
      <c r="G25" s="347">
        <f t="shared" ref="G25:G29" si="38">U25</f>
        <v>1914842</v>
      </c>
      <c r="H25" s="347">
        <f t="shared" ref="H25:H29" si="39">Y25</f>
        <v>2366883</v>
      </c>
      <c r="I25" s="206"/>
      <c r="J25" s="347">
        <f t="shared" ref="J25:X25" si="40">J26+J27</f>
        <v>334789</v>
      </c>
      <c r="K25" s="347">
        <f t="shared" si="40"/>
        <v>486763</v>
      </c>
      <c r="L25" s="347">
        <f t="shared" si="40"/>
        <v>558546</v>
      </c>
      <c r="M25" s="347">
        <f t="shared" si="40"/>
        <v>712098.27827000001</v>
      </c>
      <c r="N25" s="347">
        <f t="shared" si="40"/>
        <v>835255</v>
      </c>
      <c r="O25" s="347">
        <f t="shared" si="40"/>
        <v>1011777</v>
      </c>
      <c r="P25" s="347">
        <f t="shared" si="40"/>
        <v>1217027</v>
      </c>
      <c r="Q25" s="347">
        <f t="shared" si="40"/>
        <v>1347743</v>
      </c>
      <c r="R25" s="347">
        <f t="shared" si="40"/>
        <v>1492058</v>
      </c>
      <c r="S25" s="347">
        <f t="shared" si="40"/>
        <v>1652313</v>
      </c>
      <c r="T25" s="347">
        <f t="shared" si="40"/>
        <v>1774858.99</v>
      </c>
      <c r="U25" s="347">
        <f t="shared" si="40"/>
        <v>1914842</v>
      </c>
      <c r="V25" s="347">
        <f t="shared" si="40"/>
        <v>2058685.3508600041</v>
      </c>
      <c r="W25" s="347">
        <f t="shared" si="40"/>
        <v>2164911.7689999999</v>
      </c>
      <c r="X25" s="347">
        <f t="shared" si="40"/>
        <v>2227466</v>
      </c>
      <c r="Y25" s="347">
        <f>Y26+Y27</f>
        <v>2366883</v>
      </c>
      <c r="Z25" s="206"/>
      <c r="AA25" s="699">
        <f t="shared" ref="AA25:AA28" si="41">Y25/X25-1</f>
        <v>6.2589956479694786E-2</v>
      </c>
      <c r="AB25" s="699">
        <f t="shared" ref="AB25:AB28" si="42">Y25/U25-1</f>
        <v>0.23607221901337039</v>
      </c>
    </row>
    <row r="26" spans="1:30" ht="13" customHeight="1">
      <c r="A26" s="242"/>
      <c r="B26" s="700" t="str">
        <f>IF('Summary | Sumário'!D$6=Names!B$3,Names!O123,Names!P123)</f>
        <v>Provision for expected loss</v>
      </c>
      <c r="C26" s="701">
        <f>-C16</f>
        <v>215563</v>
      </c>
      <c r="D26" s="701">
        <f>-D16</f>
        <v>282355</v>
      </c>
      <c r="E26" s="245">
        <f t="shared" si="36"/>
        <v>680932.27827000001</v>
      </c>
      <c r="F26" s="245">
        <f t="shared" si="37"/>
        <v>1318412</v>
      </c>
      <c r="G26" s="245">
        <f t="shared" si="38"/>
        <v>1883758</v>
      </c>
      <c r="H26" s="245">
        <f t="shared" si="39"/>
        <v>2268938</v>
      </c>
      <c r="I26" s="259"/>
      <c r="J26" s="252">
        <f t="shared" ref="J26:X26" si="43">-J16</f>
        <v>334789</v>
      </c>
      <c r="K26" s="252">
        <f t="shared" si="43"/>
        <v>486763</v>
      </c>
      <c r="L26" s="252">
        <f t="shared" si="43"/>
        <v>558546</v>
      </c>
      <c r="M26" s="252">
        <f t="shared" si="43"/>
        <v>680932.27827000001</v>
      </c>
      <c r="N26" s="252">
        <f t="shared" si="43"/>
        <v>801672</v>
      </c>
      <c r="O26" s="252">
        <f t="shared" si="43"/>
        <v>974457</v>
      </c>
      <c r="P26" s="252">
        <f t="shared" si="43"/>
        <v>1184365</v>
      </c>
      <c r="Q26" s="252">
        <f t="shared" si="43"/>
        <v>1318412</v>
      </c>
      <c r="R26" s="252">
        <f t="shared" si="43"/>
        <v>1461707</v>
      </c>
      <c r="S26" s="252">
        <f t="shared" si="43"/>
        <v>1617401</v>
      </c>
      <c r="T26" s="252">
        <f t="shared" si="43"/>
        <v>1746981</v>
      </c>
      <c r="U26" s="252">
        <f t="shared" si="43"/>
        <v>1883758</v>
      </c>
      <c r="V26" s="252">
        <f t="shared" si="43"/>
        <v>2031628</v>
      </c>
      <c r="W26" s="252">
        <f t="shared" si="43"/>
        <v>2164911.7689999999</v>
      </c>
      <c r="X26" s="252">
        <f t="shared" si="43"/>
        <v>2227466</v>
      </c>
      <c r="Y26" s="252">
        <f>-Y16</f>
        <v>2268938</v>
      </c>
      <c r="Z26" s="259"/>
      <c r="AA26" s="702">
        <f t="shared" si="41"/>
        <v>1.8618466005766221E-2</v>
      </c>
      <c r="AB26" s="702">
        <f t="shared" si="42"/>
        <v>0.20447424775369227</v>
      </c>
    </row>
    <row r="27" spans="1:30" ht="13" customHeight="1">
      <c r="A27" s="242"/>
      <c r="B27" s="698" t="str">
        <f>IF('Summary | Sumário'!D$6=Names!B$3,Names!O124,Names!P124)</f>
        <v>Provision for expected credit losses on loan commitments</v>
      </c>
      <c r="C27" s="246">
        <v>0</v>
      </c>
      <c r="D27" s="246">
        <v>0</v>
      </c>
      <c r="E27" s="246">
        <f t="shared" si="36"/>
        <v>31166</v>
      </c>
      <c r="F27" s="246">
        <f t="shared" si="37"/>
        <v>29331</v>
      </c>
      <c r="G27" s="246">
        <f t="shared" si="38"/>
        <v>31084</v>
      </c>
      <c r="H27" s="246">
        <f t="shared" si="39"/>
        <v>97945</v>
      </c>
      <c r="I27" s="259"/>
      <c r="J27" s="246">
        <v>0</v>
      </c>
      <c r="K27" s="246">
        <v>0</v>
      </c>
      <c r="L27" s="246">
        <v>0</v>
      </c>
      <c r="M27" s="246">
        <v>31166</v>
      </c>
      <c r="N27" s="246">
        <v>33583</v>
      </c>
      <c r="O27" s="246">
        <v>37320</v>
      </c>
      <c r="P27" s="246">
        <v>32662</v>
      </c>
      <c r="Q27" s="246">
        <v>29331</v>
      </c>
      <c r="R27" s="246">
        <v>30351</v>
      </c>
      <c r="S27" s="246">
        <v>34912</v>
      </c>
      <c r="T27" s="246">
        <v>27877.99</v>
      </c>
      <c r="U27" s="246">
        <v>31084</v>
      </c>
      <c r="V27" s="246">
        <v>27057.350860004004</v>
      </c>
      <c r="W27" s="246">
        <v>0</v>
      </c>
      <c r="X27" s="246">
        <v>0</v>
      </c>
      <c r="Y27" s="246">
        <v>97945</v>
      </c>
      <c r="Z27" s="259"/>
      <c r="AA27" s="259" t="str">
        <f>IFERROR(Y27/X27-1,"n.m.")</f>
        <v>n.m.</v>
      </c>
      <c r="AB27" s="259">
        <f t="shared" si="42"/>
        <v>2.1509779951100243</v>
      </c>
    </row>
    <row r="28" spans="1:30" ht="13" customHeight="1">
      <c r="A28" s="242"/>
      <c r="B28" s="703" t="str">
        <f>IF('Summary | Sumário'!D$6=Names!B$3,Names!O126,Names!P126)</f>
        <v>(÷) NPL &gt; 90 days</v>
      </c>
      <c r="C28" s="245">
        <f>C20</f>
        <v>220389.40100000001</v>
      </c>
      <c r="D28" s="245">
        <f>D20</f>
        <v>269061.29599999997</v>
      </c>
      <c r="E28" s="245">
        <f t="shared" si="36"/>
        <v>519936.66624999954</v>
      </c>
      <c r="F28" s="245">
        <f t="shared" si="37"/>
        <v>999522.19583999994</v>
      </c>
      <c r="G28" s="245">
        <f t="shared" si="38"/>
        <v>1425372.2890000001</v>
      </c>
      <c r="H28" s="245">
        <f t="shared" si="39"/>
        <v>1737079.07705</v>
      </c>
      <c r="I28" s="246"/>
      <c r="J28" s="245">
        <f t="shared" ref="J28:X28" si="44">J20</f>
        <v>284231.98275000002</v>
      </c>
      <c r="K28" s="245">
        <f t="shared" si="44"/>
        <v>375711.22700000001</v>
      </c>
      <c r="L28" s="245">
        <f t="shared" si="44"/>
        <v>451788.65100000001</v>
      </c>
      <c r="M28" s="245">
        <f t="shared" si="44"/>
        <v>519936.66624999954</v>
      </c>
      <c r="N28" s="245">
        <f t="shared" si="44"/>
        <v>635025.51165999984</v>
      </c>
      <c r="O28" s="245">
        <f t="shared" si="44"/>
        <v>754933.16899999999</v>
      </c>
      <c r="P28" s="245">
        <f t="shared" si="44"/>
        <v>838860.77459000004</v>
      </c>
      <c r="Q28" s="245">
        <f t="shared" si="44"/>
        <v>999522.19583999994</v>
      </c>
      <c r="R28" s="245">
        <f t="shared" si="44"/>
        <v>1112112.51</v>
      </c>
      <c r="S28" s="245">
        <f t="shared" si="44"/>
        <v>1242634.2890000001</v>
      </c>
      <c r="T28" s="245">
        <f t="shared" si="44"/>
        <v>1324578.226</v>
      </c>
      <c r="U28" s="245">
        <f t="shared" si="44"/>
        <v>1425372.2890000001</v>
      </c>
      <c r="V28" s="245">
        <f t="shared" si="44"/>
        <v>1552791.92823</v>
      </c>
      <c r="W28" s="245">
        <f t="shared" si="44"/>
        <v>1663073.9831000001</v>
      </c>
      <c r="X28" s="245">
        <f t="shared" si="44"/>
        <v>1719621.82455</v>
      </c>
      <c r="Y28" s="245">
        <f>Y20</f>
        <v>1737079.07705</v>
      </c>
      <c r="Z28" s="246"/>
      <c r="AA28" s="702">
        <f t="shared" si="41"/>
        <v>1.0151797477080837E-2</v>
      </c>
      <c r="AB28" s="702">
        <f t="shared" si="42"/>
        <v>0.21868447314117789</v>
      </c>
      <c r="AC28" s="413"/>
      <c r="AD28" s="413"/>
    </row>
    <row r="29" spans="1:30" ht="13" customHeight="1">
      <c r="A29" s="242"/>
      <c r="B29" s="342" t="str">
        <f>IF('Summary | Sumário'!D$6=Names!B$3,Names!O125,Names!P125)</f>
        <v>Coverage ratio (%)</v>
      </c>
      <c r="C29" s="352">
        <f t="shared" ref="C29" si="45">K29</f>
        <v>1.2955774675319989</v>
      </c>
      <c r="D29" s="352">
        <f t="shared" ref="D29" si="46">L29</f>
        <v>1.2362993155399116</v>
      </c>
      <c r="E29" s="352">
        <f t="shared" si="36"/>
        <v>1.3695865756226624</v>
      </c>
      <c r="F29" s="352">
        <f t="shared" si="37"/>
        <v>1.3483872650445294</v>
      </c>
      <c r="G29" s="352">
        <f t="shared" si="38"/>
        <v>1.343397801947867</v>
      </c>
      <c r="H29" s="352">
        <f t="shared" si="39"/>
        <v>1.3625649121395018</v>
      </c>
      <c r="I29" s="165"/>
      <c r="J29" s="352">
        <f t="shared" ref="J29:X29" si="47">J25/J28</f>
        <v>1.1778723729850911</v>
      </c>
      <c r="K29" s="352">
        <f t="shared" si="47"/>
        <v>1.2955774675319989</v>
      </c>
      <c r="L29" s="352">
        <f t="shared" si="47"/>
        <v>1.2362993155399116</v>
      </c>
      <c r="M29" s="352">
        <f t="shared" si="47"/>
        <v>1.3695865756226624</v>
      </c>
      <c r="N29" s="352">
        <f t="shared" si="47"/>
        <v>1.3153093610626549</v>
      </c>
      <c r="O29" s="352">
        <f t="shared" si="47"/>
        <v>1.3402206202440683</v>
      </c>
      <c r="P29" s="352">
        <f t="shared" si="47"/>
        <v>1.4508092842877671</v>
      </c>
      <c r="Q29" s="352">
        <f t="shared" si="47"/>
        <v>1.3483872650445294</v>
      </c>
      <c r="R29" s="352">
        <f t="shared" si="47"/>
        <v>1.3416430321424944</v>
      </c>
      <c r="S29" s="352">
        <f t="shared" si="47"/>
        <v>1.3296856642590198</v>
      </c>
      <c r="T29" s="352">
        <f t="shared" si="47"/>
        <v>1.3399427494439275</v>
      </c>
      <c r="U29" s="352">
        <f t="shared" si="47"/>
        <v>1.343397801947867</v>
      </c>
      <c r="V29" s="352">
        <f t="shared" si="47"/>
        <v>1.325796015185797</v>
      </c>
      <c r="W29" s="352">
        <f t="shared" si="47"/>
        <v>1.3017531336546826</v>
      </c>
      <c r="X29" s="352">
        <f t="shared" si="47"/>
        <v>1.2953231740838689</v>
      </c>
      <c r="Y29" s="352">
        <f>Y25/Y28</f>
        <v>1.3625649121395018</v>
      </c>
      <c r="Z29" s="165"/>
      <c r="AA29" s="704">
        <f t="shared" ref="AA29" si="48">(Y29-X29)*100</f>
        <v>6.7241738055632938</v>
      </c>
      <c r="AB29" s="704">
        <f t="shared" ref="AB29" si="49">(Y29-U29)*100</f>
        <v>1.9167110191634862</v>
      </c>
    </row>
    <row r="30" spans="1:30" ht="13" customHeight="1">
      <c r="A30" s="242"/>
      <c r="B30" s="53"/>
      <c r="C30" s="702"/>
      <c r="D30" s="702"/>
      <c r="E30" s="702"/>
      <c r="F30" s="702"/>
      <c r="G30" s="702"/>
      <c r="H30" s="702"/>
      <c r="I30" s="259"/>
      <c r="J30" s="702"/>
      <c r="K30" s="702"/>
      <c r="L30" s="702"/>
      <c r="M30" s="702"/>
      <c r="N30" s="702"/>
      <c r="O30" s="702"/>
      <c r="P30" s="702"/>
      <c r="Q30" s="702"/>
      <c r="R30" s="702"/>
      <c r="S30" s="702"/>
      <c r="T30" s="702"/>
      <c r="U30" s="702"/>
      <c r="V30" s="702"/>
      <c r="W30" s="702"/>
      <c r="X30" s="702"/>
      <c r="Y30" s="702"/>
      <c r="Z30" s="259"/>
      <c r="AA30" s="256"/>
      <c r="AB30" s="256"/>
    </row>
    <row r="31" spans="1:30" ht="13" customHeight="1">
      <c r="A31" s="242"/>
      <c r="B31" s="3" t="str">
        <f>IF('Summary | Sumário'!D$6=Names!B$3,Names!O20,Names!P20)</f>
        <v>NPL  15-90 days</v>
      </c>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09"/>
      <c r="AB31" s="209"/>
    </row>
    <row r="32" spans="1:30" ht="13" customHeight="1">
      <c r="A32" s="242"/>
      <c r="B32" s="343" t="str">
        <f>IF('Summary | Sumário'!D$6=Names!B$3,Names!O21,Names!P21)</f>
        <v>NPL 15-90 days</v>
      </c>
      <c r="C32" s="348">
        <v>455624.09169999999</v>
      </c>
      <c r="D32" s="348">
        <v>446506.32032</v>
      </c>
      <c r="E32" s="348">
        <f t="shared" ref="E32:E34" si="50">M32</f>
        <v>746209.03361000016</v>
      </c>
      <c r="F32" s="348">
        <f t="shared" ref="F32:F34" si="51">Q32</f>
        <v>1016878.29273</v>
      </c>
      <c r="G32" s="348">
        <f t="shared" ref="G32:G34" si="52">U32</f>
        <v>1243042.1070000001</v>
      </c>
      <c r="H32" s="348">
        <f>Y32</f>
        <v>1411764.5712600001</v>
      </c>
      <c r="I32" s="246"/>
      <c r="J32" s="348">
        <v>596395.54700000002</v>
      </c>
      <c r="K32" s="348">
        <v>617864.61755000008</v>
      </c>
      <c r="L32" s="348">
        <v>650014.21071999997</v>
      </c>
      <c r="M32" s="348">
        <v>746209.03361000016</v>
      </c>
      <c r="N32" s="348">
        <v>835676.82806999981</v>
      </c>
      <c r="O32" s="348">
        <v>902517.78554999991</v>
      </c>
      <c r="P32" s="348">
        <v>950615.52880999993</v>
      </c>
      <c r="Q32" s="348">
        <v>1016878.29273</v>
      </c>
      <c r="R32" s="348">
        <v>1092071.4350000001</v>
      </c>
      <c r="S32" s="348">
        <v>1110989.1200000001</v>
      </c>
      <c r="T32" s="348">
        <v>1204856.051</v>
      </c>
      <c r="U32" s="348">
        <v>1243042.1070000001</v>
      </c>
      <c r="V32" s="348">
        <v>1417128.55651</v>
      </c>
      <c r="W32" s="348">
        <v>1401631.4272100001</v>
      </c>
      <c r="X32" s="348">
        <v>1370497.84238</v>
      </c>
      <c r="Y32" s="348">
        <v>1411764.5712600001</v>
      </c>
      <c r="Z32" s="246"/>
      <c r="AA32" s="418">
        <f>Y32/X32-1</f>
        <v>3.0110758006255844E-2</v>
      </c>
      <c r="AB32" s="418">
        <f>Y32/U32-1</f>
        <v>0.13573350678135965</v>
      </c>
    </row>
    <row r="33" spans="1:30" ht="13" customHeight="1">
      <c r="A33" s="242"/>
      <c r="B33" s="51" t="str">
        <f>IF('Summary | Sumário'!D$6=Names!B$3,Names!O22,Names!P22)</f>
        <v>NPL 15-90 days (%)</v>
      </c>
      <c r="C33" s="253">
        <v>9.5370982442912824E-2</v>
      </c>
      <c r="D33" s="253">
        <v>5.0796743357097301E-2</v>
      </c>
      <c r="E33" s="253">
        <f t="shared" si="50"/>
        <v>4.3343014837280966E-2</v>
      </c>
      <c r="F33" s="253">
        <f t="shared" si="51"/>
        <v>4.4799700344888838E-2</v>
      </c>
      <c r="G33" s="253">
        <f t="shared" si="52"/>
        <v>4.1734808783996644E-2</v>
      </c>
      <c r="H33" s="253">
        <f>Y33</f>
        <v>3.9660437991675145E-2</v>
      </c>
      <c r="I33" s="253"/>
      <c r="J33" s="253">
        <v>5.8225209943099196E-2</v>
      </c>
      <c r="K33" s="253">
        <v>4.9321663959500765E-2</v>
      </c>
      <c r="L33" s="253">
        <v>4.3742300141930562E-2</v>
      </c>
      <c r="M33" s="253">
        <v>4.3343014837280966E-2</v>
      </c>
      <c r="N33" s="253">
        <v>4.5976169196443886E-2</v>
      </c>
      <c r="O33" s="253">
        <v>4.6319433620822595E-2</v>
      </c>
      <c r="P33" s="253">
        <v>4.5256053329574275E-2</v>
      </c>
      <c r="Q33" s="253">
        <v>4.4799700344888838E-2</v>
      </c>
      <c r="R33" s="253">
        <v>4.5822062207017081E-2</v>
      </c>
      <c r="S33" s="253">
        <v>4.4189658142513487E-2</v>
      </c>
      <c r="T33" s="253">
        <v>4.4552352735865317E-2</v>
      </c>
      <c r="U33" s="253">
        <v>4.1734808783996644E-2</v>
      </c>
      <c r="V33" s="253">
        <v>4.5923253875511862E-2</v>
      </c>
      <c r="W33" s="253">
        <v>4.2510326089897139E-2</v>
      </c>
      <c r="X33" s="253">
        <v>4.0660487638836278E-2</v>
      </c>
      <c r="Y33" s="253">
        <v>3.9660437991675145E-2</v>
      </c>
      <c r="Z33" s="253"/>
      <c r="AA33" s="635">
        <f>(Y33-X33)*100</f>
        <v>-0.10000496471611331</v>
      </c>
      <c r="AB33" s="423">
        <f>(Y33-U33)*100</f>
        <v>-0.20743707923214991</v>
      </c>
    </row>
    <row r="34" spans="1:30" ht="13" customHeight="1">
      <c r="A34" s="242"/>
      <c r="B34" s="53" t="str">
        <f>IF('Summary | Sumário'!D$6=Names!B$3,Names!O23,Names!P23)</f>
        <v>NPL 15-90 days (including anticipation of credit card receivables, %)</v>
      </c>
      <c r="C34" s="256">
        <v>9.5370982442912824E-2</v>
      </c>
      <c r="D34" s="256">
        <v>5.0796743357097301E-2</v>
      </c>
      <c r="E34" s="256">
        <f t="shared" si="50"/>
        <v>4.2605297450119241E-2</v>
      </c>
      <c r="F34" s="256">
        <f t="shared" si="51"/>
        <v>4.1430841865461747E-2</v>
      </c>
      <c r="G34" s="256">
        <f t="shared" si="52"/>
        <v>4.0071198175600488E-2</v>
      </c>
      <c r="H34" s="256">
        <f>Y34</f>
        <v>3.4280430547543803E-2</v>
      </c>
      <c r="I34" s="253"/>
      <c r="J34" s="256">
        <v>5.7741669034963569E-2</v>
      </c>
      <c r="K34" s="256">
        <v>4.9041696604805549E-2</v>
      </c>
      <c r="L34" s="256">
        <v>4.345700639486462E-2</v>
      </c>
      <c r="M34" s="256">
        <v>4.2605297450119241E-2</v>
      </c>
      <c r="N34" s="256">
        <v>4.5114029137614607E-2</v>
      </c>
      <c r="O34" s="256">
        <v>4.5433557125597483E-2</v>
      </c>
      <c r="P34" s="256">
        <v>4.314105737204002E-2</v>
      </c>
      <c r="Q34" s="256">
        <v>4.1430841865461747E-2</v>
      </c>
      <c r="R34" s="256">
        <v>4.3458095606172524E-2</v>
      </c>
      <c r="S34" s="256">
        <v>4.1964720582480561E-2</v>
      </c>
      <c r="T34" s="256">
        <v>4.2636576262433189E-2</v>
      </c>
      <c r="U34" s="256">
        <v>4.0071198175600488E-2</v>
      </c>
      <c r="V34" s="256">
        <v>4.4087392795071748E-2</v>
      </c>
      <c r="W34" s="256">
        <v>3.9289590020879214E-2</v>
      </c>
      <c r="X34" s="256">
        <v>3.6008983670181932E-2</v>
      </c>
      <c r="Y34" s="256">
        <v>3.4280430547543803E-2</v>
      </c>
      <c r="Z34" s="253"/>
      <c r="AA34" s="641">
        <f>(Y34-X34)*100</f>
        <v>-0.17285531226381295</v>
      </c>
      <c r="AB34" s="425">
        <f>(Y34-U34)*100</f>
        <v>-0.57907676280566855</v>
      </c>
    </row>
    <row r="35" spans="1:30" ht="13" customHeight="1">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3"/>
      <c r="AB35" s="253"/>
    </row>
    <row r="36" spans="1:30" ht="13" customHeight="1">
      <c r="A36" s="242"/>
      <c r="B36" s="24" t="str">
        <f>IF('Summary | Sumário'!D$6=Names!B$3,Names!O24,Names!P24)</f>
        <v>Credit card loan portfolio</v>
      </c>
      <c r="C36" s="305"/>
      <c r="D36" s="305"/>
      <c r="E36" s="305"/>
      <c r="F36" s="305"/>
      <c r="G36" s="305"/>
      <c r="H36" s="305"/>
      <c r="I36" s="210"/>
      <c r="J36" s="305"/>
      <c r="K36" s="305"/>
      <c r="L36" s="305"/>
      <c r="M36" s="305"/>
      <c r="N36" s="305"/>
      <c r="O36" s="305"/>
      <c r="P36" s="305"/>
      <c r="Q36" s="305"/>
      <c r="R36" s="305"/>
      <c r="S36" s="305"/>
      <c r="T36" s="305"/>
      <c r="U36" s="305"/>
      <c r="V36" s="305"/>
      <c r="W36" s="305"/>
      <c r="X36" s="305"/>
      <c r="Y36" s="305"/>
      <c r="Z36" s="210"/>
      <c r="AA36" s="384"/>
      <c r="AB36" s="384"/>
    </row>
    <row r="37" spans="1:30" ht="13" customHeight="1">
      <c r="A37" s="242"/>
      <c r="B37" s="346" t="str">
        <f>IF('Summary | Sumário'!D$6=Names!B$3,Names!O47,Names!P47)</f>
        <v>Non-transactor</v>
      </c>
      <c r="C37" s="354" t="s">
        <v>891</v>
      </c>
      <c r="D37" s="354">
        <f t="shared" ref="D37:E37" si="53">D39-D38</f>
        <v>230211.82499999995</v>
      </c>
      <c r="E37" s="354">
        <f t="shared" si="53"/>
        <v>676005</v>
      </c>
      <c r="F37" s="354">
        <f t="shared" ref="F37" si="54">F39-F38</f>
        <v>1458767</v>
      </c>
      <c r="G37" s="354">
        <f t="shared" ref="G37" si="55">G39-G38</f>
        <v>1971266.3970000008</v>
      </c>
      <c r="H37" s="354">
        <f>Y37</f>
        <v>2249854.1845399998</v>
      </c>
      <c r="I37" s="246"/>
      <c r="J37" s="354">
        <f t="shared" ref="J37" si="56">J39-J38</f>
        <v>310705.48867999995</v>
      </c>
      <c r="K37" s="354">
        <f t="shared" ref="K37" si="57">K39-K38</f>
        <v>466529</v>
      </c>
      <c r="L37" s="354">
        <f t="shared" ref="L37" si="58">L39-L38</f>
        <v>526729</v>
      </c>
      <c r="M37" s="354">
        <f t="shared" ref="M37" si="59">M39-M38</f>
        <v>676005</v>
      </c>
      <c r="N37" s="354">
        <f t="shared" ref="N37:W37" si="60">N39-N38</f>
        <v>836644</v>
      </c>
      <c r="O37" s="354">
        <f t="shared" si="60"/>
        <v>1084285.4000000004</v>
      </c>
      <c r="P37" s="354">
        <f t="shared" si="60"/>
        <v>1309633</v>
      </c>
      <c r="Q37" s="354">
        <f t="shared" si="60"/>
        <v>1458767</v>
      </c>
      <c r="R37" s="354">
        <f t="shared" si="60"/>
        <v>1592763.3878274746</v>
      </c>
      <c r="S37" s="354">
        <f t="shared" si="60"/>
        <v>1777050.7675745916</v>
      </c>
      <c r="T37" s="354">
        <f t="shared" si="60"/>
        <v>1882205.9550000001</v>
      </c>
      <c r="U37" s="354">
        <f t="shared" si="60"/>
        <v>1971266.3970000008</v>
      </c>
      <c r="V37" s="354">
        <f t="shared" si="60"/>
        <v>2176763.9201100003</v>
      </c>
      <c r="W37" s="354">
        <f t="shared" si="60"/>
        <v>2264113.5148200002</v>
      </c>
      <c r="X37" s="354">
        <f>X39-X38</f>
        <v>2206943.6459299996</v>
      </c>
      <c r="Y37" s="354">
        <f>Y39-Y38</f>
        <v>2249854.1845399998</v>
      </c>
      <c r="Z37" s="246"/>
      <c r="AA37" s="653">
        <f>Y37/X37-1</f>
        <v>1.9443422893527407E-2</v>
      </c>
      <c r="AB37" s="653">
        <f>Y37/U37-1</f>
        <v>0.14132427152614779</v>
      </c>
      <c r="AC37" s="180"/>
      <c r="AD37" s="180"/>
    </row>
    <row r="38" spans="1:30" s="163" customFormat="1" ht="13" customHeight="1">
      <c r="A38" s="161"/>
      <c r="B38" s="61" t="str">
        <f>IF('Summary | Sumário'!D$6=Names!B$3,Names!O29,Names!P29)</f>
        <v>Transactor</v>
      </c>
      <c r="C38" s="260">
        <v>0</v>
      </c>
      <c r="D38" s="260">
        <v>1674430.175</v>
      </c>
      <c r="E38" s="260">
        <f t="shared" ref="E38:E39" si="61">M38</f>
        <v>4122313</v>
      </c>
      <c r="F38" s="260">
        <f t="shared" ref="F38:F39" si="62">Q38</f>
        <v>5411798</v>
      </c>
      <c r="G38" s="260">
        <f t="shared" ref="G38:G39" si="63">U38</f>
        <v>7490010.6029999992</v>
      </c>
      <c r="H38" s="260">
        <f>Y38</f>
        <v>9550035.8154600002</v>
      </c>
      <c r="I38" s="709"/>
      <c r="J38" s="260">
        <v>2094215</v>
      </c>
      <c r="K38" s="260">
        <v>2650205</v>
      </c>
      <c r="L38" s="260">
        <v>3280955</v>
      </c>
      <c r="M38" s="260">
        <v>4122313</v>
      </c>
      <c r="N38" s="260">
        <v>4479286</v>
      </c>
      <c r="O38" s="260">
        <v>4897121</v>
      </c>
      <c r="P38" s="260">
        <v>5101939</v>
      </c>
      <c r="Q38" s="260">
        <v>5411798</v>
      </c>
      <c r="R38" s="260">
        <v>5680268.6121725254</v>
      </c>
      <c r="S38" s="260">
        <v>5903960.2324254084</v>
      </c>
      <c r="T38" s="260">
        <v>6767933.0449999999</v>
      </c>
      <c r="U38" s="260">
        <v>7490010.6029999992</v>
      </c>
      <c r="V38" s="260">
        <v>7935081.2156800013</v>
      </c>
      <c r="W38" s="260">
        <v>8243968.4851799998</v>
      </c>
      <c r="X38" s="260">
        <v>8562871.3540700004</v>
      </c>
      <c r="Y38" s="260">
        <v>9550035.8154600002</v>
      </c>
      <c r="Z38" s="709"/>
      <c r="AA38" s="642">
        <f>Y38/X38-1</f>
        <v>0.11528428030403526</v>
      </c>
      <c r="AB38" s="642">
        <f>Y38/U38-1</f>
        <v>0.27503635463945697</v>
      </c>
      <c r="AC38" s="397"/>
    </row>
    <row r="39" spans="1:30" s="188" customFormat="1" ht="13" customHeight="1">
      <c r="A39" s="255"/>
      <c r="B39" s="629" t="str">
        <f>IF('Summary | Sumário'!D$6=Names!B$3,Names!O30,Names!P30)</f>
        <v>Total credit card loan portfolio</v>
      </c>
      <c r="C39" s="630">
        <f>C9</f>
        <v>783544</v>
      </c>
      <c r="D39" s="630">
        <f>D9</f>
        <v>1904642</v>
      </c>
      <c r="E39" s="630">
        <f t="shared" si="61"/>
        <v>4798318</v>
      </c>
      <c r="F39" s="630">
        <f t="shared" si="62"/>
        <v>6870565</v>
      </c>
      <c r="G39" s="630">
        <f t="shared" si="63"/>
        <v>9461277</v>
      </c>
      <c r="H39" s="630">
        <f>Y39</f>
        <v>11799890</v>
      </c>
      <c r="I39" s="651"/>
      <c r="J39" s="630">
        <f t="shared" ref="J39:X39" si="64">J9</f>
        <v>2404920.48868</v>
      </c>
      <c r="K39" s="630">
        <f t="shared" si="64"/>
        <v>3116734</v>
      </c>
      <c r="L39" s="630">
        <f t="shared" si="64"/>
        <v>3807684</v>
      </c>
      <c r="M39" s="630">
        <f t="shared" si="64"/>
        <v>4798318</v>
      </c>
      <c r="N39" s="630">
        <f t="shared" si="64"/>
        <v>5315930</v>
      </c>
      <c r="O39" s="630">
        <f t="shared" si="64"/>
        <v>5981406.4000000004</v>
      </c>
      <c r="P39" s="630">
        <f t="shared" si="64"/>
        <v>6411572</v>
      </c>
      <c r="Q39" s="630">
        <f t="shared" si="64"/>
        <v>6870565</v>
      </c>
      <c r="R39" s="630">
        <f t="shared" si="64"/>
        <v>7273032</v>
      </c>
      <c r="S39" s="630">
        <f t="shared" si="64"/>
        <v>7681011</v>
      </c>
      <c r="T39" s="630">
        <f t="shared" si="64"/>
        <v>8650139</v>
      </c>
      <c r="U39" s="630">
        <f t="shared" si="64"/>
        <v>9461277</v>
      </c>
      <c r="V39" s="630">
        <f t="shared" si="64"/>
        <v>10111845.135790002</v>
      </c>
      <c r="W39" s="630">
        <f t="shared" si="64"/>
        <v>10508082</v>
      </c>
      <c r="X39" s="630">
        <f t="shared" si="64"/>
        <v>10769815</v>
      </c>
      <c r="Y39" s="630">
        <f t="shared" ref="Y39" si="65">Y9</f>
        <v>11799890</v>
      </c>
      <c r="Z39" s="651"/>
      <c r="AA39" s="352">
        <f>Y39/X39-1</f>
        <v>9.5644632707247101E-2</v>
      </c>
      <c r="AB39" s="352">
        <f>Y39/U39-1</f>
        <v>0.24717731020875933</v>
      </c>
      <c r="AC39" s="397"/>
    </row>
    <row r="40" spans="1:30" ht="13" customHeight="1">
      <c r="B40" s="8"/>
      <c r="C40" s="267"/>
      <c r="D40" s="267"/>
      <c r="E40" s="267"/>
      <c r="F40" s="267"/>
      <c r="G40" s="267"/>
      <c r="H40" s="267"/>
      <c r="I40" s="400"/>
      <c r="J40" s="267"/>
      <c r="K40" s="267"/>
      <c r="L40" s="267"/>
      <c r="M40" s="267"/>
      <c r="N40" s="267"/>
      <c r="O40" s="267"/>
      <c r="P40" s="267"/>
      <c r="Q40" s="267"/>
      <c r="R40" s="267"/>
      <c r="S40" s="267"/>
      <c r="T40" s="267"/>
      <c r="U40" s="267"/>
      <c r="V40" s="267"/>
      <c r="W40" s="267"/>
      <c r="X40" s="267"/>
      <c r="Y40" s="267"/>
      <c r="Z40" s="181"/>
      <c r="AA40" s="177"/>
      <c r="AB40" s="177"/>
    </row>
    <row r="41" spans="1:30" ht="13" customHeight="1">
      <c r="B41" s="50" t="str">
        <f>IF('Summary | Sumário'!D$6=Names!B$3,Names!O31,Names!P31)</f>
        <v>Interest income</v>
      </c>
      <c r="J41" s="413"/>
      <c r="K41" s="413"/>
      <c r="L41" s="413"/>
      <c r="M41" s="413"/>
      <c r="N41" s="413"/>
      <c r="O41" s="413"/>
      <c r="P41" s="413"/>
      <c r="Q41" s="413"/>
      <c r="R41" s="413"/>
      <c r="S41" s="413"/>
      <c r="T41" s="413"/>
      <c r="U41" s="413"/>
      <c r="V41" s="413"/>
      <c r="W41" s="413"/>
      <c r="X41" s="413"/>
      <c r="Y41" s="413"/>
      <c r="Z41" s="413"/>
      <c r="AA41" s="421"/>
      <c r="AB41" s="421"/>
    </row>
    <row r="42" spans="1:30" ht="13" customHeight="1">
      <c r="B42" s="314" t="str">
        <f>IF('Summary | Sumário'!D$6=Names!B$3,Names!O32,Names!P32)</f>
        <v>Interest income</v>
      </c>
      <c r="C42" s="636">
        <v>775515</v>
      </c>
      <c r="D42" s="636">
        <v>942655.89517999999</v>
      </c>
      <c r="E42" s="636">
        <f>SUM(J42:M42)</f>
        <v>1435427.246</v>
      </c>
      <c r="F42" s="636">
        <f>SUM(N42:Q42)</f>
        <v>2802658.0819999999</v>
      </c>
      <c r="G42" s="636">
        <f>SUM(R42:U42)</f>
        <v>4549827</v>
      </c>
      <c r="H42" s="636">
        <f>SUM(V42:Y42)</f>
        <v>5139213</v>
      </c>
      <c r="I42" s="257"/>
      <c r="J42" s="636">
        <v>289003.935</v>
      </c>
      <c r="K42" s="636">
        <v>305659.75100000005</v>
      </c>
      <c r="L42" s="636">
        <v>367405.88</v>
      </c>
      <c r="M42" s="636">
        <v>473357.68</v>
      </c>
      <c r="N42" s="636">
        <v>521159.63199999993</v>
      </c>
      <c r="O42" s="636">
        <v>622312.6370000001</v>
      </c>
      <c r="P42" s="636">
        <v>788342.73100000003</v>
      </c>
      <c r="Q42" s="636">
        <v>870843.08199999994</v>
      </c>
      <c r="R42" s="636">
        <v>1012926.822</v>
      </c>
      <c r="S42" s="636">
        <v>1151105</v>
      </c>
      <c r="T42" s="636">
        <v>1106935.08874</v>
      </c>
      <c r="U42" s="636">
        <v>1278860.08926</v>
      </c>
      <c r="V42" s="636">
        <v>1217530.9999999998</v>
      </c>
      <c r="W42" s="636">
        <v>1172415.139</v>
      </c>
      <c r="X42" s="636">
        <v>1412226.140133633</v>
      </c>
      <c r="Y42" s="636">
        <v>1337040.7208663672</v>
      </c>
      <c r="Z42" s="257"/>
      <c r="AA42" s="637">
        <f>Y42/X42-1</f>
        <v>-5.3238937540238007E-2</v>
      </c>
      <c r="AB42" s="637">
        <f>Y42/U42-1</f>
        <v>4.549413348260245E-2</v>
      </c>
    </row>
    <row r="43" spans="1:30" ht="13" customHeight="1">
      <c r="B43" s="17" t="str">
        <f>IF('Summary | Sumário'!D$6=Names!B$3,Names!O33,Names!P33)</f>
        <v>Loans and advances to customers</v>
      </c>
      <c r="C43" s="257">
        <v>635873</v>
      </c>
      <c r="D43" s="257">
        <v>807878.44012000004</v>
      </c>
      <c r="E43" s="257">
        <f t="shared" ref="E43:E70" si="66">SUM(J43:M43)</f>
        <v>1330194.1980000001</v>
      </c>
      <c r="F43" s="257">
        <f t="shared" ref="F43:F70" si="67">SUM(N43:Q43)</f>
        <v>2465436.4588899999</v>
      </c>
      <c r="G43" s="257">
        <f t="shared" ref="G43:G70" si="68">SUM(R43:U43)</f>
        <v>3811788</v>
      </c>
      <c r="H43" s="257">
        <f t="shared" ref="H43:H70" si="69">SUM(V43:Y43)</f>
        <v>4166337.213918197</v>
      </c>
      <c r="I43" s="257"/>
      <c r="J43" s="257">
        <v>268003.20799999998</v>
      </c>
      <c r="K43" s="257">
        <v>292783.40600000002</v>
      </c>
      <c r="L43" s="257">
        <v>335179.73</v>
      </c>
      <c r="M43" s="257">
        <v>434227.85400000005</v>
      </c>
      <c r="N43" s="257">
        <v>465786.92129999999</v>
      </c>
      <c r="O43" s="257">
        <v>587035.16590000002</v>
      </c>
      <c r="P43" s="257">
        <v>672679.28999000008</v>
      </c>
      <c r="Q43" s="257">
        <v>739935.08169999998</v>
      </c>
      <c r="R43" s="257">
        <v>840890.87786000001</v>
      </c>
      <c r="S43" s="257">
        <v>976319.04593000002</v>
      </c>
      <c r="T43" s="257">
        <v>891716.27035000001</v>
      </c>
      <c r="U43" s="257">
        <v>1102861.8058600002</v>
      </c>
      <c r="V43" s="257">
        <v>1020891.12009</v>
      </c>
      <c r="W43" s="257">
        <v>992213.52389000007</v>
      </c>
      <c r="X43" s="257">
        <v>1161390.4944492984</v>
      </c>
      <c r="Y43" s="257">
        <v>991842.07548889867</v>
      </c>
      <c r="Z43" s="257"/>
      <c r="AA43" s="421">
        <f t="shared" ref="AA43:AA68" si="70">Y43/X43-1</f>
        <v>-0.14598743469206299</v>
      </c>
      <c r="AB43" s="421">
        <f t="shared" ref="AB43:AB68" si="71">Y43/U43-1</f>
        <v>-0.10066513300325008</v>
      </c>
    </row>
    <row r="44" spans="1:30" ht="13" customHeight="1">
      <c r="B44" s="106" t="str">
        <f>IF('Summary | Sumário'!D$6=Names!B$3,Names!O34,Names!P34)</f>
        <v>Real Estate</v>
      </c>
      <c r="C44" s="262">
        <v>0</v>
      </c>
      <c r="D44" s="262">
        <v>435019.64619000006</v>
      </c>
      <c r="E44" s="262">
        <f t="shared" si="66"/>
        <v>579506.26199999999</v>
      </c>
      <c r="F44" s="262">
        <f t="shared" si="67"/>
        <v>714011.42595000006</v>
      </c>
      <c r="G44" s="262">
        <f t="shared" si="68"/>
        <v>925900</v>
      </c>
      <c r="H44" s="262">
        <f t="shared" si="69"/>
        <v>1080760.6800631299</v>
      </c>
      <c r="I44" s="257"/>
      <c r="J44" s="262">
        <v>139297.851</v>
      </c>
      <c r="K44" s="262">
        <v>136320.81899999999</v>
      </c>
      <c r="L44" s="262">
        <v>141281.71</v>
      </c>
      <c r="M44" s="262">
        <v>162605.88200000001</v>
      </c>
      <c r="N44" s="262">
        <v>163483.92470999999</v>
      </c>
      <c r="O44" s="262">
        <v>208572.24767999997</v>
      </c>
      <c r="P44" s="262">
        <v>169001.99365000005</v>
      </c>
      <c r="Q44" s="262">
        <v>172953.25990999999</v>
      </c>
      <c r="R44" s="262">
        <v>220549.84688</v>
      </c>
      <c r="S44" s="262">
        <v>230186.84327000001</v>
      </c>
      <c r="T44" s="262">
        <v>210305.65125</v>
      </c>
      <c r="U44" s="262">
        <v>264857.65859999997</v>
      </c>
      <c r="V44" s="262">
        <v>268726.12008999998</v>
      </c>
      <c r="W44" s="262">
        <v>266162.86888999998</v>
      </c>
      <c r="X44" s="262">
        <v>280656.44909697119</v>
      </c>
      <c r="Y44" s="262">
        <v>265215.24198615877</v>
      </c>
      <c r="Z44" s="257"/>
      <c r="AA44" s="420">
        <f t="shared" si="70"/>
        <v>-5.5018180271628969E-2</v>
      </c>
      <c r="AB44" s="420">
        <f t="shared" si="71"/>
        <v>1.3500964557677797E-3</v>
      </c>
    </row>
    <row r="45" spans="1:30" ht="13" customHeight="1">
      <c r="B45" s="631" t="str">
        <f>IF('Summary | Sumário'!D$6=Names!B$3,Names!O35,Names!P35)</f>
        <v>Personal</v>
      </c>
      <c r="C45" s="257">
        <v>0</v>
      </c>
      <c r="D45" s="257">
        <v>194589.16927000001</v>
      </c>
      <c r="E45" s="257">
        <f t="shared" si="66"/>
        <v>319455.67200000002</v>
      </c>
      <c r="F45" s="257">
        <f t="shared" si="67"/>
        <v>583197.69805000001</v>
      </c>
      <c r="G45" s="257">
        <f t="shared" si="68"/>
        <v>1117470</v>
      </c>
      <c r="H45" s="257">
        <f t="shared" si="69"/>
        <v>1040254.5429802999</v>
      </c>
      <c r="I45" s="257"/>
      <c r="J45" s="257">
        <v>63981.644999999997</v>
      </c>
      <c r="K45" s="257">
        <v>73178.934000000008</v>
      </c>
      <c r="L45" s="257">
        <v>85052.814000000013</v>
      </c>
      <c r="M45" s="257">
        <v>97242.27900000001</v>
      </c>
      <c r="N45" s="257">
        <v>108222.83400999999</v>
      </c>
      <c r="O45" s="257">
        <v>133460.16244000001</v>
      </c>
      <c r="P45" s="257">
        <v>159493.41924999998</v>
      </c>
      <c r="Q45" s="257">
        <v>182021.28234999996</v>
      </c>
      <c r="R45" s="257">
        <v>223476.20140999998</v>
      </c>
      <c r="S45" s="257">
        <v>318868.07952999993</v>
      </c>
      <c r="T45" s="257">
        <v>215827.96117000002</v>
      </c>
      <c r="U45" s="257">
        <v>359297.75789000001</v>
      </c>
      <c r="V45" s="257">
        <v>275126</v>
      </c>
      <c r="W45" s="257">
        <v>204785.36600000001</v>
      </c>
      <c r="X45" s="257">
        <v>355360.76014069101</v>
      </c>
      <c r="Y45" s="257">
        <v>204982.41683960881</v>
      </c>
      <c r="Z45" s="257"/>
      <c r="AA45" s="421">
        <f t="shared" si="70"/>
        <v>-0.42317092985040294</v>
      </c>
      <c r="AB45" s="421">
        <f t="shared" si="71"/>
        <v>-0.42949152245373956</v>
      </c>
    </row>
    <row r="46" spans="1:30" ht="13" customHeight="1">
      <c r="B46" s="106" t="str">
        <f>IF('Summary | Sumário'!D$6=Names!B$3,Names!O36,Names!P36)</f>
        <v>SME</v>
      </c>
      <c r="C46" s="262">
        <v>0</v>
      </c>
      <c r="D46" s="262">
        <v>59990.754910000003</v>
      </c>
      <c r="E46" s="262">
        <f t="shared" si="66"/>
        <v>186131.85699999999</v>
      </c>
      <c r="F46" s="262">
        <f t="shared" si="67"/>
        <v>450650.24199999997</v>
      </c>
      <c r="G46" s="262">
        <f t="shared" si="68"/>
        <v>521929</v>
      </c>
      <c r="H46" s="262">
        <f t="shared" si="69"/>
        <v>567087.72747602698</v>
      </c>
      <c r="I46" s="257"/>
      <c r="J46" s="262">
        <v>20454.21</v>
      </c>
      <c r="K46" s="262">
        <v>37744.78</v>
      </c>
      <c r="L46" s="262">
        <v>42772.136999999988</v>
      </c>
      <c r="M46" s="262">
        <v>85160.73000000001</v>
      </c>
      <c r="N46" s="262">
        <v>84615.255999999994</v>
      </c>
      <c r="O46" s="262">
        <v>107134.802</v>
      </c>
      <c r="P46" s="262">
        <v>112397.92600000002</v>
      </c>
      <c r="Q46" s="262">
        <v>146502.258</v>
      </c>
      <c r="R46" s="262">
        <v>124265.87599999999</v>
      </c>
      <c r="S46" s="262">
        <v>120750</v>
      </c>
      <c r="T46" s="262">
        <v>131787.38165</v>
      </c>
      <c r="U46" s="262">
        <v>145125.74235000001</v>
      </c>
      <c r="V46" s="262">
        <v>124639</v>
      </c>
      <c r="W46" s="262">
        <v>152217.704</v>
      </c>
      <c r="X46" s="262">
        <v>145605.608548077</v>
      </c>
      <c r="Y46" s="262">
        <v>144625.41492794995</v>
      </c>
      <c r="Z46" s="257"/>
      <c r="AA46" s="420">
        <f t="shared" si="70"/>
        <v>-6.7318397271998176E-3</v>
      </c>
      <c r="AB46" s="420">
        <f t="shared" si="71"/>
        <v>-3.4475442740090623E-3</v>
      </c>
    </row>
    <row r="47" spans="1:30" ht="13" customHeight="1">
      <c r="B47" s="631" t="str">
        <f>IF('Summary | Sumário'!D$6=Names!B$3,Names!O37,Names!P37)</f>
        <v>Credit Cards</v>
      </c>
      <c r="C47" s="257">
        <v>0</v>
      </c>
      <c r="D47" s="257">
        <v>118278.86974999998</v>
      </c>
      <c r="E47" s="257">
        <f t="shared" si="66"/>
        <v>245100.40700000001</v>
      </c>
      <c r="F47" s="257">
        <f t="shared" si="67"/>
        <v>717577.09288999997</v>
      </c>
      <c r="G47" s="257">
        <f t="shared" si="68"/>
        <v>1246489</v>
      </c>
      <c r="H47" s="257">
        <f t="shared" si="69"/>
        <v>1478234.26339874</v>
      </c>
      <c r="I47" s="257"/>
      <c r="J47" s="257">
        <v>44269.502</v>
      </c>
      <c r="K47" s="257">
        <v>45538.873</v>
      </c>
      <c r="L47" s="257">
        <v>66073.068999999989</v>
      </c>
      <c r="M47" s="257">
        <v>89218.963000000018</v>
      </c>
      <c r="N47" s="257">
        <v>109464.90658000001</v>
      </c>
      <c r="O47" s="257">
        <v>137867.95378000001</v>
      </c>
      <c r="P47" s="257">
        <v>231785.95109000002</v>
      </c>
      <c r="Q47" s="257">
        <v>238458.28143999999</v>
      </c>
      <c r="R47" s="257">
        <v>272598.95357000001</v>
      </c>
      <c r="S47" s="257">
        <v>306514.12313000002</v>
      </c>
      <c r="T47" s="257">
        <v>333795.27627999999</v>
      </c>
      <c r="U47" s="257">
        <v>333580.64701999992</v>
      </c>
      <c r="V47" s="257">
        <v>352400</v>
      </c>
      <c r="W47" s="257">
        <v>369047.58500000002</v>
      </c>
      <c r="X47" s="257">
        <v>379767.67666355905</v>
      </c>
      <c r="Y47" s="257">
        <v>377019.00173518108</v>
      </c>
      <c r="Z47" s="257"/>
      <c r="AA47" s="421">
        <f t="shared" si="70"/>
        <v>-7.2377800884119159E-3</v>
      </c>
      <c r="AB47" s="421">
        <f t="shared" si="71"/>
        <v>0.13021844973091867</v>
      </c>
    </row>
    <row r="48" spans="1:30" ht="13" customHeight="1">
      <c r="B48" s="107" t="str">
        <f>IF('Summary | Sumário'!D$6=Names!B$3,Names!O45,Names!P45)</f>
        <v>Prepayment of receivables</v>
      </c>
      <c r="C48" s="262">
        <v>0</v>
      </c>
      <c r="D48" s="262">
        <v>793.77571</v>
      </c>
      <c r="E48" s="262">
        <f t="shared" si="66"/>
        <v>12540.518</v>
      </c>
      <c r="F48" s="262">
        <f t="shared" si="67"/>
        <v>101704.27800000001</v>
      </c>
      <c r="G48" s="262">
        <f t="shared" si="68"/>
        <v>242443</v>
      </c>
      <c r="H48" s="262">
        <f t="shared" si="69"/>
        <v>418724.30605999997</v>
      </c>
      <c r="I48" s="257"/>
      <c r="J48" s="262">
        <v>2554.556</v>
      </c>
      <c r="K48" s="262">
        <v>2758.1950000000002</v>
      </c>
      <c r="L48" s="262">
        <v>1333.1729999999998</v>
      </c>
      <c r="M48" s="262">
        <v>5894.594000000001</v>
      </c>
      <c r="N48" s="262">
        <v>5242.8329999999996</v>
      </c>
      <c r="O48" s="262">
        <v>17718.065000000002</v>
      </c>
      <c r="P48" s="262">
        <v>32903.998999999996</v>
      </c>
      <c r="Q48" s="262">
        <v>45839.381000000008</v>
      </c>
      <c r="R48" s="262">
        <v>64806.196000000004</v>
      </c>
      <c r="S48" s="262">
        <v>59977</v>
      </c>
      <c r="T48" s="262">
        <v>60383</v>
      </c>
      <c r="U48" s="262">
        <v>57276.804000000004</v>
      </c>
      <c r="V48" s="262">
        <v>59662</v>
      </c>
      <c r="W48" s="262">
        <v>53645.453999999998</v>
      </c>
      <c r="X48" s="262">
        <v>136932.53951</v>
      </c>
      <c r="Y48" s="262">
        <v>168484.31254999997</v>
      </c>
      <c r="Z48" s="257"/>
      <c r="AA48" s="420">
        <f t="shared" si="70"/>
        <v>0.23041837355025319</v>
      </c>
      <c r="AB48" s="420">
        <f t="shared" si="71"/>
        <v>1.9415801997262272</v>
      </c>
    </row>
    <row r="49" spans="1:31" ht="13" customHeight="1">
      <c r="B49" s="632" t="str">
        <f>IF('Summary | Sumário'!D$6=Names!B$3,Names!O39,Names!P39)</f>
        <v>Amounts due from financial institutions</v>
      </c>
      <c r="C49" s="257">
        <v>139642</v>
      </c>
      <c r="D49" s="257">
        <v>126619</v>
      </c>
      <c r="E49" s="257">
        <f t="shared" si="66"/>
        <v>71106.437999999995</v>
      </c>
      <c r="F49" s="257">
        <f t="shared" si="67"/>
        <v>221136.43900000001</v>
      </c>
      <c r="G49" s="257">
        <f t="shared" si="68"/>
        <v>497054</v>
      </c>
      <c r="H49" s="257">
        <f t="shared" si="69"/>
        <v>338955.05183999997</v>
      </c>
      <c r="I49" s="257"/>
      <c r="J49" s="257">
        <v>14427.704</v>
      </c>
      <c r="K49" s="257">
        <v>7946.8799999999992</v>
      </c>
      <c r="L49" s="257">
        <v>24631.656000000003</v>
      </c>
      <c r="M49" s="257">
        <v>24100.197999999997</v>
      </c>
      <c r="N49" s="257">
        <v>30138.153999999999</v>
      </c>
      <c r="O49" s="257">
        <v>31814.657000000003</v>
      </c>
      <c r="P49" s="257">
        <v>78399.862000000008</v>
      </c>
      <c r="Q49" s="257">
        <v>80783.765999999989</v>
      </c>
      <c r="R49" s="257">
        <v>97468.479000000007</v>
      </c>
      <c r="S49" s="257">
        <v>114751</v>
      </c>
      <c r="T49" s="257">
        <v>147490</v>
      </c>
      <c r="U49" s="257">
        <v>137344.52100000001</v>
      </c>
      <c r="V49" s="257">
        <v>117428</v>
      </c>
      <c r="W49" s="257">
        <v>99401.437999999995</v>
      </c>
      <c r="X49" s="257">
        <v>71615.8989899999</v>
      </c>
      <c r="Y49" s="257">
        <v>50509.714850000106</v>
      </c>
      <c r="Z49" s="257"/>
      <c r="AA49" s="421">
        <f t="shared" si="70"/>
        <v>-0.29471366606662242</v>
      </c>
      <c r="AB49" s="421">
        <f t="shared" si="71"/>
        <v>-0.63224077318672145</v>
      </c>
      <c r="AC49" s="169"/>
      <c r="AD49" s="169"/>
    </row>
    <row r="50" spans="1:31" ht="13" customHeight="1">
      <c r="A50" s="242"/>
      <c r="B50" s="107" t="str">
        <f>IF('Summary | Sumário'!D$6=Names!B$3,Names!O41,Names!P41)</f>
        <v xml:space="preserve">Others </v>
      </c>
      <c r="C50" s="262">
        <v>0</v>
      </c>
      <c r="D50" s="262">
        <v>7364.6793500000003</v>
      </c>
      <c r="E50" s="262">
        <f t="shared" si="66"/>
        <v>21586.092000000001</v>
      </c>
      <c r="F50" s="262">
        <f t="shared" si="67"/>
        <v>14380.906110000018</v>
      </c>
      <c r="G50" s="262">
        <f t="shared" si="68"/>
        <v>-1458</v>
      </c>
      <c r="H50" s="262">
        <f t="shared" si="69"/>
        <v>215195.96812633501</v>
      </c>
      <c r="I50" s="257"/>
      <c r="J50" s="262">
        <v>4018.4669999999996</v>
      </c>
      <c r="K50" s="262">
        <v>2171.27</v>
      </c>
      <c r="L50" s="262">
        <v>6261.3210000000008</v>
      </c>
      <c r="M50" s="262">
        <v>9135.0339999999997</v>
      </c>
      <c r="N50" s="262">
        <v>19991.723699999999</v>
      </c>
      <c r="O50" s="262">
        <v>-14255.250899999999</v>
      </c>
      <c r="P50" s="262">
        <v>4359.5800100000197</v>
      </c>
      <c r="Q50" s="262">
        <v>4284.8532999999998</v>
      </c>
      <c r="R50" s="262">
        <v>9761.2691400000203</v>
      </c>
      <c r="S50" s="262">
        <v>57.954070000036197</v>
      </c>
      <c r="T50" s="262">
        <v>7345.8183899999603</v>
      </c>
      <c r="U50" s="262">
        <v>-18623.041600000019</v>
      </c>
      <c r="V50" s="262">
        <v>19548.879910000003</v>
      </c>
      <c r="W50" s="262">
        <v>27154.723109999999</v>
      </c>
      <c r="X50" s="262">
        <v>42287.207184334788</v>
      </c>
      <c r="Y50" s="262">
        <v>126205.15792200022</v>
      </c>
      <c r="Z50" s="257"/>
      <c r="AA50" s="420">
        <f t="shared" si="70"/>
        <v>1.9844760703126467</v>
      </c>
      <c r="AB50" s="420">
        <f t="shared" si="71"/>
        <v>-7.7768284382718713</v>
      </c>
      <c r="AC50" s="169"/>
      <c r="AD50" s="169"/>
      <c r="AE50" s="238"/>
    </row>
    <row r="51" spans="1:31" ht="13" customHeight="1">
      <c r="B51" s="16" t="str">
        <f>IF('Summary | Sumário'!D$6=Names!B$3,Names!O42,Names!P42)</f>
        <v>Interest expenses</v>
      </c>
      <c r="C51" s="257">
        <v>-256717</v>
      </c>
      <c r="D51" s="257">
        <v>-184335</v>
      </c>
      <c r="E51" s="257">
        <f t="shared" si="66"/>
        <v>-543242</v>
      </c>
      <c r="F51" s="257">
        <f t="shared" si="67"/>
        <v>-1972850</v>
      </c>
      <c r="G51" s="257">
        <f t="shared" si="68"/>
        <v>-2887573.0049999999</v>
      </c>
      <c r="H51" s="257">
        <f t="shared" si="69"/>
        <v>-3311638.4190579997</v>
      </c>
      <c r="I51" s="257"/>
      <c r="J51" s="257">
        <v>-65559</v>
      </c>
      <c r="K51" s="257">
        <v>-86261</v>
      </c>
      <c r="L51" s="257">
        <v>-138587</v>
      </c>
      <c r="M51" s="257">
        <v>-252835</v>
      </c>
      <c r="N51" s="257">
        <v>-336771</v>
      </c>
      <c r="O51" s="257">
        <v>-465041</v>
      </c>
      <c r="P51" s="257">
        <v>-579678</v>
      </c>
      <c r="Q51" s="257">
        <v>-591360</v>
      </c>
      <c r="R51" s="257">
        <v>-672771</v>
      </c>
      <c r="S51" s="257">
        <v>-692206</v>
      </c>
      <c r="T51" s="257">
        <v>-770398</v>
      </c>
      <c r="U51" s="257">
        <v>-752198.00500000012</v>
      </c>
      <c r="V51" s="257">
        <v>-762246.89030000009</v>
      </c>
      <c r="W51" s="257">
        <v>-772642.60900000005</v>
      </c>
      <c r="X51" s="257">
        <v>-835616.71799999999</v>
      </c>
      <c r="Y51" s="257">
        <v>-941132.20175799984</v>
      </c>
      <c r="Z51" s="257"/>
      <c r="AA51" s="421">
        <f t="shared" si="70"/>
        <v>0.12627258584599055</v>
      </c>
      <c r="AB51" s="421">
        <f t="shared" si="71"/>
        <v>0.25117614710770164</v>
      </c>
      <c r="AC51" s="169"/>
      <c r="AD51" s="169"/>
    </row>
    <row r="52" spans="1:31" ht="13" customHeight="1">
      <c r="B52" s="107" t="str">
        <f>IF('Summary | Sumário'!D$6=Names!B$3,Names!O51,Names!P51)</f>
        <v>Term deposits</v>
      </c>
      <c r="C52" s="262">
        <v>0</v>
      </c>
      <c r="D52" s="262">
        <v>-93319</v>
      </c>
      <c r="E52" s="262">
        <f t="shared" si="66"/>
        <v>-274240.897</v>
      </c>
      <c r="F52" s="262">
        <f t="shared" si="67"/>
        <v>-1028816.8320000001</v>
      </c>
      <c r="G52" s="262">
        <f t="shared" si="68"/>
        <v>-1631470</v>
      </c>
      <c r="H52" s="262">
        <f t="shared" si="69"/>
        <v>-1994190.6705399998</v>
      </c>
      <c r="I52" s="257"/>
      <c r="J52" s="262">
        <v>-25065.286</v>
      </c>
      <c r="K52" s="262">
        <v>-45288.006000000001</v>
      </c>
      <c r="L52" s="262">
        <v>-78002.811000000016</v>
      </c>
      <c r="M52" s="262">
        <v>-125884.79399999999</v>
      </c>
      <c r="N52" s="262">
        <v>-177604.02900000001</v>
      </c>
      <c r="O52" s="262">
        <v>-239713.47799999997</v>
      </c>
      <c r="P52" s="262">
        <v>-301469.19900000002</v>
      </c>
      <c r="Q52" s="262">
        <v>-310030.12600000005</v>
      </c>
      <c r="R52" s="262">
        <v>-354160.50099999999</v>
      </c>
      <c r="S52" s="262">
        <v>-382393</v>
      </c>
      <c r="T52" s="262">
        <v>-448514</v>
      </c>
      <c r="U52" s="262">
        <v>-446402.49900000007</v>
      </c>
      <c r="V52" s="262">
        <v>-432672.71377999999</v>
      </c>
      <c r="W52" s="262">
        <v>-447290.62900000002</v>
      </c>
      <c r="X52" s="262">
        <v>-523227.49734</v>
      </c>
      <c r="Y52" s="262">
        <v>-590999.83041999978</v>
      </c>
      <c r="Z52" s="257"/>
      <c r="AA52" s="420">
        <f t="shared" si="70"/>
        <v>0.12952746830880035</v>
      </c>
      <c r="AB52" s="420">
        <f t="shared" si="71"/>
        <v>0.32391693985566072</v>
      </c>
      <c r="AC52" s="169"/>
      <c r="AD52" s="169"/>
    </row>
    <row r="53" spans="1:31" ht="13" customHeight="1">
      <c r="B53" s="632" t="str">
        <f>IF('Summary | Sumário'!D$6=Names!B$3,Names!O52,Names!P52)</f>
        <v>Open market capture</v>
      </c>
      <c r="C53" s="257">
        <v>0</v>
      </c>
      <c r="D53" s="257">
        <v>-73597</v>
      </c>
      <c r="E53" s="257">
        <f t="shared" si="66"/>
        <v>-231246.83100000001</v>
      </c>
      <c r="F53" s="257">
        <f t="shared" si="67"/>
        <v>-760511.01899999997</v>
      </c>
      <c r="G53" s="257">
        <f t="shared" si="68"/>
        <v>-1016636</v>
      </c>
      <c r="H53" s="257">
        <f t="shared" si="69"/>
        <v>-1044915.60173</v>
      </c>
      <c r="I53" s="257"/>
      <c r="J53" s="257">
        <v>-34710.417999999998</v>
      </c>
      <c r="K53" s="257">
        <v>-35918.767</v>
      </c>
      <c r="L53" s="257">
        <v>-54855.176000000014</v>
      </c>
      <c r="M53" s="257">
        <v>-105762.47</v>
      </c>
      <c r="N53" s="257">
        <v>-137379.93400000001</v>
      </c>
      <c r="O53" s="257">
        <v>-201195.05099999998</v>
      </c>
      <c r="P53" s="257">
        <v>-197029.07000000007</v>
      </c>
      <c r="Q53" s="257">
        <v>-224906.96399999992</v>
      </c>
      <c r="R53" s="257">
        <v>-271695.08500000002</v>
      </c>
      <c r="S53" s="257">
        <v>-260418</v>
      </c>
      <c r="T53" s="257">
        <v>-247243</v>
      </c>
      <c r="U53" s="257">
        <v>-237279.91500000004</v>
      </c>
      <c r="V53" s="257">
        <v>-248176.12664000003</v>
      </c>
      <c r="W53" s="257">
        <v>-238003.67300000001</v>
      </c>
      <c r="X53" s="257">
        <v>-265782.21307</v>
      </c>
      <c r="Y53" s="257">
        <v>-292953.58901999996</v>
      </c>
      <c r="Z53" s="257"/>
      <c r="AA53" s="421">
        <f t="shared" si="70"/>
        <v>0.10223173189864188</v>
      </c>
      <c r="AB53" s="421">
        <f t="shared" si="71"/>
        <v>0.23463289768963347</v>
      </c>
      <c r="AC53" s="169"/>
      <c r="AD53" s="169"/>
    </row>
    <row r="54" spans="1:31" ht="13" customHeight="1">
      <c r="B54" s="107" t="str">
        <f>IF('Summary | Sumário'!D$6=Names!B$3,Names!O53,Names!P53)</f>
        <v>Financial institutions deposits</v>
      </c>
      <c r="C54" s="262">
        <v>0</v>
      </c>
      <c r="D54" s="262">
        <v>-5056</v>
      </c>
      <c r="E54" s="262">
        <f t="shared" si="66"/>
        <v>-8022.165</v>
      </c>
      <c r="F54" s="262">
        <f t="shared" si="67"/>
        <v>-35469.398000000001</v>
      </c>
      <c r="G54" s="262">
        <f t="shared" si="68"/>
        <v>-131020</v>
      </c>
      <c r="H54" s="262">
        <f t="shared" si="69"/>
        <v>-98169.822</v>
      </c>
      <c r="I54" s="257"/>
      <c r="J54" s="262">
        <v>-217.92599999999999</v>
      </c>
      <c r="K54" s="262">
        <v>-795.05899999999997</v>
      </c>
      <c r="L54" s="262">
        <v>-2778.3970000000004</v>
      </c>
      <c r="M54" s="262">
        <v>-4230.7829999999994</v>
      </c>
      <c r="N54" s="262">
        <v>-3835.453</v>
      </c>
      <c r="O54" s="262">
        <v>-3359.3799999999997</v>
      </c>
      <c r="P54" s="262">
        <v>-7428.7410000000018</v>
      </c>
      <c r="Q54" s="262">
        <v>-20845.823999999997</v>
      </c>
      <c r="R54" s="262">
        <v>-22276.928</v>
      </c>
      <c r="S54" s="262">
        <v>-24105</v>
      </c>
      <c r="T54" s="262">
        <v>-42409</v>
      </c>
      <c r="U54" s="262">
        <v>-42229.072</v>
      </c>
      <c r="V54" s="262">
        <v>-42891.585159999995</v>
      </c>
      <c r="W54" s="262">
        <v>-42552.305</v>
      </c>
      <c r="X54" s="262">
        <v>-4549.9069599999893</v>
      </c>
      <c r="Y54" s="262">
        <v>-8176.0248800000118</v>
      </c>
      <c r="Z54" s="257"/>
      <c r="AA54" s="420">
        <f t="shared" si="70"/>
        <v>0.79696529003310235</v>
      </c>
      <c r="AB54" s="420">
        <f t="shared" si="71"/>
        <v>-0.80638871533809664</v>
      </c>
      <c r="AC54" s="169"/>
      <c r="AD54" s="169"/>
    </row>
    <row r="55" spans="1:31" ht="13" customHeight="1">
      <c r="B55" s="632" t="str">
        <f>IF('Summary | Sumário'!D$6=Names!B$3,Names!O54,Names!P54)</f>
        <v>Savings</v>
      </c>
      <c r="C55" s="257">
        <v>0</v>
      </c>
      <c r="D55" s="257">
        <v>-8745</v>
      </c>
      <c r="E55" s="257">
        <f t="shared" si="66"/>
        <v>-25639.774000000001</v>
      </c>
      <c r="F55" s="257">
        <f t="shared" si="67"/>
        <v>-80993.372000000003</v>
      </c>
      <c r="G55" s="257">
        <f t="shared" si="68"/>
        <v>-91926</v>
      </c>
      <c r="H55" s="257">
        <f t="shared" si="69"/>
        <v>-102935.47100000001</v>
      </c>
      <c r="I55" s="257"/>
      <c r="J55" s="257">
        <v>-2737.674</v>
      </c>
      <c r="K55" s="257">
        <v>-4166.7550000000001</v>
      </c>
      <c r="L55" s="257">
        <v>-7301.5100000000011</v>
      </c>
      <c r="M55" s="257">
        <v>-11433.834999999999</v>
      </c>
      <c r="N55" s="257">
        <v>-17702.957999999999</v>
      </c>
      <c r="O55" s="257">
        <v>-19864.777000000002</v>
      </c>
      <c r="P55" s="257">
        <v>-21620.343000000001</v>
      </c>
      <c r="Q55" s="257">
        <v>-21805.294000000002</v>
      </c>
      <c r="R55" s="257">
        <v>-22812.173999999999</v>
      </c>
      <c r="S55" s="257">
        <v>-22937</v>
      </c>
      <c r="T55" s="257">
        <v>-24012</v>
      </c>
      <c r="U55" s="257">
        <v>-22164.826000000001</v>
      </c>
      <c r="V55" s="257">
        <v>-23452.67596</v>
      </c>
      <c r="W55" s="257">
        <v>-24598.885999999999</v>
      </c>
      <c r="X55" s="257">
        <v>-26986.819460000002</v>
      </c>
      <c r="Y55" s="257">
        <v>-27897.08958</v>
      </c>
      <c r="Z55" s="257"/>
      <c r="AA55" s="421">
        <f t="shared" si="70"/>
        <v>3.3730174144797065E-2</v>
      </c>
      <c r="AB55" s="421">
        <f t="shared" si="71"/>
        <v>0.25861983216110063</v>
      </c>
      <c r="AC55" s="169"/>
      <c r="AD55" s="169"/>
    </row>
    <row r="56" spans="1:31" ht="13" customHeight="1">
      <c r="B56" s="107" t="str">
        <f>IF('Summary | Sumário'!D$6=Names!B$3,Names!O55,Names!P55)</f>
        <v xml:space="preserve">Others </v>
      </c>
      <c r="C56" s="262">
        <v>0</v>
      </c>
      <c r="D56" s="262">
        <v>7364.6793500000003</v>
      </c>
      <c r="E56" s="262">
        <f t="shared" si="66"/>
        <v>21586.092000000001</v>
      </c>
      <c r="F56" s="262">
        <f t="shared" si="67"/>
        <v>14380.906110000018</v>
      </c>
      <c r="G56" s="262">
        <f t="shared" si="68"/>
        <v>-1458</v>
      </c>
      <c r="H56" s="262">
        <f t="shared" si="69"/>
        <v>215195.96812633501</v>
      </c>
      <c r="I56" s="257"/>
      <c r="J56" s="262">
        <v>4018.4669999999996</v>
      </c>
      <c r="K56" s="262">
        <v>2171.27</v>
      </c>
      <c r="L56" s="262">
        <v>6261.3210000000008</v>
      </c>
      <c r="M56" s="262">
        <v>9135.0339999999997</v>
      </c>
      <c r="N56" s="262">
        <v>19991.723699999999</v>
      </c>
      <c r="O56" s="262">
        <v>-14255.250899999999</v>
      </c>
      <c r="P56" s="262">
        <v>4359.5800100000197</v>
      </c>
      <c r="Q56" s="262">
        <v>4284.8532999999998</v>
      </c>
      <c r="R56" s="262">
        <v>9761.2691400000203</v>
      </c>
      <c r="S56" s="262">
        <v>57.954070000036197</v>
      </c>
      <c r="T56" s="262">
        <v>7345.8183899999603</v>
      </c>
      <c r="U56" s="262">
        <v>-18623.041600000019</v>
      </c>
      <c r="V56" s="262">
        <v>19548.879910000003</v>
      </c>
      <c r="W56" s="262">
        <v>27154.723109999999</v>
      </c>
      <c r="X56" s="262">
        <v>42287.207184334788</v>
      </c>
      <c r="Y56" s="262">
        <v>126205.15792200022</v>
      </c>
      <c r="Z56" s="257"/>
      <c r="AA56" s="420">
        <f t="shared" si="70"/>
        <v>1.9844760703126467</v>
      </c>
      <c r="AB56" s="420">
        <f t="shared" si="71"/>
        <v>-7.7768284382718713</v>
      </c>
      <c r="AC56" s="169"/>
      <c r="AD56" s="169"/>
    </row>
    <row r="57" spans="1:31" ht="13" customHeight="1">
      <c r="B57" s="16" t="str">
        <f>IF('Summary | Sumário'!D$6=Names!B$3,Names!O56,Names!P56)</f>
        <v>Income from securities and derivatives and foreing exchange</v>
      </c>
      <c r="C57" s="257">
        <v>72729</v>
      </c>
      <c r="D57" s="257">
        <v>-25040</v>
      </c>
      <c r="E57" s="257">
        <f t="shared" si="66"/>
        <v>721949.66599999997</v>
      </c>
      <c r="F57" s="257">
        <f t="shared" si="67"/>
        <v>1605401.1030000001</v>
      </c>
      <c r="G57" s="257">
        <f t="shared" si="68"/>
        <v>1634543</v>
      </c>
      <c r="H57" s="257">
        <f t="shared" si="69"/>
        <v>2629169.8130000001</v>
      </c>
      <c r="I57" s="257"/>
      <c r="J57" s="257">
        <v>74012.403999999995</v>
      </c>
      <c r="K57" s="257">
        <v>89585.596000000005</v>
      </c>
      <c r="L57" s="257">
        <v>224342</v>
      </c>
      <c r="M57" s="257">
        <v>334009.66600000003</v>
      </c>
      <c r="N57" s="257">
        <v>376055.38300000003</v>
      </c>
      <c r="O57" s="257">
        <v>429378.674</v>
      </c>
      <c r="P57" s="257">
        <v>378059.73599999998</v>
      </c>
      <c r="Q57" s="257">
        <v>421907.31</v>
      </c>
      <c r="R57" s="257">
        <v>386325.30200000003</v>
      </c>
      <c r="S57" s="257">
        <v>369367</v>
      </c>
      <c r="T57" s="257">
        <v>508679.01922000002</v>
      </c>
      <c r="U57" s="257">
        <v>370171.67877999996</v>
      </c>
      <c r="V57" s="257">
        <v>537136.61082000006</v>
      </c>
      <c r="W57" s="257">
        <v>642093.19580384996</v>
      </c>
      <c r="X57" s="257">
        <v>587740.70944000012</v>
      </c>
      <c r="Y57" s="257">
        <v>862199.29693614994</v>
      </c>
      <c r="Z57" s="257"/>
      <c r="AA57" s="421">
        <f t="shared" si="70"/>
        <v>0.46697222616696776</v>
      </c>
      <c r="AB57" s="421">
        <f t="shared" si="71"/>
        <v>1.3291876347152192</v>
      </c>
      <c r="AC57" s="169"/>
      <c r="AD57" s="169"/>
    </row>
    <row r="58" spans="1:31" ht="13" customHeight="1">
      <c r="B58" s="107" t="str">
        <f>IF('Summary | Sumário'!D$6=Names!B$3,Names!O57,Names!P57)</f>
        <v>Income from securities</v>
      </c>
      <c r="C58" s="262">
        <v>62518</v>
      </c>
      <c r="D58" s="262">
        <v>12060</v>
      </c>
      <c r="E58" s="262">
        <f t="shared" si="66"/>
        <v>745613</v>
      </c>
      <c r="F58" s="262">
        <f t="shared" si="67"/>
        <v>1471737</v>
      </c>
      <c r="G58" s="262">
        <f t="shared" si="68"/>
        <v>1615108</v>
      </c>
      <c r="H58" s="262">
        <f t="shared" si="69"/>
        <v>2007869.4701800002</v>
      </c>
      <c r="I58" s="257"/>
      <c r="J58" s="262">
        <v>88068</v>
      </c>
      <c r="K58" s="262">
        <v>106662</v>
      </c>
      <c r="L58" s="262">
        <v>228420</v>
      </c>
      <c r="M58" s="262">
        <v>322463</v>
      </c>
      <c r="N58" s="262">
        <v>348013</v>
      </c>
      <c r="O58" s="262">
        <v>406846</v>
      </c>
      <c r="P58" s="262">
        <v>340982</v>
      </c>
      <c r="Q58" s="262">
        <v>375896</v>
      </c>
      <c r="R58" s="262">
        <v>370924</v>
      </c>
      <c r="S58" s="262">
        <v>402038</v>
      </c>
      <c r="T58" s="262">
        <v>417887</v>
      </c>
      <c r="U58" s="262">
        <v>424259</v>
      </c>
      <c r="V58" s="262">
        <v>446719</v>
      </c>
      <c r="W58" s="262">
        <v>456585.37339384999</v>
      </c>
      <c r="X58" s="262">
        <v>513731</v>
      </c>
      <c r="Y58" s="262">
        <v>590834.09678615024</v>
      </c>
      <c r="Z58" s="257"/>
      <c r="AA58" s="420">
        <f t="shared" si="70"/>
        <v>0.15008457108126683</v>
      </c>
      <c r="AB58" s="420">
        <f t="shared" si="71"/>
        <v>0.39262595911023745</v>
      </c>
      <c r="AC58" s="169"/>
      <c r="AD58" s="169"/>
    </row>
    <row r="59" spans="1:31" ht="13" customHeight="1">
      <c r="B59" s="631" t="str">
        <f>IF('Summary | Sumário'!D$6=Names!B$3,Names!O58,Names!P58)</f>
        <v>Fair value throught other comprehensive income</v>
      </c>
      <c r="C59" s="257">
        <v>49230</v>
      </c>
      <c r="D59" s="257">
        <v>-7110</v>
      </c>
      <c r="E59" s="257">
        <f t="shared" si="66"/>
        <v>660584</v>
      </c>
      <c r="F59" s="257">
        <f t="shared" si="67"/>
        <v>1100970</v>
      </c>
      <c r="G59" s="257">
        <f t="shared" si="68"/>
        <v>1284794</v>
      </c>
      <c r="H59" s="257">
        <f t="shared" si="69"/>
        <v>1671055.76951</v>
      </c>
      <c r="I59" s="257"/>
      <c r="J59" s="257">
        <v>82568</v>
      </c>
      <c r="K59" s="257">
        <v>86703</v>
      </c>
      <c r="L59" s="257">
        <v>221395</v>
      </c>
      <c r="M59" s="257">
        <v>269918</v>
      </c>
      <c r="N59" s="257">
        <v>272383</v>
      </c>
      <c r="O59" s="257">
        <v>328769</v>
      </c>
      <c r="P59" s="257">
        <v>217653</v>
      </c>
      <c r="Q59" s="257">
        <v>282165</v>
      </c>
      <c r="R59" s="257">
        <v>288695</v>
      </c>
      <c r="S59" s="257">
        <v>295458</v>
      </c>
      <c r="T59" s="257">
        <v>333051</v>
      </c>
      <c r="U59" s="257">
        <v>367590</v>
      </c>
      <c r="V59" s="257">
        <v>380391.57521807228</v>
      </c>
      <c r="W59" s="257">
        <v>381322.39837999997</v>
      </c>
      <c r="X59" s="257">
        <v>406807.95432000002</v>
      </c>
      <c r="Y59" s="257">
        <v>502533.84159192769</v>
      </c>
      <c r="Z59" s="257"/>
      <c r="AA59" s="421">
        <f t="shared" si="70"/>
        <v>0.23530977272049247</v>
      </c>
      <c r="AB59" s="421">
        <f t="shared" si="71"/>
        <v>0.36710422370556239</v>
      </c>
      <c r="AC59" s="169"/>
      <c r="AD59" s="169"/>
    </row>
    <row r="60" spans="1:31" ht="13" customHeight="1">
      <c r="B60" s="106" t="str">
        <f>IF('Summary | Sumário'!D$6=Names!B$3,Names!O59,Names!P59)</f>
        <v>Fair value through proft or loss</v>
      </c>
      <c r="C60" s="262">
        <v>10422</v>
      </c>
      <c r="D60" s="262">
        <v>2021</v>
      </c>
      <c r="E60" s="262">
        <f t="shared" si="66"/>
        <v>-58754</v>
      </c>
      <c r="F60" s="262">
        <f t="shared" si="67"/>
        <v>209400</v>
      </c>
      <c r="G60" s="262">
        <f t="shared" si="68"/>
        <v>194250</v>
      </c>
      <c r="H60" s="262">
        <f t="shared" si="69"/>
        <v>298831.75513000001</v>
      </c>
      <c r="I60" s="257"/>
      <c r="J60" s="262">
        <v>-320</v>
      </c>
      <c r="K60" s="262">
        <v>8357</v>
      </c>
      <c r="L60" s="262">
        <v>4751</v>
      </c>
      <c r="M60" s="262">
        <v>-71542</v>
      </c>
      <c r="N60" s="262">
        <v>47341</v>
      </c>
      <c r="O60" s="262">
        <v>35635</v>
      </c>
      <c r="P60" s="262">
        <v>45470</v>
      </c>
      <c r="Q60" s="262">
        <v>80954</v>
      </c>
      <c r="R60" s="262">
        <v>39277</v>
      </c>
      <c r="S60" s="262">
        <v>55362</v>
      </c>
      <c r="T60" s="262">
        <v>52227</v>
      </c>
      <c r="U60" s="262">
        <v>47384</v>
      </c>
      <c r="V60" s="262">
        <v>49225.531450000009</v>
      </c>
      <c r="W60" s="262">
        <v>63157.945570000011</v>
      </c>
      <c r="X60" s="262">
        <v>102108.89573</v>
      </c>
      <c r="Y60" s="262">
        <v>84339.382379999966</v>
      </c>
      <c r="Z60" s="257"/>
      <c r="AA60" s="420">
        <f t="shared" si="70"/>
        <v>-0.1740251250683077</v>
      </c>
      <c r="AB60" s="420">
        <f t="shared" si="71"/>
        <v>0.77991267896336236</v>
      </c>
      <c r="AC60" s="169"/>
      <c r="AD60" s="169"/>
    </row>
    <row r="61" spans="1:31" ht="13" customHeight="1">
      <c r="B61" s="631" t="str">
        <f>IF('Summary | Sumário'!D$6=Names!B$3,Names!O60,Names!P60)</f>
        <v>Amortized cost</v>
      </c>
      <c r="C61" s="257">
        <v>2866</v>
      </c>
      <c r="D61" s="257">
        <v>17149</v>
      </c>
      <c r="E61" s="257">
        <f t="shared" si="66"/>
        <v>143783</v>
      </c>
      <c r="F61" s="257">
        <f t="shared" si="67"/>
        <v>161367</v>
      </c>
      <c r="G61" s="257">
        <f t="shared" si="68"/>
        <v>136064</v>
      </c>
      <c r="H61" s="257">
        <f t="shared" si="69"/>
        <v>37980.945540000001</v>
      </c>
      <c r="I61" s="257"/>
      <c r="J61" s="257">
        <v>5820</v>
      </c>
      <c r="K61" s="257">
        <v>11602</v>
      </c>
      <c r="L61" s="257">
        <v>2274</v>
      </c>
      <c r="M61" s="257">
        <v>124087</v>
      </c>
      <c r="N61" s="257">
        <v>28289</v>
      </c>
      <c r="O61" s="257">
        <v>42442</v>
      </c>
      <c r="P61" s="257">
        <v>77859</v>
      </c>
      <c r="Q61" s="257">
        <v>12777</v>
      </c>
      <c r="R61" s="257">
        <v>42952</v>
      </c>
      <c r="S61" s="257">
        <v>51218</v>
      </c>
      <c r="T61" s="257">
        <v>32609</v>
      </c>
      <c r="U61" s="257">
        <v>9285</v>
      </c>
      <c r="V61" s="257">
        <v>17100.697370000002</v>
      </c>
      <c r="W61" s="257">
        <v>12105.029443849995</v>
      </c>
      <c r="X61" s="257">
        <v>4814.1276680228402</v>
      </c>
      <c r="Y61" s="257">
        <v>3961.0910581271601</v>
      </c>
      <c r="Z61" s="257"/>
      <c r="AA61" s="421">
        <f t="shared" si="70"/>
        <v>-0.17719443037662974</v>
      </c>
      <c r="AB61" s="421">
        <f t="shared" si="71"/>
        <v>-0.57338814667451155</v>
      </c>
      <c r="AC61" s="169"/>
      <c r="AD61" s="169"/>
    </row>
    <row r="62" spans="1:31" ht="13" customHeight="1">
      <c r="B62" s="107" t="str">
        <f>IF('Summary | Sumário'!D$6=Names!B$3,Names!O61,Names!P61)</f>
        <v>Income from derivatives</v>
      </c>
      <c r="C62" s="262">
        <v>4235</v>
      </c>
      <c r="D62" s="262">
        <v>-54418</v>
      </c>
      <c r="E62" s="262">
        <f t="shared" si="66"/>
        <v>-48330.334000000003</v>
      </c>
      <c r="F62" s="262">
        <f t="shared" si="67"/>
        <v>33884.103000000003</v>
      </c>
      <c r="G62" s="262">
        <f t="shared" si="68"/>
        <v>-69273</v>
      </c>
      <c r="H62" s="262">
        <f t="shared" si="69"/>
        <v>546712.54295000003</v>
      </c>
      <c r="I62" s="257"/>
      <c r="J62" s="262">
        <v>-19931.596000000001</v>
      </c>
      <c r="K62" s="262">
        <v>-23765.403999999999</v>
      </c>
      <c r="L62" s="262">
        <v>-9869</v>
      </c>
      <c r="M62" s="262">
        <v>5235.6660000000011</v>
      </c>
      <c r="N62" s="262">
        <v>11009.383000000002</v>
      </c>
      <c r="O62" s="262">
        <v>-3030.3259999999991</v>
      </c>
      <c r="P62" s="262">
        <v>5940.7360000000008</v>
      </c>
      <c r="Q62" s="262">
        <v>19964.310000000001</v>
      </c>
      <c r="R62" s="262">
        <v>482.30199999999968</v>
      </c>
      <c r="S62" s="262">
        <v>-58862</v>
      </c>
      <c r="T62" s="262">
        <v>64133.019220000024</v>
      </c>
      <c r="U62" s="262">
        <v>-75026.321220000013</v>
      </c>
      <c r="V62" s="262">
        <v>68661.610820000031</v>
      </c>
      <c r="W62" s="262">
        <v>173310.82241000002</v>
      </c>
      <c r="X62" s="262">
        <v>44424.709440000101</v>
      </c>
      <c r="Y62" s="262">
        <v>260315.40027999989</v>
      </c>
      <c r="Z62" s="257"/>
      <c r="AA62" s="420">
        <f t="shared" si="70"/>
        <v>4.8596984327287771</v>
      </c>
      <c r="AB62" s="420">
        <f t="shared" si="71"/>
        <v>-4.4696543299341025</v>
      </c>
      <c r="AC62" s="169"/>
      <c r="AD62" s="169"/>
    </row>
    <row r="63" spans="1:31" ht="13" customHeight="1">
      <c r="B63" s="631" t="str">
        <f>IF('Summary | Sumário'!D$6=Names!B$3,Names!O62,Names!P62)</f>
        <v>Future contracts dolar</v>
      </c>
      <c r="C63" s="257">
        <v>0</v>
      </c>
      <c r="D63" s="257">
        <v>80</v>
      </c>
      <c r="E63" s="257">
        <f t="shared" si="66"/>
        <v>2839.3969999999999</v>
      </c>
      <c r="F63" s="257">
        <f t="shared" si="67"/>
        <v>34984.461000000003</v>
      </c>
      <c r="G63" s="257">
        <f t="shared" si="68"/>
        <v>33250</v>
      </c>
      <c r="H63" s="257">
        <f t="shared" si="69"/>
        <v>-48015.81912</v>
      </c>
      <c r="I63" s="257"/>
      <c r="J63" s="257">
        <v>47</v>
      </c>
      <c r="K63" s="257">
        <v>-27</v>
      </c>
      <c r="L63" s="257">
        <v>-486</v>
      </c>
      <c r="M63" s="257">
        <v>3305.3969999999999</v>
      </c>
      <c r="N63" s="257">
        <v>26420.572</v>
      </c>
      <c r="O63" s="257">
        <v>431.68600000000151</v>
      </c>
      <c r="P63" s="257">
        <v>3805.4429999999993</v>
      </c>
      <c r="Q63" s="257">
        <v>4326.760000000002</v>
      </c>
      <c r="R63" s="257">
        <v>13826.72</v>
      </c>
      <c r="S63" s="257">
        <v>7133</v>
      </c>
      <c r="T63" s="257">
        <v>-2828.2197999999735</v>
      </c>
      <c r="U63" s="257">
        <v>15118.499799999972</v>
      </c>
      <c r="V63" s="257">
        <v>3594.1129100000003</v>
      </c>
      <c r="W63" s="257">
        <v>-22517.600689999996</v>
      </c>
      <c r="X63" s="257">
        <v>22983.882399999999</v>
      </c>
      <c r="Y63" s="257">
        <v>-52076.213740000007</v>
      </c>
      <c r="Z63" s="257"/>
      <c r="AA63" s="421">
        <f t="shared" si="70"/>
        <v>-3.2657709795800214</v>
      </c>
      <c r="AB63" s="421">
        <f t="shared" si="71"/>
        <v>-4.4445357958069422</v>
      </c>
      <c r="AC63" s="169"/>
      <c r="AD63" s="169"/>
    </row>
    <row r="64" spans="1:31" ht="13" customHeight="1">
      <c r="B64" s="106" t="str">
        <f>IF('Summary | Sumário'!D$6=Names!B$3,Names!O63,Names!P63)</f>
        <v>Fixed-term contracts</v>
      </c>
      <c r="C64" s="262">
        <v>4337</v>
      </c>
      <c r="D64" s="262">
        <v>305</v>
      </c>
      <c r="E64" s="262">
        <f t="shared" si="66"/>
        <v>8987.2690000000002</v>
      </c>
      <c r="F64" s="262">
        <f t="shared" si="67"/>
        <v>4475.3869999999997</v>
      </c>
      <c r="G64" s="262">
        <f t="shared" si="68"/>
        <v>-2445</v>
      </c>
      <c r="H64" s="262">
        <f t="shared" si="69"/>
        <v>40987.29176</v>
      </c>
      <c r="I64" s="257"/>
      <c r="J64" s="262">
        <v>239.404</v>
      </c>
      <c r="K64" s="262">
        <v>259.596</v>
      </c>
      <c r="L64" s="262">
        <v>165</v>
      </c>
      <c r="M64" s="262">
        <v>8323.2690000000002</v>
      </c>
      <c r="N64" s="262">
        <v>444.61500000000001</v>
      </c>
      <c r="O64" s="262">
        <v>647.42100000000005</v>
      </c>
      <c r="P64" s="262">
        <v>47.963999999999942</v>
      </c>
      <c r="Q64" s="262">
        <v>3335.3869999999997</v>
      </c>
      <c r="R64" s="262">
        <v>3045.3519999999999</v>
      </c>
      <c r="S64" s="262">
        <v>-5487</v>
      </c>
      <c r="T64" s="262">
        <v>-824.76097999999956</v>
      </c>
      <c r="U64" s="262">
        <v>821.4089799999997</v>
      </c>
      <c r="V64" s="262">
        <v>-1212.2091199999995</v>
      </c>
      <c r="W64" s="262">
        <v>15228.915119999998</v>
      </c>
      <c r="X64" s="262">
        <v>6567.74514</v>
      </c>
      <c r="Y64" s="262">
        <v>20402.840620000003</v>
      </c>
      <c r="Z64" s="257"/>
      <c r="AA64" s="420">
        <f t="shared" si="70"/>
        <v>2.1065213684585822</v>
      </c>
      <c r="AB64" s="420">
        <f t="shared" si="71"/>
        <v>23.838833171753262</v>
      </c>
      <c r="AC64" s="169"/>
      <c r="AD64" s="169"/>
    </row>
    <row r="65" spans="1:31" ht="13" customHeight="1">
      <c r="B65" s="631" t="str">
        <f>IF('Summary | Sumário'!D$6=Names!B$3,Names!O64,Names!P64)</f>
        <v>Futures contrats and swaps</v>
      </c>
      <c r="C65" s="257">
        <v>-102</v>
      </c>
      <c r="D65" s="257">
        <v>-54803</v>
      </c>
      <c r="E65" s="257">
        <f t="shared" si="66"/>
        <v>-60157</v>
      </c>
      <c r="F65" s="257">
        <f t="shared" si="67"/>
        <v>-5575.744999999999</v>
      </c>
      <c r="G65" s="257">
        <f t="shared" si="68"/>
        <v>-100078</v>
      </c>
      <c r="H65" s="257">
        <f t="shared" si="69"/>
        <v>553741.07030999998</v>
      </c>
      <c r="I65" s="257"/>
      <c r="J65" s="257">
        <v>-20218</v>
      </c>
      <c r="K65" s="257">
        <v>-23998</v>
      </c>
      <c r="L65" s="257">
        <v>-9548</v>
      </c>
      <c r="M65" s="257">
        <v>-6393</v>
      </c>
      <c r="N65" s="257">
        <v>-15855.804</v>
      </c>
      <c r="O65" s="257">
        <v>-4109.4330000000009</v>
      </c>
      <c r="P65" s="257">
        <v>2087.3290000000015</v>
      </c>
      <c r="Q65" s="257">
        <v>12302.163</v>
      </c>
      <c r="R65" s="257">
        <v>-16389.77</v>
      </c>
      <c r="S65" s="257">
        <v>-60508</v>
      </c>
      <c r="T65" s="257">
        <v>67786</v>
      </c>
      <c r="U65" s="257">
        <v>-90966.23</v>
      </c>
      <c r="V65" s="257">
        <v>66279.707030000034</v>
      </c>
      <c r="W65" s="257">
        <v>180599.50798000002</v>
      </c>
      <c r="X65" s="257">
        <v>14873.081900000099</v>
      </c>
      <c r="Y65" s="257">
        <v>291988.77339999983</v>
      </c>
      <c r="Z65" s="257"/>
      <c r="AA65" s="421">
        <f t="shared" si="70"/>
        <v>18.632028880308788</v>
      </c>
      <c r="AB65" s="421">
        <f t="shared" si="71"/>
        <v>-4.20985901471348</v>
      </c>
      <c r="AC65" s="169"/>
      <c r="AD65" s="169"/>
    </row>
    <row r="66" spans="1:31" ht="13" customHeight="1">
      <c r="B66" s="129" t="str">
        <f>IF('Summary | Sumário'!D$6=Names!B$3,Names!O65,Names!P65)</f>
        <v>Hedge accounting real estate loans</v>
      </c>
      <c r="C66" s="264">
        <v>0</v>
      </c>
      <c r="D66" s="262">
        <v>-70972.398829336977</v>
      </c>
      <c r="E66" s="262">
        <f t="shared" si="66"/>
        <v>-73354.239000000001</v>
      </c>
      <c r="F66" s="262">
        <f t="shared" si="67"/>
        <v>-27585.400999999998</v>
      </c>
      <c r="G66" s="262">
        <f t="shared" si="68"/>
        <v>-9439.8214100000023</v>
      </c>
      <c r="H66" s="262">
        <f t="shared" si="69"/>
        <v>208310.60479145829</v>
      </c>
      <c r="I66" s="257"/>
      <c r="J66" s="262">
        <v>-16468.116999999998</v>
      </c>
      <c r="K66" s="262">
        <v>-36410.913999999997</v>
      </c>
      <c r="L66" s="262">
        <v>-2915.415</v>
      </c>
      <c r="M66" s="262">
        <v>-17559.793000000001</v>
      </c>
      <c r="N66" s="262">
        <v>-8323.277</v>
      </c>
      <c r="O66" s="262">
        <v>-14497.851000000001</v>
      </c>
      <c r="P66" s="262">
        <v>-8870.1569999999992</v>
      </c>
      <c r="Q66" s="262">
        <v>4105.884</v>
      </c>
      <c r="R66" s="262">
        <v>-5114.3909999999996</v>
      </c>
      <c r="S66" s="262">
        <v>6039.93</v>
      </c>
      <c r="T66" s="262">
        <v>6136.5408399999997</v>
      </c>
      <c r="U66" s="262">
        <v>-16501.901250000003</v>
      </c>
      <c r="V66" s="262">
        <v>26412.795423179959</v>
      </c>
      <c r="W66" s="262">
        <v>67242.322886524373</v>
      </c>
      <c r="X66" s="262">
        <v>10952.83</v>
      </c>
      <c r="Y66" s="262">
        <v>103702.65648175398</v>
      </c>
      <c r="Z66" s="257"/>
      <c r="AA66" s="420">
        <f t="shared" si="70"/>
        <v>8.468115225175044</v>
      </c>
      <c r="AB66" s="420">
        <f t="shared" si="71"/>
        <v>-7.2842853626792827</v>
      </c>
      <c r="AC66" s="169"/>
      <c r="AD66" s="169"/>
    </row>
    <row r="67" spans="1:31" ht="13" customHeight="1">
      <c r="B67" s="633" t="str">
        <f>IF('Summary | Sumário'!D$6=Names!B$3,Names!O66,Names!P66)</f>
        <v>Hedge accounting from personal loans</v>
      </c>
      <c r="C67" s="263">
        <v>0</v>
      </c>
      <c r="D67" s="257">
        <v>0</v>
      </c>
      <c r="E67" s="257">
        <f t="shared" si="66"/>
        <v>0</v>
      </c>
      <c r="F67" s="257">
        <f t="shared" si="67"/>
        <v>0</v>
      </c>
      <c r="G67" s="257">
        <f t="shared" si="68"/>
        <v>-104805.87383</v>
      </c>
      <c r="H67" s="257">
        <f t="shared" si="69"/>
        <v>343477.48167000001</v>
      </c>
      <c r="I67" s="257"/>
      <c r="J67" s="257">
        <v>0</v>
      </c>
      <c r="K67" s="257">
        <v>0</v>
      </c>
      <c r="L67" s="257">
        <v>0</v>
      </c>
      <c r="M67" s="257">
        <v>0</v>
      </c>
      <c r="N67" s="257">
        <v>0</v>
      </c>
      <c r="O67" s="257">
        <v>0</v>
      </c>
      <c r="P67" s="257">
        <v>0</v>
      </c>
      <c r="Q67" s="257">
        <v>0</v>
      </c>
      <c r="R67" s="257">
        <v>-14277.970720000001</v>
      </c>
      <c r="S67" s="257">
        <v>-65034.58827</v>
      </c>
      <c r="T67" s="257">
        <v>45457.766470000002</v>
      </c>
      <c r="U67" s="257">
        <v>-70951.081309999994</v>
      </c>
      <c r="V67" s="257">
        <v>42486.294860000002</v>
      </c>
      <c r="W67" s="257">
        <v>120316.48633000001</v>
      </c>
      <c r="X67" s="257">
        <v>10504.47</v>
      </c>
      <c r="Y67" s="257">
        <v>170170.23048</v>
      </c>
      <c r="Z67" s="257"/>
      <c r="AA67" s="421">
        <f t="shared" si="70"/>
        <v>15.199792134205726</v>
      </c>
      <c r="AB67" s="421">
        <f t="shared" si="71"/>
        <v>-3.398416307941678</v>
      </c>
      <c r="AC67" s="169"/>
      <c r="AD67" s="169"/>
    </row>
    <row r="68" spans="1:31" ht="13" customHeight="1">
      <c r="B68" s="129" t="str">
        <f>IF('Summary | Sumário'!D$6=Names!B$3,Names!O67,Names!P67)</f>
        <v>Other results</v>
      </c>
      <c r="C68" s="264">
        <v>0</v>
      </c>
      <c r="D68" s="262">
        <v>16169.398829336977</v>
      </c>
      <c r="E68" s="262">
        <f t="shared" si="66"/>
        <v>13197.238999999998</v>
      </c>
      <c r="F68" s="262">
        <f t="shared" si="67"/>
        <v>22009.656000000003</v>
      </c>
      <c r="G68" s="262">
        <f t="shared" si="68"/>
        <v>14167.695240000005</v>
      </c>
      <c r="H68" s="262">
        <f t="shared" si="69"/>
        <v>1952.9838485416949</v>
      </c>
      <c r="I68" s="257"/>
      <c r="J68" s="262">
        <v>-3749.8830000000016</v>
      </c>
      <c r="K68" s="262">
        <v>12412.913999999997</v>
      </c>
      <c r="L68" s="262">
        <v>-6632.585</v>
      </c>
      <c r="M68" s="262">
        <v>11166.793000000001</v>
      </c>
      <c r="N68" s="262">
        <v>-7532.527</v>
      </c>
      <c r="O68" s="262">
        <v>10388.418</v>
      </c>
      <c r="P68" s="262">
        <v>10957.486000000001</v>
      </c>
      <c r="Q68" s="262">
        <v>8196.2790000000005</v>
      </c>
      <c r="R68" s="262">
        <v>3002.5917200000004</v>
      </c>
      <c r="S68" s="262">
        <v>-1513.3417300000001</v>
      </c>
      <c r="T68" s="262">
        <v>16191.692689999996</v>
      </c>
      <c r="U68" s="262">
        <v>-3513.2474399999919</v>
      </c>
      <c r="V68" s="262">
        <v>-2619.3832531799271</v>
      </c>
      <c r="W68" s="262">
        <v>-6959.301236524363</v>
      </c>
      <c r="X68" s="262">
        <v>-6584.2180999999</v>
      </c>
      <c r="Y68" s="262">
        <v>18115.886438245885</v>
      </c>
      <c r="Z68" s="257"/>
      <c r="AA68" s="420">
        <f t="shared" si="70"/>
        <v>-3.751410442835446</v>
      </c>
      <c r="AB68" s="420">
        <f t="shared" si="71"/>
        <v>-6.1564504771249267</v>
      </c>
      <c r="AC68" s="169"/>
      <c r="AD68" s="169"/>
    </row>
    <row r="69" spans="1:31" ht="13" customHeight="1">
      <c r="B69" s="632" t="str">
        <f>IF('Summary | Sumário'!D$6=Names!B$3,Names!O68,Names!P68)</f>
        <v>Revenue foreign exchange</v>
      </c>
      <c r="C69" s="263">
        <v>5976</v>
      </c>
      <c r="D69" s="257">
        <v>17318</v>
      </c>
      <c r="E69" s="257">
        <v>24667</v>
      </c>
      <c r="F69" s="257">
        <v>99780</v>
      </c>
      <c r="G69" s="257">
        <v>88708</v>
      </c>
      <c r="H69" s="257">
        <f t="shared" si="69"/>
        <v>74587.800272134002</v>
      </c>
      <c r="I69" s="257"/>
      <c r="J69" s="257">
        <v>5876</v>
      </c>
      <c r="K69" s="257">
        <v>6689</v>
      </c>
      <c r="L69" s="257">
        <v>5791</v>
      </c>
      <c r="M69" s="257">
        <v>6311</v>
      </c>
      <c r="N69" s="257">
        <v>17033</v>
      </c>
      <c r="O69" s="257">
        <v>25563</v>
      </c>
      <c r="P69" s="257">
        <v>31137</v>
      </c>
      <c r="Q69" s="257">
        <v>26047</v>
      </c>
      <c r="R69" s="257">
        <v>14919</v>
      </c>
      <c r="S69" s="257">
        <v>26191</v>
      </c>
      <c r="T69" s="257">
        <v>26659</v>
      </c>
      <c r="U69" s="257">
        <v>20939</v>
      </c>
      <c r="V69" s="257">
        <v>21756</v>
      </c>
      <c r="W69" s="257">
        <v>12197</v>
      </c>
      <c r="X69" s="257">
        <v>29585</v>
      </c>
      <c r="Y69" s="257">
        <v>11049.800272134002</v>
      </c>
      <c r="Z69" s="257"/>
      <c r="AA69" s="652">
        <f t="shared" ref="AA69" si="72">Y69/X69-1</f>
        <v>-0.6265066664818657</v>
      </c>
      <c r="AB69" s="652">
        <f t="shared" ref="AB69" si="73">Y69/U69-1</f>
        <v>-0.47228615157677056</v>
      </c>
      <c r="AC69" s="169"/>
      <c r="AD69" s="169"/>
    </row>
    <row r="70" spans="1:31" ht="13" customHeight="1">
      <c r="A70" s="242"/>
      <c r="B70" s="661" t="str">
        <f>IF('Summary | Sumário'!D$6=Names!B$3,Names!O44,Names!P44)</f>
        <v>Net interest income and income from securities, derivatives and foreing exchange</v>
      </c>
      <c r="C70" s="662">
        <v>591527</v>
      </c>
      <c r="D70" s="662">
        <v>733280.89517999999</v>
      </c>
      <c r="E70" s="662">
        <f t="shared" si="66"/>
        <v>1614134.912</v>
      </c>
      <c r="F70" s="662">
        <f t="shared" si="67"/>
        <v>2435209.1849999996</v>
      </c>
      <c r="G70" s="662">
        <f t="shared" si="68"/>
        <v>3296796.9950000001</v>
      </c>
      <c r="H70" s="662">
        <f t="shared" si="69"/>
        <v>4456744.3939420003</v>
      </c>
      <c r="I70" s="651"/>
      <c r="J70" s="662">
        <v>297457.33899999998</v>
      </c>
      <c r="K70" s="662">
        <v>308984.34700000007</v>
      </c>
      <c r="L70" s="662">
        <v>453160.88</v>
      </c>
      <c r="M70" s="662">
        <v>554532.34600000002</v>
      </c>
      <c r="N70" s="662">
        <v>560444.0149999999</v>
      </c>
      <c r="O70" s="662">
        <v>586650.3110000001</v>
      </c>
      <c r="P70" s="662">
        <v>586724.46699999995</v>
      </c>
      <c r="Q70" s="662">
        <v>701390.39199999999</v>
      </c>
      <c r="R70" s="662">
        <v>726481.12400000007</v>
      </c>
      <c r="S70" s="662">
        <v>828266</v>
      </c>
      <c r="T70" s="662">
        <v>845216.10796000005</v>
      </c>
      <c r="U70" s="662">
        <v>896833.76303999987</v>
      </c>
      <c r="V70" s="662">
        <v>992420.72051999974</v>
      </c>
      <c r="W70" s="662">
        <v>1041865.7258038499</v>
      </c>
      <c r="X70" s="662">
        <v>1164350.1315736333</v>
      </c>
      <c r="Y70" s="662">
        <v>1258107.8160445173</v>
      </c>
      <c r="Z70" s="651"/>
      <c r="AA70" s="664">
        <f>Y70/X70-1</f>
        <v>8.0523617362562083E-2</v>
      </c>
      <c r="AB70" s="664">
        <f>Y70/U70-1</f>
        <v>0.40283279677150619</v>
      </c>
      <c r="AC70" s="169"/>
      <c r="AD70" s="169"/>
      <c r="AE70" s="238"/>
    </row>
    <row r="71" spans="1:31" ht="13" customHeight="1">
      <c r="A71" s="242"/>
      <c r="B71" s="660"/>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401"/>
      <c r="AB71" s="401"/>
      <c r="AC71" s="169"/>
      <c r="AD71" s="169"/>
      <c r="AE71" s="238"/>
    </row>
    <row r="72" spans="1:31" ht="13" customHeight="1">
      <c r="A72" s="242"/>
      <c r="B72" s="52" t="str">
        <f>IF('Summary | Sumário'!D$6=Names!B$3,Names!S31,Names!T31)</f>
        <v>NII</v>
      </c>
      <c r="C72" s="663"/>
      <c r="D72" s="663"/>
      <c r="E72" s="663"/>
      <c r="F72" s="663"/>
      <c r="G72" s="663"/>
      <c r="H72" s="663"/>
      <c r="I72" s="651"/>
      <c r="J72" s="663"/>
      <c r="K72" s="663"/>
      <c r="L72" s="663"/>
      <c r="M72" s="663"/>
      <c r="N72" s="663"/>
      <c r="O72" s="663"/>
      <c r="P72" s="663"/>
      <c r="Q72" s="663"/>
      <c r="R72" s="663"/>
      <c r="S72" s="663"/>
      <c r="T72" s="663"/>
      <c r="U72" s="663"/>
      <c r="V72" s="663"/>
      <c r="W72" s="663"/>
      <c r="X72" s="663"/>
      <c r="Y72" s="663"/>
      <c r="Z72" s="651"/>
      <c r="AA72" s="664"/>
      <c r="AB72" s="664"/>
      <c r="AC72" s="169"/>
      <c r="AD72" s="169"/>
      <c r="AE72" s="238"/>
    </row>
    <row r="73" spans="1:31" ht="13" customHeight="1">
      <c r="A73" s="242"/>
      <c r="B73" s="322" t="str">
        <f>IF('Summary | Sumário'!D$6=Names!B$3,Names!O32,Names!P32)</f>
        <v>Interest income</v>
      </c>
      <c r="C73" s="666">
        <f t="shared" ref="C73:H73" si="74">C42</f>
        <v>775515</v>
      </c>
      <c r="D73" s="666">
        <f t="shared" si="74"/>
        <v>942655.89517999999</v>
      </c>
      <c r="E73" s="666">
        <f t="shared" si="74"/>
        <v>1435427.246</v>
      </c>
      <c r="F73" s="666">
        <f t="shared" si="74"/>
        <v>2802658.0819999999</v>
      </c>
      <c r="G73" s="666">
        <f t="shared" si="74"/>
        <v>4549827</v>
      </c>
      <c r="H73" s="666">
        <f t="shared" si="74"/>
        <v>5139213</v>
      </c>
      <c r="I73" s="651"/>
      <c r="J73" s="666">
        <f t="shared" ref="J73:X73" si="75">J42</f>
        <v>289003.935</v>
      </c>
      <c r="K73" s="666">
        <f t="shared" si="75"/>
        <v>305659.75100000005</v>
      </c>
      <c r="L73" s="666">
        <f t="shared" si="75"/>
        <v>367405.88</v>
      </c>
      <c r="M73" s="666">
        <f t="shared" si="75"/>
        <v>473357.68</v>
      </c>
      <c r="N73" s="666">
        <f t="shared" si="75"/>
        <v>521159.63199999993</v>
      </c>
      <c r="O73" s="666">
        <f t="shared" si="75"/>
        <v>622312.6370000001</v>
      </c>
      <c r="P73" s="666">
        <f t="shared" si="75"/>
        <v>788342.73100000003</v>
      </c>
      <c r="Q73" s="666">
        <f t="shared" si="75"/>
        <v>870843.08199999994</v>
      </c>
      <c r="R73" s="666">
        <f t="shared" si="75"/>
        <v>1012926.822</v>
      </c>
      <c r="S73" s="666">
        <f t="shared" si="75"/>
        <v>1151105</v>
      </c>
      <c r="T73" s="666">
        <f t="shared" si="75"/>
        <v>1106935.08874</v>
      </c>
      <c r="U73" s="666">
        <f t="shared" si="75"/>
        <v>1278860.08926</v>
      </c>
      <c r="V73" s="666">
        <f t="shared" si="75"/>
        <v>1217530.9999999998</v>
      </c>
      <c r="W73" s="666">
        <f t="shared" si="75"/>
        <v>1172415.139</v>
      </c>
      <c r="X73" s="666">
        <f t="shared" si="75"/>
        <v>1412226.140133633</v>
      </c>
      <c r="Y73" s="666">
        <f>Y42</f>
        <v>1337040.7208663672</v>
      </c>
      <c r="Z73" s="651"/>
      <c r="AA73" s="669">
        <f t="shared" ref="AA73:AA77" si="76">Y73/X73-1</f>
        <v>-5.3238937540238007E-2</v>
      </c>
      <c r="AB73" s="669">
        <f t="shared" ref="AB73:AB77" si="77">Y73/U73-1</f>
        <v>4.549413348260245E-2</v>
      </c>
      <c r="AC73" s="169"/>
      <c r="AD73" s="169"/>
      <c r="AE73" s="238"/>
    </row>
    <row r="74" spans="1:31" ht="13" customHeight="1">
      <c r="A74" s="242"/>
      <c r="B74" s="22" t="str">
        <f>IF('Summary | Sumário'!D$6=Names!B$3,Names!O42,Names!P42)</f>
        <v>Interest expenses</v>
      </c>
      <c r="C74" s="667">
        <f t="shared" ref="C74:H74" si="78">C51</f>
        <v>-256717</v>
      </c>
      <c r="D74" s="667">
        <f t="shared" si="78"/>
        <v>-184335</v>
      </c>
      <c r="E74" s="667">
        <f t="shared" si="78"/>
        <v>-543242</v>
      </c>
      <c r="F74" s="667">
        <f t="shared" si="78"/>
        <v>-1972850</v>
      </c>
      <c r="G74" s="667">
        <f t="shared" si="78"/>
        <v>-2887573.0049999999</v>
      </c>
      <c r="H74" s="667">
        <f t="shared" si="78"/>
        <v>-3311638.4190579997</v>
      </c>
      <c r="I74" s="651"/>
      <c r="J74" s="667">
        <f t="shared" ref="J74:X74" si="79">J51</f>
        <v>-65559</v>
      </c>
      <c r="K74" s="667">
        <f t="shared" si="79"/>
        <v>-86261</v>
      </c>
      <c r="L74" s="667">
        <f t="shared" si="79"/>
        <v>-138587</v>
      </c>
      <c r="M74" s="667">
        <f t="shared" si="79"/>
        <v>-252835</v>
      </c>
      <c r="N74" s="667">
        <f t="shared" si="79"/>
        <v>-336771</v>
      </c>
      <c r="O74" s="667">
        <f t="shared" si="79"/>
        <v>-465041</v>
      </c>
      <c r="P74" s="667">
        <f t="shared" si="79"/>
        <v>-579678</v>
      </c>
      <c r="Q74" s="667">
        <f t="shared" si="79"/>
        <v>-591360</v>
      </c>
      <c r="R74" s="667">
        <f t="shared" si="79"/>
        <v>-672771</v>
      </c>
      <c r="S74" s="667">
        <f t="shared" si="79"/>
        <v>-692206</v>
      </c>
      <c r="T74" s="667">
        <f t="shared" si="79"/>
        <v>-770398</v>
      </c>
      <c r="U74" s="667">
        <f t="shared" si="79"/>
        <v>-752198.00500000012</v>
      </c>
      <c r="V74" s="667">
        <f t="shared" si="79"/>
        <v>-762246.89030000009</v>
      </c>
      <c r="W74" s="667">
        <f t="shared" si="79"/>
        <v>-772642.60900000005</v>
      </c>
      <c r="X74" s="667">
        <f t="shared" si="79"/>
        <v>-835616.71799999999</v>
      </c>
      <c r="Y74" s="667">
        <f>Y51</f>
        <v>-941132.20175799984</v>
      </c>
      <c r="Z74" s="651"/>
      <c r="AA74" s="416">
        <f t="shared" si="76"/>
        <v>0.12627258584599055</v>
      </c>
      <c r="AB74" s="416">
        <f t="shared" si="77"/>
        <v>0.25117614710770164</v>
      </c>
      <c r="AC74" s="169"/>
      <c r="AD74" s="169"/>
      <c r="AE74" s="238"/>
    </row>
    <row r="75" spans="1:31" ht="13" customHeight="1">
      <c r="A75" s="242"/>
      <c r="B75" s="16" t="str">
        <f>IF('Summary | Sumário'!D$6=Names!B$3,Names!O57,Names!P57)</f>
        <v>Income from securities</v>
      </c>
      <c r="C75" s="668">
        <f t="shared" ref="C75:H75" si="80">C58</f>
        <v>62518</v>
      </c>
      <c r="D75" s="668">
        <f t="shared" si="80"/>
        <v>12060</v>
      </c>
      <c r="E75" s="668">
        <f t="shared" si="80"/>
        <v>745613</v>
      </c>
      <c r="F75" s="668">
        <f t="shared" si="80"/>
        <v>1471737</v>
      </c>
      <c r="G75" s="668">
        <f t="shared" si="80"/>
        <v>1615108</v>
      </c>
      <c r="H75" s="668">
        <f t="shared" si="80"/>
        <v>2007869.4701800002</v>
      </c>
      <c r="I75" s="651"/>
      <c r="J75" s="668">
        <f t="shared" ref="J75:X75" si="81">J58</f>
        <v>88068</v>
      </c>
      <c r="K75" s="668">
        <f t="shared" si="81"/>
        <v>106662</v>
      </c>
      <c r="L75" s="668">
        <f t="shared" si="81"/>
        <v>228420</v>
      </c>
      <c r="M75" s="668">
        <f t="shared" si="81"/>
        <v>322463</v>
      </c>
      <c r="N75" s="668">
        <f t="shared" si="81"/>
        <v>348013</v>
      </c>
      <c r="O75" s="668">
        <f t="shared" si="81"/>
        <v>406846</v>
      </c>
      <c r="P75" s="668">
        <f t="shared" si="81"/>
        <v>340982</v>
      </c>
      <c r="Q75" s="668">
        <f t="shared" si="81"/>
        <v>375896</v>
      </c>
      <c r="R75" s="668">
        <f t="shared" si="81"/>
        <v>370924</v>
      </c>
      <c r="S75" s="668">
        <f t="shared" si="81"/>
        <v>402038</v>
      </c>
      <c r="T75" s="668">
        <f t="shared" si="81"/>
        <v>417887</v>
      </c>
      <c r="U75" s="668">
        <f t="shared" si="81"/>
        <v>424259</v>
      </c>
      <c r="V75" s="668">
        <f t="shared" si="81"/>
        <v>446719</v>
      </c>
      <c r="W75" s="668">
        <f t="shared" si="81"/>
        <v>456585.37339384999</v>
      </c>
      <c r="X75" s="668">
        <f t="shared" si="81"/>
        <v>513731</v>
      </c>
      <c r="Y75" s="668">
        <f>Y58</f>
        <v>590834.09678615024</v>
      </c>
      <c r="Z75" s="651"/>
      <c r="AA75" s="382">
        <f t="shared" si="76"/>
        <v>0.15008457108126683</v>
      </c>
      <c r="AB75" s="382">
        <f t="shared" si="77"/>
        <v>0.39262595911023745</v>
      </c>
      <c r="AC75" s="169"/>
      <c r="AD75" s="169"/>
      <c r="AE75" s="238"/>
    </row>
    <row r="76" spans="1:31" ht="13" customHeight="1">
      <c r="A76" s="242"/>
      <c r="B76" s="22" t="str">
        <f>IF('Summary | Sumário'!D$6=Names!B$3,Names!O61,Names!P61)</f>
        <v>Income from derivatives</v>
      </c>
      <c r="C76" s="667">
        <f t="shared" ref="C76:H76" si="82">C62</f>
        <v>4235</v>
      </c>
      <c r="D76" s="667">
        <f t="shared" si="82"/>
        <v>-54418</v>
      </c>
      <c r="E76" s="667">
        <f t="shared" si="82"/>
        <v>-48330.334000000003</v>
      </c>
      <c r="F76" s="667">
        <f t="shared" si="82"/>
        <v>33884.103000000003</v>
      </c>
      <c r="G76" s="667">
        <f t="shared" si="82"/>
        <v>-69273</v>
      </c>
      <c r="H76" s="667">
        <f t="shared" si="82"/>
        <v>546712.54295000003</v>
      </c>
      <c r="I76" s="651"/>
      <c r="J76" s="667">
        <f t="shared" ref="J76:X76" si="83">J62</f>
        <v>-19931.596000000001</v>
      </c>
      <c r="K76" s="667">
        <f t="shared" si="83"/>
        <v>-23765.403999999999</v>
      </c>
      <c r="L76" s="667">
        <f t="shared" si="83"/>
        <v>-9869</v>
      </c>
      <c r="M76" s="667">
        <f t="shared" si="83"/>
        <v>5235.6660000000011</v>
      </c>
      <c r="N76" s="667">
        <f t="shared" si="83"/>
        <v>11009.383000000002</v>
      </c>
      <c r="O76" s="667">
        <f t="shared" si="83"/>
        <v>-3030.3259999999991</v>
      </c>
      <c r="P76" s="667">
        <f t="shared" si="83"/>
        <v>5940.7360000000008</v>
      </c>
      <c r="Q76" s="667">
        <f t="shared" si="83"/>
        <v>19964.310000000001</v>
      </c>
      <c r="R76" s="667">
        <f t="shared" si="83"/>
        <v>482.30199999999968</v>
      </c>
      <c r="S76" s="667">
        <f t="shared" si="83"/>
        <v>-58862</v>
      </c>
      <c r="T76" s="667">
        <f t="shared" si="83"/>
        <v>64133.019220000024</v>
      </c>
      <c r="U76" s="667">
        <f t="shared" si="83"/>
        <v>-75026.321220000013</v>
      </c>
      <c r="V76" s="667">
        <f t="shared" si="83"/>
        <v>68661.610820000031</v>
      </c>
      <c r="W76" s="667">
        <f t="shared" si="83"/>
        <v>173310.82241000002</v>
      </c>
      <c r="X76" s="667">
        <f t="shared" si="83"/>
        <v>44424.709440000101</v>
      </c>
      <c r="Y76" s="667">
        <f>Y62</f>
        <v>260315.40027999989</v>
      </c>
      <c r="Z76" s="651"/>
      <c r="AA76" s="416">
        <f t="shared" si="76"/>
        <v>4.8596984327287771</v>
      </c>
      <c r="AB76" s="416">
        <f t="shared" si="77"/>
        <v>-4.4696543299341025</v>
      </c>
      <c r="AC76" s="169"/>
      <c r="AD76" s="169"/>
      <c r="AE76" s="238"/>
    </row>
    <row r="77" spans="1:31" ht="13" customHeight="1">
      <c r="A77" s="242"/>
      <c r="B77" s="629" t="str">
        <f>IF('Summary | Sumário'!D$6=Names!B$3,Names!S31,Names!T31)</f>
        <v>NII</v>
      </c>
      <c r="C77" s="630">
        <f t="shared" ref="C77:H77" si="84">SUM(C73:C76)</f>
        <v>585551</v>
      </c>
      <c r="D77" s="630">
        <f t="shared" si="84"/>
        <v>715962.89517999999</v>
      </c>
      <c r="E77" s="630">
        <f t="shared" si="84"/>
        <v>1589467.912</v>
      </c>
      <c r="F77" s="630">
        <f t="shared" si="84"/>
        <v>2335429.1850000001</v>
      </c>
      <c r="G77" s="630">
        <f t="shared" si="84"/>
        <v>3208088.9950000001</v>
      </c>
      <c r="H77" s="630">
        <f t="shared" si="84"/>
        <v>4382156.5940720001</v>
      </c>
      <c r="I77" s="651"/>
      <c r="J77" s="630">
        <f t="shared" ref="J77:X77" si="85">SUM(J73:J76)</f>
        <v>291581.33899999998</v>
      </c>
      <c r="K77" s="630">
        <f t="shared" si="85"/>
        <v>302295.34700000007</v>
      </c>
      <c r="L77" s="630">
        <f t="shared" si="85"/>
        <v>447369.88</v>
      </c>
      <c r="M77" s="630">
        <f t="shared" si="85"/>
        <v>548221.3459999999</v>
      </c>
      <c r="N77" s="630">
        <f t="shared" si="85"/>
        <v>543411.01500000001</v>
      </c>
      <c r="O77" s="630">
        <f t="shared" si="85"/>
        <v>561087.3110000001</v>
      </c>
      <c r="P77" s="630">
        <f t="shared" si="85"/>
        <v>555587.46700000006</v>
      </c>
      <c r="Q77" s="630">
        <f t="shared" si="85"/>
        <v>675343.39199999999</v>
      </c>
      <c r="R77" s="630">
        <f t="shared" si="85"/>
        <v>711562.12400000007</v>
      </c>
      <c r="S77" s="630">
        <f t="shared" si="85"/>
        <v>802075</v>
      </c>
      <c r="T77" s="630">
        <f t="shared" si="85"/>
        <v>818557.10796000005</v>
      </c>
      <c r="U77" s="630">
        <f t="shared" si="85"/>
        <v>875894.76303999987</v>
      </c>
      <c r="V77" s="630">
        <f t="shared" si="85"/>
        <v>970664.72051999974</v>
      </c>
      <c r="W77" s="630">
        <f t="shared" si="85"/>
        <v>1029668.72580385</v>
      </c>
      <c r="X77" s="630">
        <f t="shared" si="85"/>
        <v>1134765.1315736331</v>
      </c>
      <c r="Y77" s="630">
        <f>SUM(Y73:Y76)</f>
        <v>1247058.0161745176</v>
      </c>
      <c r="Z77" s="651"/>
      <c r="AA77" s="665">
        <f t="shared" si="76"/>
        <v>9.8956939613717765E-2</v>
      </c>
      <c r="AB77" s="665">
        <f t="shared" si="77"/>
        <v>0.42375325072878378</v>
      </c>
      <c r="AC77" s="169"/>
      <c r="AD77" s="169"/>
      <c r="AE77" s="238"/>
    </row>
    <row r="78" spans="1:31" s="188" customFormat="1" ht="13" customHeight="1">
      <c r="A78" s="255"/>
      <c r="B78" s="126"/>
      <c r="C78" s="265"/>
      <c r="D78" s="265"/>
      <c r="E78" s="265"/>
      <c r="F78" s="265"/>
      <c r="G78" s="265"/>
      <c r="H78" s="265"/>
      <c r="J78" s="265"/>
      <c r="K78" s="265"/>
      <c r="L78" s="265"/>
      <c r="M78" s="265"/>
      <c r="N78" s="265"/>
      <c r="O78" s="265"/>
      <c r="P78" s="265"/>
      <c r="Q78" s="265"/>
      <c r="R78" s="265"/>
      <c r="S78" s="265"/>
      <c r="T78" s="265"/>
      <c r="U78" s="265"/>
      <c r="V78" s="265"/>
      <c r="W78" s="265"/>
      <c r="X78" s="265"/>
      <c r="Y78" s="265"/>
      <c r="AA78" s="422"/>
      <c r="AB78" s="422"/>
    </row>
    <row r="79" spans="1:31" s="188" customFormat="1" ht="13" customHeight="1">
      <c r="A79" s="255"/>
      <c r="B79" s="50" t="str">
        <f>IF('Summary | Sumário'!D$6=Names!B$3,Names!O91,Names!P91)</f>
        <v>Interest earning credit portfolio</v>
      </c>
      <c r="AA79" s="634"/>
      <c r="AB79" s="634"/>
    </row>
    <row r="80" spans="1:31" s="188" customFormat="1" ht="13" customHeight="1">
      <c r="A80" s="255"/>
      <c r="B80" s="314" t="str">
        <f>IF('Summary | Sumário'!D$6=Names!B$3,Names!O91,Names!P91)</f>
        <v>Interest earning credit portfolio</v>
      </c>
      <c r="C80" s="350">
        <f t="shared" ref="C80:T80" si="86">C81+C82+C84+C83+C87+C88</f>
        <v>0</v>
      </c>
      <c r="D80" s="350">
        <f t="shared" si="86"/>
        <v>7115627.8250000002</v>
      </c>
      <c r="E80" s="350">
        <f t="shared" ref="E80:E88" si="87">M80</f>
        <v>13392153</v>
      </c>
      <c r="F80" s="350">
        <f t="shared" ref="F80:F88" si="88">Q80</f>
        <v>19132195</v>
      </c>
      <c r="G80" s="350">
        <f t="shared" ref="G80:G88" si="89">U80</f>
        <v>23530826.397</v>
      </c>
      <c r="H80" s="350">
        <f>Y80</f>
        <v>31632777.489700001</v>
      </c>
      <c r="I80" s="414"/>
      <c r="J80" s="350">
        <f t="shared" si="86"/>
        <v>8234470.6262999987</v>
      </c>
      <c r="K80" s="350">
        <f t="shared" si="86"/>
        <v>9948556.0610000007</v>
      </c>
      <c r="L80" s="350">
        <f t="shared" si="86"/>
        <v>11676683.932</v>
      </c>
      <c r="M80" s="350">
        <f t="shared" si="86"/>
        <v>13392153</v>
      </c>
      <c r="N80" s="350">
        <f t="shared" si="86"/>
        <v>14044371.585999999</v>
      </c>
      <c r="O80" s="350">
        <f t="shared" si="86"/>
        <v>14967442.610000001</v>
      </c>
      <c r="P80" s="350">
        <f t="shared" si="86"/>
        <v>16933115</v>
      </c>
      <c r="Q80" s="350">
        <f t="shared" si="86"/>
        <v>19132195</v>
      </c>
      <c r="R80" s="350">
        <f t="shared" si="86"/>
        <v>19449029.387827475</v>
      </c>
      <c r="S80" s="350">
        <f t="shared" si="86"/>
        <v>20570399.767574593</v>
      </c>
      <c r="T80" s="350">
        <f t="shared" si="86"/>
        <v>21490809.954999998</v>
      </c>
      <c r="U80" s="350">
        <f t="shared" ref="U80:V80" si="90">U81+U82+U84+U83+U87+U88</f>
        <v>23530826.397</v>
      </c>
      <c r="V80" s="350">
        <f t="shared" si="90"/>
        <v>24208542.316270199</v>
      </c>
      <c r="W80" s="350">
        <f t="shared" ref="W80:X80" si="91">W81+W82+W84+W83+W87+W88</f>
        <v>27430402.931400001</v>
      </c>
      <c r="X80" s="350">
        <f t="shared" si="91"/>
        <v>29497015.44898</v>
      </c>
      <c r="Y80" s="350">
        <f t="shared" ref="Y80" si="92">Y81+Y82+Y84+Y83+Y87+Y88</f>
        <v>31632777.489700001</v>
      </c>
      <c r="Z80" s="414"/>
      <c r="AA80" s="383">
        <f>Y80/X80-1</f>
        <v>7.2406038652085281E-2</v>
      </c>
      <c r="AB80" s="383">
        <f>Y80/U80-1</f>
        <v>0.34431222074431433</v>
      </c>
    </row>
    <row r="81" spans="1:31" s="188" customFormat="1" ht="13" customHeight="1">
      <c r="A81" s="255"/>
      <c r="B81" s="632" t="str">
        <f>IF('Summary | Sumário'!D$6=Names!B$3,Names!O92,Names!P92)</f>
        <v>Real estate</v>
      </c>
      <c r="C81" s="217">
        <v>0</v>
      </c>
      <c r="D81" s="217">
        <f>D6</f>
        <v>3471356</v>
      </c>
      <c r="E81" s="217">
        <f t="shared" si="87"/>
        <v>5121411</v>
      </c>
      <c r="F81" s="217">
        <f t="shared" si="88"/>
        <v>6251813</v>
      </c>
      <c r="G81" s="217">
        <f t="shared" si="89"/>
        <v>8583568</v>
      </c>
      <c r="H81" s="217">
        <f t="shared" ref="H81:H88" si="93">Y81</f>
        <v>11250187</v>
      </c>
      <c r="I81" s="217"/>
      <c r="J81" s="217">
        <f t="shared" ref="J81:Y81" si="94">J6</f>
        <v>3925594.9876600001</v>
      </c>
      <c r="K81" s="217">
        <f t="shared" si="94"/>
        <v>4211173</v>
      </c>
      <c r="L81" s="217">
        <f t="shared" si="94"/>
        <v>4703223</v>
      </c>
      <c r="M81" s="217">
        <f t="shared" si="94"/>
        <v>5121411</v>
      </c>
      <c r="N81" s="217">
        <f t="shared" si="94"/>
        <v>5350879</v>
      </c>
      <c r="O81" s="217">
        <f t="shared" si="94"/>
        <v>5647720</v>
      </c>
      <c r="P81" s="217">
        <f t="shared" si="94"/>
        <v>5930070</v>
      </c>
      <c r="Q81" s="217">
        <f t="shared" si="94"/>
        <v>6251813</v>
      </c>
      <c r="R81" s="217">
        <f t="shared" si="94"/>
        <v>6616802</v>
      </c>
      <c r="S81" s="217">
        <f t="shared" si="94"/>
        <v>7020433</v>
      </c>
      <c r="T81" s="217">
        <f t="shared" si="94"/>
        <v>7527810</v>
      </c>
      <c r="U81" s="217">
        <f t="shared" si="94"/>
        <v>8583568</v>
      </c>
      <c r="V81" s="217">
        <f t="shared" si="94"/>
        <v>9124375.4985301998</v>
      </c>
      <c r="W81" s="217">
        <f t="shared" si="94"/>
        <v>9703768</v>
      </c>
      <c r="X81" s="217">
        <f t="shared" si="94"/>
        <v>10266209</v>
      </c>
      <c r="Y81" s="217">
        <f t="shared" si="94"/>
        <v>11250187</v>
      </c>
      <c r="Z81" s="217"/>
      <c r="AA81" s="421">
        <f t="shared" ref="AA81:AA88" si="95">Y81/X81-1</f>
        <v>9.5846285615264648E-2</v>
      </c>
      <c r="AB81" s="421">
        <f t="shared" ref="AB81:AB88" si="96">Y81/U81-1</f>
        <v>0.31066556471621132</v>
      </c>
    </row>
    <row r="82" spans="1:31" s="188" customFormat="1" ht="13" customHeight="1">
      <c r="A82" s="255"/>
      <c r="B82" s="107" t="str">
        <f>IF('Summary | Sumário'!D$6=Names!B$3,Names!O93,Names!P93)</f>
        <v>Personal</v>
      </c>
      <c r="C82" s="247">
        <v>0</v>
      </c>
      <c r="D82" s="247">
        <f>D7</f>
        <v>1653554</v>
      </c>
      <c r="E82" s="247">
        <f t="shared" si="87"/>
        <v>3579283</v>
      </c>
      <c r="F82" s="247">
        <f t="shared" si="88"/>
        <v>5463781</v>
      </c>
      <c r="G82" s="247">
        <f t="shared" si="89"/>
        <v>7138744</v>
      </c>
      <c r="H82" s="247">
        <f t="shared" si="93"/>
        <v>8236791</v>
      </c>
      <c r="I82" s="217"/>
      <c r="J82" s="247">
        <f t="shared" ref="J82:Y82" si="97">J7</f>
        <v>2123654.0038399999</v>
      </c>
      <c r="K82" s="247">
        <f t="shared" si="97"/>
        <v>2620848</v>
      </c>
      <c r="L82" s="247">
        <f t="shared" si="97"/>
        <v>3100640</v>
      </c>
      <c r="M82" s="247">
        <f t="shared" si="97"/>
        <v>3579283</v>
      </c>
      <c r="N82" s="247">
        <f t="shared" si="97"/>
        <v>3936755</v>
      </c>
      <c r="O82" s="247">
        <f t="shared" si="97"/>
        <v>4460508.5</v>
      </c>
      <c r="P82" s="247">
        <f t="shared" si="97"/>
        <v>5057444</v>
      </c>
      <c r="Q82" s="247">
        <f t="shared" si="97"/>
        <v>5463781</v>
      </c>
      <c r="R82" s="247">
        <f t="shared" si="97"/>
        <v>6081266</v>
      </c>
      <c r="S82" s="247">
        <f t="shared" si="97"/>
        <v>6500480</v>
      </c>
      <c r="T82" s="247">
        <f t="shared" si="97"/>
        <v>6663058</v>
      </c>
      <c r="U82" s="247">
        <f t="shared" si="97"/>
        <v>7138744</v>
      </c>
      <c r="V82" s="247">
        <f t="shared" si="97"/>
        <v>7437794.5190500002</v>
      </c>
      <c r="W82" s="247">
        <f t="shared" si="97"/>
        <v>7555457</v>
      </c>
      <c r="X82" s="247">
        <f t="shared" si="97"/>
        <v>8003536</v>
      </c>
      <c r="Y82" s="247">
        <f t="shared" si="97"/>
        <v>8236791</v>
      </c>
      <c r="Z82" s="217"/>
      <c r="AA82" s="420">
        <f t="shared" si="95"/>
        <v>2.9143993354937114E-2</v>
      </c>
      <c r="AB82" s="420">
        <f t="shared" si="96"/>
        <v>0.15381515291765613</v>
      </c>
    </row>
    <row r="83" spans="1:31" s="188" customFormat="1" ht="13" customHeight="1">
      <c r="A83" s="255"/>
      <c r="B83" s="632" t="str">
        <f>IF('Summary | Sumário'!D$6=Names!B$3,Names!O94,Names!P94)</f>
        <v>SME</v>
      </c>
      <c r="C83" s="217">
        <v>0</v>
      </c>
      <c r="D83" s="217">
        <f>D8</f>
        <v>1582869</v>
      </c>
      <c r="E83" s="217">
        <f t="shared" si="87"/>
        <v>3017159</v>
      </c>
      <c r="F83" s="217">
        <f t="shared" si="88"/>
        <v>3392500</v>
      </c>
      <c r="G83" s="217">
        <f t="shared" si="89"/>
        <v>3855754</v>
      </c>
      <c r="H83" s="217">
        <f t="shared" si="93"/>
        <v>3968591</v>
      </c>
      <c r="I83" s="217"/>
      <c r="J83" s="217">
        <f t="shared" ref="J83:Y83" si="98">J8</f>
        <v>1572378.9388100002</v>
      </c>
      <c r="K83" s="217">
        <f t="shared" si="98"/>
        <v>2153921</v>
      </c>
      <c r="L83" s="217">
        <f t="shared" si="98"/>
        <v>2703302</v>
      </c>
      <c r="M83" s="217">
        <f t="shared" si="98"/>
        <v>3017159</v>
      </c>
      <c r="N83" s="217">
        <f t="shared" si="98"/>
        <v>2929546</v>
      </c>
      <c r="O83" s="217">
        <f t="shared" si="98"/>
        <v>2905002.5</v>
      </c>
      <c r="P83" s="217">
        <f t="shared" si="98"/>
        <v>2978792</v>
      </c>
      <c r="Q83" s="217">
        <f t="shared" si="98"/>
        <v>3392500</v>
      </c>
      <c r="R83" s="217">
        <f t="shared" si="98"/>
        <v>3110840</v>
      </c>
      <c r="S83" s="217">
        <f t="shared" si="98"/>
        <v>3215316</v>
      </c>
      <c r="T83" s="217">
        <f t="shared" si="98"/>
        <v>3438526</v>
      </c>
      <c r="U83" s="217">
        <f t="shared" si="98"/>
        <v>3855754</v>
      </c>
      <c r="V83" s="217">
        <f t="shared" si="98"/>
        <v>3376688</v>
      </c>
      <c r="W83" s="217">
        <f t="shared" si="98"/>
        <v>4359140</v>
      </c>
      <c r="X83" s="217">
        <f t="shared" si="98"/>
        <v>4149476</v>
      </c>
      <c r="Y83" s="217">
        <f t="shared" si="98"/>
        <v>3968591</v>
      </c>
      <c r="Z83" s="217"/>
      <c r="AA83" s="421">
        <f t="shared" si="95"/>
        <v>-4.3592251166171381E-2</v>
      </c>
      <c r="AB83" s="421">
        <f t="shared" si="96"/>
        <v>2.9264574451585812E-2</v>
      </c>
    </row>
    <row r="84" spans="1:31" s="188" customFormat="1" ht="13" customHeight="1">
      <c r="A84" s="255"/>
      <c r="B84" s="107" t="str">
        <f>IF('Summary | Sumário'!D$6=Names!B$3,Names!O95,Names!P95)</f>
        <v>Interest earning credit card portfolio</v>
      </c>
      <c r="C84" s="247">
        <v>0</v>
      </c>
      <c r="D84" s="247">
        <f>D85-D86</f>
        <v>230211.82499999995</v>
      </c>
      <c r="E84" s="247">
        <f t="shared" si="87"/>
        <v>676005</v>
      </c>
      <c r="F84" s="247">
        <f t="shared" si="88"/>
        <v>1458767</v>
      </c>
      <c r="G84" s="247">
        <f t="shared" si="89"/>
        <v>1971266.3970000008</v>
      </c>
      <c r="H84" s="247">
        <f t="shared" si="93"/>
        <v>2249854.1845399998</v>
      </c>
      <c r="I84" s="217"/>
      <c r="J84" s="247">
        <f t="shared" ref="J84:T84" si="99">J85-J86</f>
        <v>310705.48867999995</v>
      </c>
      <c r="K84" s="247">
        <f t="shared" si="99"/>
        <v>466529</v>
      </c>
      <c r="L84" s="247">
        <f t="shared" si="99"/>
        <v>526729</v>
      </c>
      <c r="M84" s="247">
        <f t="shared" si="99"/>
        <v>676005</v>
      </c>
      <c r="N84" s="247">
        <f t="shared" si="99"/>
        <v>836644</v>
      </c>
      <c r="O84" s="247">
        <f t="shared" si="99"/>
        <v>1084285.4000000004</v>
      </c>
      <c r="P84" s="247">
        <f t="shared" si="99"/>
        <v>1309633</v>
      </c>
      <c r="Q84" s="247">
        <f t="shared" si="99"/>
        <v>1458767</v>
      </c>
      <c r="R84" s="247">
        <f t="shared" si="99"/>
        <v>1592763.3878274746</v>
      </c>
      <c r="S84" s="247">
        <f t="shared" si="99"/>
        <v>1777050.7675745916</v>
      </c>
      <c r="T84" s="247">
        <f t="shared" si="99"/>
        <v>1882205.9550000001</v>
      </c>
      <c r="U84" s="247">
        <f>U85-U86</f>
        <v>1971266.3970000008</v>
      </c>
      <c r="V84" s="247">
        <f t="shared" ref="V84" si="100">V85-V86</f>
        <v>2176763.9201100003</v>
      </c>
      <c r="W84" s="247">
        <f t="shared" ref="W84:X84" si="101">W85-W86</f>
        <v>2264113.5148200002</v>
      </c>
      <c r="X84" s="247">
        <f t="shared" si="101"/>
        <v>2206943.6459299996</v>
      </c>
      <c r="Y84" s="247">
        <f t="shared" ref="Y84" si="102">Y85-Y86</f>
        <v>2249854.1845399998</v>
      </c>
      <c r="Z84" s="217"/>
      <c r="AA84" s="420">
        <f t="shared" si="95"/>
        <v>1.9443422893527407E-2</v>
      </c>
      <c r="AB84" s="420">
        <f t="shared" si="96"/>
        <v>0.14132427152614779</v>
      </c>
      <c r="AE84" s="377"/>
    </row>
    <row r="85" spans="1:31" s="188" customFormat="1" ht="13" customHeight="1">
      <c r="A85" s="255"/>
      <c r="B85" s="57" t="str">
        <f>IF('Summary | Sumário'!D$6=Names!B$3,Names!O96,Names!P96)</f>
        <v>Credit cards</v>
      </c>
      <c r="C85" s="217">
        <v>0</v>
      </c>
      <c r="D85" s="217">
        <f>D9</f>
        <v>1904642</v>
      </c>
      <c r="E85" s="217">
        <f t="shared" si="87"/>
        <v>4798318</v>
      </c>
      <c r="F85" s="217">
        <f t="shared" si="88"/>
        <v>6870565</v>
      </c>
      <c r="G85" s="217">
        <f t="shared" si="89"/>
        <v>9461277</v>
      </c>
      <c r="H85" s="217">
        <f t="shared" si="93"/>
        <v>11799890</v>
      </c>
      <c r="I85" s="217"/>
      <c r="J85" s="217">
        <f t="shared" ref="J85:Y85" si="103">J9</f>
        <v>2404920.48868</v>
      </c>
      <c r="K85" s="217">
        <f t="shared" si="103"/>
        <v>3116734</v>
      </c>
      <c r="L85" s="217">
        <f t="shared" si="103"/>
        <v>3807684</v>
      </c>
      <c r="M85" s="217">
        <f t="shared" si="103"/>
        <v>4798318</v>
      </c>
      <c r="N85" s="217">
        <f t="shared" si="103"/>
        <v>5315930</v>
      </c>
      <c r="O85" s="217">
        <f t="shared" si="103"/>
        <v>5981406.4000000004</v>
      </c>
      <c r="P85" s="217">
        <f t="shared" si="103"/>
        <v>6411572</v>
      </c>
      <c r="Q85" s="217">
        <f t="shared" si="103"/>
        <v>6870565</v>
      </c>
      <c r="R85" s="217">
        <f t="shared" si="103"/>
        <v>7273032</v>
      </c>
      <c r="S85" s="217">
        <f t="shared" si="103"/>
        <v>7681011</v>
      </c>
      <c r="T85" s="217">
        <f t="shared" si="103"/>
        <v>8650139</v>
      </c>
      <c r="U85" s="217">
        <f t="shared" si="103"/>
        <v>9461277</v>
      </c>
      <c r="V85" s="217">
        <f t="shared" si="103"/>
        <v>10111845.135790002</v>
      </c>
      <c r="W85" s="217">
        <f t="shared" si="103"/>
        <v>10508082</v>
      </c>
      <c r="X85" s="217">
        <f t="shared" si="103"/>
        <v>10769815</v>
      </c>
      <c r="Y85" s="217">
        <f t="shared" si="103"/>
        <v>11799890</v>
      </c>
      <c r="Z85" s="217"/>
      <c r="AA85" s="421">
        <f t="shared" si="95"/>
        <v>9.5644632707247101E-2</v>
      </c>
      <c r="AB85" s="421">
        <f t="shared" si="96"/>
        <v>0.24717731020875933</v>
      </c>
    </row>
    <row r="86" spans="1:31" s="188" customFormat="1" ht="13" customHeight="1">
      <c r="A86" s="255"/>
      <c r="B86" s="130" t="str">
        <f>IF('Summary | Sumário'!D$6=Names!B$3,Names!O97,Names!P97)</f>
        <v>(-) Transactor</v>
      </c>
      <c r="C86" s="247">
        <f>C38</f>
        <v>0</v>
      </c>
      <c r="D86" s="247">
        <f>D38</f>
        <v>1674430.175</v>
      </c>
      <c r="E86" s="247">
        <f t="shared" si="87"/>
        <v>4122313</v>
      </c>
      <c r="F86" s="247">
        <f t="shared" si="88"/>
        <v>5411798</v>
      </c>
      <c r="G86" s="247">
        <f t="shared" si="89"/>
        <v>7490010.6029999992</v>
      </c>
      <c r="H86" s="247">
        <f t="shared" si="93"/>
        <v>9550035.8154600002</v>
      </c>
      <c r="I86" s="217"/>
      <c r="J86" s="247">
        <f t="shared" ref="J86:Y86" si="104">J38</f>
        <v>2094215</v>
      </c>
      <c r="K86" s="247">
        <f t="shared" si="104"/>
        <v>2650205</v>
      </c>
      <c r="L86" s="247">
        <f t="shared" si="104"/>
        <v>3280955</v>
      </c>
      <c r="M86" s="247">
        <f t="shared" si="104"/>
        <v>4122313</v>
      </c>
      <c r="N86" s="247">
        <f t="shared" si="104"/>
        <v>4479286</v>
      </c>
      <c r="O86" s="247">
        <f t="shared" si="104"/>
        <v>4897121</v>
      </c>
      <c r="P86" s="247">
        <f t="shared" si="104"/>
        <v>5101939</v>
      </c>
      <c r="Q86" s="247">
        <f t="shared" si="104"/>
        <v>5411798</v>
      </c>
      <c r="R86" s="247">
        <f t="shared" si="104"/>
        <v>5680268.6121725254</v>
      </c>
      <c r="S86" s="247">
        <f t="shared" si="104"/>
        <v>5903960.2324254084</v>
      </c>
      <c r="T86" s="247">
        <f t="shared" si="104"/>
        <v>6767933.0449999999</v>
      </c>
      <c r="U86" s="247">
        <f t="shared" si="104"/>
        <v>7490010.6029999992</v>
      </c>
      <c r="V86" s="247">
        <f t="shared" si="104"/>
        <v>7935081.2156800013</v>
      </c>
      <c r="W86" s="247">
        <f t="shared" si="104"/>
        <v>8243968.4851799998</v>
      </c>
      <c r="X86" s="247">
        <f t="shared" si="104"/>
        <v>8562871.3540700004</v>
      </c>
      <c r="Y86" s="247">
        <f t="shared" si="104"/>
        <v>9550035.8154600002</v>
      </c>
      <c r="Z86" s="217"/>
      <c r="AA86" s="420">
        <f t="shared" si="95"/>
        <v>0.11528428030403526</v>
      </c>
      <c r="AB86" s="420">
        <f t="shared" si="96"/>
        <v>0.27503635463945697</v>
      </c>
    </row>
    <row r="87" spans="1:31" s="188" customFormat="1" ht="13" customHeight="1">
      <c r="A87" s="255"/>
      <c r="B87" s="632" t="str">
        <f>IF('Summary | Sumário'!D$6=Names!B$3,Names!O98,Names!P98)</f>
        <v>Agribusiness</v>
      </c>
      <c r="C87" s="217">
        <f>C10</f>
        <v>0</v>
      </c>
      <c r="D87" s="217">
        <f>D10</f>
        <v>177637</v>
      </c>
      <c r="E87" s="217">
        <f t="shared" si="87"/>
        <v>700191</v>
      </c>
      <c r="F87" s="217">
        <f t="shared" si="88"/>
        <v>719669</v>
      </c>
      <c r="G87" s="217">
        <f t="shared" si="89"/>
        <v>744958</v>
      </c>
      <c r="H87" s="217">
        <f t="shared" si="93"/>
        <v>340834</v>
      </c>
      <c r="I87" s="217"/>
      <c r="J87" s="217">
        <f t="shared" ref="J87:Y87" si="105">J10</f>
        <v>216360.92530999999</v>
      </c>
      <c r="K87" s="217">
        <f t="shared" si="105"/>
        <v>424570</v>
      </c>
      <c r="L87" s="217">
        <f t="shared" si="105"/>
        <v>545234</v>
      </c>
      <c r="M87" s="217">
        <f t="shared" si="105"/>
        <v>700191</v>
      </c>
      <c r="N87" s="217">
        <f t="shared" si="105"/>
        <v>643194</v>
      </c>
      <c r="O87" s="217">
        <f t="shared" si="105"/>
        <v>490009</v>
      </c>
      <c r="P87" s="217">
        <f t="shared" si="105"/>
        <v>627390</v>
      </c>
      <c r="Q87" s="217">
        <f t="shared" si="105"/>
        <v>719669</v>
      </c>
      <c r="R87" s="217">
        <f t="shared" si="105"/>
        <v>750934</v>
      </c>
      <c r="S87" s="217">
        <f t="shared" si="105"/>
        <v>724143</v>
      </c>
      <c r="T87" s="217">
        <f t="shared" si="105"/>
        <v>764068</v>
      </c>
      <c r="U87" s="217">
        <f t="shared" si="105"/>
        <v>744958</v>
      </c>
      <c r="V87" s="217">
        <f t="shared" si="105"/>
        <v>807923.72772000008</v>
      </c>
      <c r="W87" s="217">
        <f t="shared" si="105"/>
        <v>845105</v>
      </c>
      <c r="X87" s="217">
        <f t="shared" si="105"/>
        <v>516852</v>
      </c>
      <c r="Y87" s="217">
        <f t="shared" si="105"/>
        <v>340834</v>
      </c>
      <c r="Z87" s="217"/>
      <c r="AA87" s="421">
        <f t="shared" si="95"/>
        <v>-0.3405578386075705</v>
      </c>
      <c r="AB87" s="421">
        <f t="shared" si="96"/>
        <v>-0.54247890485101169</v>
      </c>
    </row>
    <row r="88" spans="1:31" s="188" customFormat="1" ht="13" customHeight="1">
      <c r="A88" s="255"/>
      <c r="B88" s="107" t="str">
        <f>IF('Summary | Sumário'!D$6=Names!B$3,Names!O99,Names!P99)</f>
        <v>Prepayment of receivables</v>
      </c>
      <c r="C88" s="247">
        <f>C11</f>
        <v>0</v>
      </c>
      <c r="D88" s="247">
        <f>D11</f>
        <v>0</v>
      </c>
      <c r="E88" s="247">
        <f t="shared" si="87"/>
        <v>298104</v>
      </c>
      <c r="F88" s="247">
        <f t="shared" si="88"/>
        <v>1845665</v>
      </c>
      <c r="G88" s="247">
        <f t="shared" si="89"/>
        <v>1236536</v>
      </c>
      <c r="H88" s="247">
        <f t="shared" si="93"/>
        <v>5586520.30516</v>
      </c>
      <c r="I88" s="217"/>
      <c r="J88" s="247">
        <f t="shared" ref="J88:Y88" si="106">J11</f>
        <v>85776.282000000007</v>
      </c>
      <c r="K88" s="247">
        <f t="shared" si="106"/>
        <v>71515.061000000002</v>
      </c>
      <c r="L88" s="247">
        <f t="shared" si="106"/>
        <v>97555.932000000001</v>
      </c>
      <c r="M88" s="247">
        <f t="shared" si="106"/>
        <v>298104</v>
      </c>
      <c r="N88" s="247">
        <f t="shared" si="106"/>
        <v>347353.58600000001</v>
      </c>
      <c r="O88" s="247">
        <f t="shared" si="106"/>
        <v>379917.21</v>
      </c>
      <c r="P88" s="247">
        <f t="shared" si="106"/>
        <v>1029786.0000000001</v>
      </c>
      <c r="Q88" s="247">
        <f t="shared" si="106"/>
        <v>1845665</v>
      </c>
      <c r="R88" s="247">
        <f t="shared" si="106"/>
        <v>1296424</v>
      </c>
      <c r="S88" s="247">
        <f t="shared" si="106"/>
        <v>1332977</v>
      </c>
      <c r="T88" s="247">
        <f t="shared" si="106"/>
        <v>1215142</v>
      </c>
      <c r="U88" s="247">
        <f t="shared" si="106"/>
        <v>1236536</v>
      </c>
      <c r="V88" s="247">
        <f t="shared" si="106"/>
        <v>1284996.6508599999</v>
      </c>
      <c r="W88" s="247">
        <f t="shared" si="106"/>
        <v>2702819.41658</v>
      </c>
      <c r="X88" s="247">
        <f t="shared" si="106"/>
        <v>4353998.8030500002</v>
      </c>
      <c r="Y88" s="247">
        <f t="shared" si="106"/>
        <v>5586520.30516</v>
      </c>
      <c r="Z88" s="217"/>
      <c r="AA88" s="420">
        <f t="shared" si="95"/>
        <v>0.28307805258159724</v>
      </c>
      <c r="AB88" s="420">
        <f t="shared" si="96"/>
        <v>3.5178792248345374</v>
      </c>
    </row>
    <row r="89" spans="1:31" s="188" customFormat="1" ht="13" customHeight="1">
      <c r="A89" s="255"/>
      <c r="B89" s="26"/>
      <c r="AA89" s="634"/>
      <c r="AB89" s="634"/>
      <c r="AC89" s="378"/>
      <c r="AD89" s="378"/>
    </row>
    <row r="90" spans="1:31" ht="13" customHeight="1">
      <c r="A90" s="242"/>
      <c r="B90" s="52" t="str">
        <f>IF('Summary | Sumário'!D$6=Names!B$3,Names!O111,Names!P111)</f>
        <v>Securities balance</v>
      </c>
      <c r="C90" s="204"/>
      <c r="D90" s="204"/>
      <c r="E90" s="204"/>
      <c r="F90" s="204"/>
      <c r="G90" s="204"/>
      <c r="H90" s="204"/>
      <c r="J90" s="204"/>
      <c r="K90" s="204"/>
      <c r="L90" s="204"/>
      <c r="M90" s="204"/>
      <c r="N90" s="204"/>
      <c r="O90" s="204"/>
      <c r="P90" s="204"/>
      <c r="Q90" s="204"/>
      <c r="R90" s="204"/>
      <c r="S90" s="204"/>
      <c r="T90" s="204"/>
      <c r="U90" s="204"/>
      <c r="V90" s="204"/>
      <c r="W90" s="204"/>
      <c r="X90" s="204"/>
      <c r="Y90" s="204"/>
      <c r="AA90" s="177"/>
      <c r="AB90" s="177"/>
      <c r="AC90" s="169"/>
      <c r="AD90" s="169"/>
    </row>
    <row r="91" spans="1:31" ht="13" customHeight="1">
      <c r="B91" s="346" t="str">
        <f>IF('Summary | Sumário'!D$6=Names!B$3,Names!O112,Names!P112)</f>
        <v>Securities</v>
      </c>
      <c r="C91" s="347">
        <f>'2. BS | BP'!C8</f>
        <v>1155094</v>
      </c>
      <c r="D91" s="347">
        <f>'2. BS | BP'!D8</f>
        <v>5812622</v>
      </c>
      <c r="E91" s="347">
        <f>'2. BS | BP'!E8</f>
        <v>12757687</v>
      </c>
      <c r="F91" s="347">
        <f>'2. BS | BP'!F8</f>
        <v>12448565</v>
      </c>
      <c r="G91" s="347">
        <f>'2. BS | BP'!G8</f>
        <v>16868112</v>
      </c>
      <c r="H91" s="347">
        <f>'2. BS | BP'!H8</f>
        <v>23899551.020405103</v>
      </c>
      <c r="I91" s="206"/>
      <c r="J91" s="347">
        <f>'2. BS | BP'!J8</f>
        <v>6619726</v>
      </c>
      <c r="K91" s="347">
        <f>'2. BS | BP'!K8</f>
        <v>8230481</v>
      </c>
      <c r="L91" s="347">
        <f>'2. BS | BP'!L8</f>
        <v>13241180</v>
      </c>
      <c r="M91" s="347">
        <f>'2. BS | BP'!M8</f>
        <v>12757687</v>
      </c>
      <c r="N91" s="347">
        <f>'2. BS | BP'!N8</f>
        <v>12335401</v>
      </c>
      <c r="O91" s="347">
        <f>'2. BS | BP'!O8</f>
        <v>12710051</v>
      </c>
      <c r="P91" s="347">
        <f>'2. BS | BP'!P8</f>
        <v>13373465</v>
      </c>
      <c r="Q91" s="347">
        <f>'2. BS | BP'!Q8</f>
        <v>12448565</v>
      </c>
      <c r="R91" s="347">
        <f>'2. BS | BP'!R8</f>
        <v>12535351</v>
      </c>
      <c r="S91" s="347">
        <f>'2. BS | BP'!S8</f>
        <v>14169684</v>
      </c>
      <c r="T91" s="347">
        <f>'2. BS | BP'!T8</f>
        <v>14908297</v>
      </c>
      <c r="U91" s="347">
        <f>'2. BS | BP'!U8</f>
        <v>16868112</v>
      </c>
      <c r="V91" s="347">
        <f>'2. BS | BP'!V8</f>
        <v>18167251</v>
      </c>
      <c r="W91" s="347">
        <f>'2. BS | BP'!W8</f>
        <v>18276425.519000001</v>
      </c>
      <c r="X91" s="347">
        <f>'2. BS | BP'!X8</f>
        <v>20586354.700983003</v>
      </c>
      <c r="Y91" s="347">
        <f>'2. BS | BP'!Y8</f>
        <v>23899551.020405103</v>
      </c>
      <c r="Z91" s="206"/>
      <c r="AA91" s="357">
        <f>Y91/X91-1</f>
        <v>0.16094137925564334</v>
      </c>
      <c r="AB91" s="357">
        <f>Y91/U91-1</f>
        <v>0.41684801597268883</v>
      </c>
      <c r="AC91" s="180"/>
      <c r="AD91" s="180"/>
      <c r="AE91" s="217"/>
    </row>
    <row r="92" spans="1:31" s="188" customFormat="1" ht="13" customHeight="1">
      <c r="A92" s="255"/>
      <c r="B92" s="126"/>
      <c r="C92" s="265"/>
      <c r="D92" s="265"/>
      <c r="E92" s="265"/>
      <c r="F92" s="265"/>
      <c r="G92" s="265"/>
      <c r="H92" s="265"/>
      <c r="J92" s="265"/>
      <c r="K92" s="265"/>
      <c r="L92" s="265"/>
      <c r="M92" s="265"/>
      <c r="N92" s="265"/>
      <c r="O92" s="265"/>
      <c r="P92" s="265"/>
      <c r="Q92" s="265"/>
      <c r="R92" s="265"/>
      <c r="S92" s="265"/>
      <c r="T92" s="265"/>
      <c r="U92" s="265"/>
      <c r="V92" s="265"/>
      <c r="W92" s="265"/>
      <c r="X92" s="265"/>
      <c r="Y92" s="265"/>
      <c r="AA92" s="422"/>
      <c r="AB92" s="422"/>
      <c r="AC92" s="378"/>
      <c r="AD92" s="378"/>
    </row>
    <row r="93" spans="1:31" ht="13" customHeight="1">
      <c r="A93" s="242"/>
      <c r="B93" s="50" t="str">
        <f>IF('Summary | Sumário'!D$6=Names!B$3,Names!O69,Names!P69)</f>
        <v>Loan interest income including hedge accounting results</v>
      </c>
      <c r="AA93" s="176"/>
      <c r="AB93" s="176"/>
      <c r="AC93" s="169"/>
      <c r="AD93" s="169"/>
    </row>
    <row r="94" spans="1:31" ht="13" customHeight="1">
      <c r="B94" s="343" t="str">
        <f>IF('Summary | Sumário'!D$6=Names!B$3,Names!O70,Names!P70)</f>
        <v>Loan interest income including hedge accounting results</v>
      </c>
      <c r="C94" s="344">
        <f t="shared" ref="C94:S94" si="107">C95+C98+C101+C102+C103+C104</f>
        <v>0</v>
      </c>
      <c r="D94" s="344">
        <f t="shared" si="107"/>
        <v>745064.49635066302</v>
      </c>
      <c r="E94" s="344">
        <f t="shared" ref="E94:E104" si="108">SUM(J94:M94)</f>
        <v>1290966.5689999999</v>
      </c>
      <c r="F94" s="344">
        <f t="shared" ref="F94:F104" si="109">SUM(N94:Q94)</f>
        <v>2553936.2420000001</v>
      </c>
      <c r="G94" s="344">
        <f t="shared" ref="G94:G104" si="110">SUM(R94:U94)</f>
        <v>3938727.3047599997</v>
      </c>
      <c r="H94" s="344">
        <f>SUM(V94:Y94)</f>
        <v>5352245.5745659899</v>
      </c>
      <c r="I94" s="206"/>
      <c r="J94" s="344">
        <f t="shared" si="107"/>
        <v>258108.114</v>
      </c>
      <c r="K94" s="344">
        <f t="shared" si="107"/>
        <v>261301.95699999999</v>
      </c>
      <c r="L94" s="344">
        <f t="shared" si="107"/>
        <v>339858.80899999995</v>
      </c>
      <c r="M94" s="344">
        <f t="shared" si="107"/>
        <v>431697.68899999995</v>
      </c>
      <c r="N94" s="344">
        <f t="shared" si="107"/>
        <v>482698.20099999994</v>
      </c>
      <c r="O94" s="344">
        <f t="shared" si="107"/>
        <v>576000.12900000007</v>
      </c>
      <c r="P94" s="344">
        <f t="shared" si="107"/>
        <v>701072.71200000006</v>
      </c>
      <c r="Q94" s="344">
        <f t="shared" si="107"/>
        <v>794165.20000000007</v>
      </c>
      <c r="R94" s="344">
        <f t="shared" si="107"/>
        <v>896065.98127999995</v>
      </c>
      <c r="S94" s="344">
        <f t="shared" si="107"/>
        <v>977359.3417300001</v>
      </c>
      <c r="T94" s="344">
        <f t="shared" ref="T94:Y94" si="111">T95+T98+T101+T102+T103+T104</f>
        <v>1011039.39605</v>
      </c>
      <c r="U94" s="344">
        <f t="shared" si="111"/>
        <v>1054262.5856999997</v>
      </c>
      <c r="V94" s="344">
        <f t="shared" si="111"/>
        <v>1169201.0902831799</v>
      </c>
      <c r="W94" s="344">
        <f t="shared" si="111"/>
        <v>1260572.5102165244</v>
      </c>
      <c r="X94" s="344">
        <f t="shared" si="111"/>
        <v>1362067.541143633</v>
      </c>
      <c r="Y94" s="344">
        <f t="shared" si="111"/>
        <v>1560404.4329226527</v>
      </c>
      <c r="Z94" s="206"/>
      <c r="AA94" s="415">
        <f>Y94/X94-1</f>
        <v>0.14561457915111187</v>
      </c>
      <c r="AB94" s="415">
        <f>Y94/U94-1</f>
        <v>0.48009087497550662</v>
      </c>
      <c r="AC94" s="180"/>
      <c r="AD94" s="180"/>
      <c r="AE94" s="217"/>
    </row>
    <row r="95" spans="1:31" ht="13" customHeight="1">
      <c r="B95" s="632" t="str">
        <f>IF('Summary | Sumário'!D$6=Names!B$3,Names!O71,Names!P71)</f>
        <v>Real estate net of hedge accounting</v>
      </c>
      <c r="C95" s="257">
        <f>C96+C97</f>
        <v>0</v>
      </c>
      <c r="D95" s="257">
        <f t="shared" ref="D95:T95" si="112">D96+D97</f>
        <v>364047.24736066308</v>
      </c>
      <c r="E95" s="257">
        <f t="shared" si="108"/>
        <v>506152.02300000004</v>
      </c>
      <c r="F95" s="257">
        <f t="shared" si="109"/>
        <v>686426.02494999999</v>
      </c>
      <c r="G95" s="257">
        <f t="shared" si="110"/>
        <v>916460.17859000002</v>
      </c>
      <c r="H95" s="257">
        <f t="shared" ref="H95:H104" si="113">SUM(V95:Y95)</f>
        <v>1289071.2848545883</v>
      </c>
      <c r="I95" s="257"/>
      <c r="J95" s="257">
        <f t="shared" si="112"/>
        <v>122829.734</v>
      </c>
      <c r="K95" s="257">
        <f t="shared" si="112"/>
        <v>99909.904999999999</v>
      </c>
      <c r="L95" s="257">
        <f t="shared" si="112"/>
        <v>138366.29499999998</v>
      </c>
      <c r="M95" s="257">
        <f t="shared" si="112"/>
        <v>145046.08900000001</v>
      </c>
      <c r="N95" s="257">
        <f t="shared" si="112"/>
        <v>155160.64770999999</v>
      </c>
      <c r="O95" s="257">
        <f t="shared" si="112"/>
        <v>194074.39667999998</v>
      </c>
      <c r="P95" s="257">
        <f t="shared" si="112"/>
        <v>160131.83665000004</v>
      </c>
      <c r="Q95" s="257">
        <f t="shared" si="112"/>
        <v>177059.14390999998</v>
      </c>
      <c r="R95" s="257">
        <f t="shared" si="112"/>
        <v>215435.45587999999</v>
      </c>
      <c r="S95" s="257">
        <f t="shared" si="112"/>
        <v>236226.77327000001</v>
      </c>
      <c r="T95" s="257">
        <f t="shared" si="112"/>
        <v>216442.19209</v>
      </c>
      <c r="U95" s="257">
        <f t="shared" ref="U95:V95" si="114">U96+U97</f>
        <v>248355.75734999997</v>
      </c>
      <c r="V95" s="257">
        <f t="shared" si="114"/>
        <v>295138.91551317996</v>
      </c>
      <c r="W95" s="257">
        <f t="shared" ref="W95:X95" si="115">W96+W97</f>
        <v>333405.19177652436</v>
      </c>
      <c r="X95" s="257">
        <f t="shared" si="115"/>
        <v>291609.27909697121</v>
      </c>
      <c r="Y95" s="257">
        <f t="shared" ref="Y95" si="116">Y96+Y97</f>
        <v>368917.89846791275</v>
      </c>
      <c r="Z95" s="257"/>
      <c r="AA95" s="233">
        <f t="shared" ref="AA95:AA104" si="117">Y95/X95-1</f>
        <v>0.26511028596327169</v>
      </c>
      <c r="AB95" s="233">
        <f t="shared" ref="AB95:AB104" si="118">Y95/U95-1</f>
        <v>0.48544129761408494</v>
      </c>
    </row>
    <row r="96" spans="1:31" ht="13" customHeight="1">
      <c r="B96" s="130" t="str">
        <f>IF('Summary | Sumário'!D$6=Names!B$3,Names!O72,Names!P72)</f>
        <v>Real estate</v>
      </c>
      <c r="C96" s="262">
        <f>C44</f>
        <v>0</v>
      </c>
      <c r="D96" s="262">
        <f>D44</f>
        <v>435019.64619000006</v>
      </c>
      <c r="E96" s="262">
        <f t="shared" si="108"/>
        <v>579506.26199999999</v>
      </c>
      <c r="F96" s="262">
        <f t="shared" si="109"/>
        <v>714011.42595000006</v>
      </c>
      <c r="G96" s="262">
        <f t="shared" si="110"/>
        <v>925900</v>
      </c>
      <c r="H96" s="262">
        <f t="shared" si="113"/>
        <v>1080760.6800631299</v>
      </c>
      <c r="I96" s="257"/>
      <c r="J96" s="262">
        <f t="shared" ref="J96:Y96" si="119">J44</f>
        <v>139297.851</v>
      </c>
      <c r="K96" s="262">
        <f t="shared" si="119"/>
        <v>136320.81899999999</v>
      </c>
      <c r="L96" s="262">
        <f t="shared" si="119"/>
        <v>141281.71</v>
      </c>
      <c r="M96" s="262">
        <f t="shared" si="119"/>
        <v>162605.88200000001</v>
      </c>
      <c r="N96" s="262">
        <f t="shared" si="119"/>
        <v>163483.92470999999</v>
      </c>
      <c r="O96" s="262">
        <f t="shared" si="119"/>
        <v>208572.24767999997</v>
      </c>
      <c r="P96" s="262">
        <f t="shared" si="119"/>
        <v>169001.99365000005</v>
      </c>
      <c r="Q96" s="262">
        <f t="shared" si="119"/>
        <v>172953.25990999999</v>
      </c>
      <c r="R96" s="262">
        <f t="shared" si="119"/>
        <v>220549.84688</v>
      </c>
      <c r="S96" s="262">
        <f t="shared" si="119"/>
        <v>230186.84327000001</v>
      </c>
      <c r="T96" s="262">
        <f t="shared" si="119"/>
        <v>210305.65125</v>
      </c>
      <c r="U96" s="262">
        <f t="shared" si="119"/>
        <v>264857.65859999997</v>
      </c>
      <c r="V96" s="262">
        <f t="shared" si="119"/>
        <v>268726.12008999998</v>
      </c>
      <c r="W96" s="262">
        <f t="shared" si="119"/>
        <v>266162.86888999998</v>
      </c>
      <c r="X96" s="262">
        <f t="shared" si="119"/>
        <v>280656.44909697119</v>
      </c>
      <c r="Y96" s="262">
        <f t="shared" si="119"/>
        <v>265215.24198615877</v>
      </c>
      <c r="Z96" s="257"/>
      <c r="AA96" s="232">
        <f t="shared" si="117"/>
        <v>-5.5018180271628969E-2</v>
      </c>
      <c r="AB96" s="232">
        <f t="shared" si="118"/>
        <v>1.3500964557677797E-3</v>
      </c>
      <c r="AD96" s="217"/>
    </row>
    <row r="97" spans="2:28" ht="13" customHeight="1">
      <c r="B97" s="57" t="str">
        <f>IF('Summary | Sumário'!D$6=Names!B$3,Names!O73,Names!P73)</f>
        <v>(+) Hedge accounting from real estate loans</v>
      </c>
      <c r="C97" s="257">
        <f>C66</f>
        <v>0</v>
      </c>
      <c r="D97" s="257">
        <f>D66</f>
        <v>-70972.398829336977</v>
      </c>
      <c r="E97" s="257">
        <f t="shared" si="108"/>
        <v>-73354.239000000001</v>
      </c>
      <c r="F97" s="257">
        <f t="shared" si="109"/>
        <v>-27585.400999999998</v>
      </c>
      <c r="G97" s="257">
        <f t="shared" si="110"/>
        <v>-9439.8214100000023</v>
      </c>
      <c r="H97" s="257">
        <f t="shared" si="113"/>
        <v>208310.60479145829</v>
      </c>
      <c r="I97" s="257"/>
      <c r="J97" s="257">
        <f t="shared" ref="J97:Y97" si="120">J66</f>
        <v>-16468.116999999998</v>
      </c>
      <c r="K97" s="257">
        <f t="shared" si="120"/>
        <v>-36410.913999999997</v>
      </c>
      <c r="L97" s="257">
        <f t="shared" si="120"/>
        <v>-2915.415</v>
      </c>
      <c r="M97" s="257">
        <f t="shared" si="120"/>
        <v>-17559.793000000001</v>
      </c>
      <c r="N97" s="257">
        <f t="shared" si="120"/>
        <v>-8323.277</v>
      </c>
      <c r="O97" s="257">
        <f t="shared" si="120"/>
        <v>-14497.851000000001</v>
      </c>
      <c r="P97" s="257">
        <f t="shared" si="120"/>
        <v>-8870.1569999999992</v>
      </c>
      <c r="Q97" s="257">
        <f t="shared" si="120"/>
        <v>4105.884</v>
      </c>
      <c r="R97" s="257">
        <f t="shared" si="120"/>
        <v>-5114.3909999999996</v>
      </c>
      <c r="S97" s="257">
        <f t="shared" si="120"/>
        <v>6039.93</v>
      </c>
      <c r="T97" s="257">
        <f t="shared" si="120"/>
        <v>6136.5408399999997</v>
      </c>
      <c r="U97" s="257">
        <f t="shared" si="120"/>
        <v>-16501.901250000003</v>
      </c>
      <c r="V97" s="257">
        <f t="shared" si="120"/>
        <v>26412.795423179959</v>
      </c>
      <c r="W97" s="257">
        <f t="shared" si="120"/>
        <v>67242.322886524373</v>
      </c>
      <c r="X97" s="257">
        <f t="shared" si="120"/>
        <v>10952.83</v>
      </c>
      <c r="Y97" s="257">
        <f t="shared" si="120"/>
        <v>103702.65648175398</v>
      </c>
      <c r="Z97" s="257"/>
      <c r="AA97" s="233">
        <f t="shared" si="117"/>
        <v>8.468115225175044</v>
      </c>
      <c r="AB97" s="233">
        <f t="shared" si="118"/>
        <v>-7.2842853626792827</v>
      </c>
    </row>
    <row r="98" spans="2:28" ht="13" customHeight="1">
      <c r="B98" s="107" t="str">
        <f>IF('Summary | Sumário'!D$6=Names!B$3,Names!O74,Names!P74)</f>
        <v>Personal net of hedge accounting</v>
      </c>
      <c r="C98" s="262">
        <f>C99+C100</f>
        <v>0</v>
      </c>
      <c r="D98" s="262">
        <f t="shared" ref="D98:T98" si="121">D99+D100</f>
        <v>194589.16927000001</v>
      </c>
      <c r="E98" s="262">
        <f t="shared" si="108"/>
        <v>319455.67200000002</v>
      </c>
      <c r="F98" s="262">
        <f t="shared" si="109"/>
        <v>583197.69805000001</v>
      </c>
      <c r="G98" s="262">
        <f t="shared" si="110"/>
        <v>1012664.1261700001</v>
      </c>
      <c r="H98" s="262">
        <f t="shared" si="113"/>
        <v>1383732.0246502999</v>
      </c>
      <c r="I98" s="257"/>
      <c r="J98" s="262">
        <f t="shared" si="121"/>
        <v>63981.644999999997</v>
      </c>
      <c r="K98" s="262">
        <f t="shared" si="121"/>
        <v>73178.934000000008</v>
      </c>
      <c r="L98" s="262">
        <f t="shared" si="121"/>
        <v>85052.814000000013</v>
      </c>
      <c r="M98" s="262">
        <f t="shared" si="121"/>
        <v>97242.27900000001</v>
      </c>
      <c r="N98" s="262">
        <f t="shared" si="121"/>
        <v>108222.83400999999</v>
      </c>
      <c r="O98" s="262">
        <f t="shared" si="121"/>
        <v>133460.16244000001</v>
      </c>
      <c r="P98" s="262">
        <f t="shared" si="121"/>
        <v>159493.41924999998</v>
      </c>
      <c r="Q98" s="262">
        <f t="shared" si="121"/>
        <v>182021.28234999996</v>
      </c>
      <c r="R98" s="262">
        <f t="shared" si="121"/>
        <v>209198.23068999997</v>
      </c>
      <c r="S98" s="262">
        <f t="shared" si="121"/>
        <v>253833.49125999992</v>
      </c>
      <c r="T98" s="262">
        <f t="shared" si="121"/>
        <v>261285.72764000003</v>
      </c>
      <c r="U98" s="262">
        <f t="shared" ref="U98:V98" si="122">U99+U100</f>
        <v>288346.67658000003</v>
      </c>
      <c r="V98" s="262">
        <f t="shared" si="122"/>
        <v>317612.29486000002</v>
      </c>
      <c r="W98" s="262">
        <f t="shared" ref="W98:X98" si="123">W99+W100</f>
        <v>325101.85233000002</v>
      </c>
      <c r="X98" s="262">
        <f t="shared" si="123"/>
        <v>365865.23014069098</v>
      </c>
      <c r="Y98" s="262">
        <f t="shared" ref="Y98" si="124">Y99+Y100</f>
        <v>375152.64731960883</v>
      </c>
      <c r="Z98" s="257"/>
      <c r="AA98" s="232">
        <f t="shared" si="117"/>
        <v>2.5384804058441013E-2</v>
      </c>
      <c r="AB98" s="232">
        <f t="shared" si="118"/>
        <v>0.30104723858513083</v>
      </c>
    </row>
    <row r="99" spans="2:28" ht="13" customHeight="1">
      <c r="B99" s="57" t="str">
        <f>IF('Summary | Sumário'!D$6=Names!B$3,Names!O75,Names!P75)</f>
        <v>Personal</v>
      </c>
      <c r="C99" s="257">
        <f>C45</f>
        <v>0</v>
      </c>
      <c r="D99" s="257">
        <f>D45</f>
        <v>194589.16927000001</v>
      </c>
      <c r="E99" s="257">
        <f t="shared" si="108"/>
        <v>319455.67200000002</v>
      </c>
      <c r="F99" s="257">
        <f t="shared" si="109"/>
        <v>583197.69805000001</v>
      </c>
      <c r="G99" s="257">
        <f t="shared" si="110"/>
        <v>1117470</v>
      </c>
      <c r="H99" s="257">
        <f t="shared" si="113"/>
        <v>1040254.5429802999</v>
      </c>
      <c r="I99" s="257"/>
      <c r="J99" s="257">
        <f t="shared" ref="J99:Y99" si="125">J45</f>
        <v>63981.644999999997</v>
      </c>
      <c r="K99" s="257">
        <f t="shared" si="125"/>
        <v>73178.934000000008</v>
      </c>
      <c r="L99" s="257">
        <f t="shared" si="125"/>
        <v>85052.814000000013</v>
      </c>
      <c r="M99" s="257">
        <f t="shared" si="125"/>
        <v>97242.27900000001</v>
      </c>
      <c r="N99" s="257">
        <f t="shared" si="125"/>
        <v>108222.83400999999</v>
      </c>
      <c r="O99" s="257">
        <f t="shared" si="125"/>
        <v>133460.16244000001</v>
      </c>
      <c r="P99" s="257">
        <f t="shared" si="125"/>
        <v>159493.41924999998</v>
      </c>
      <c r="Q99" s="257">
        <f t="shared" si="125"/>
        <v>182021.28234999996</v>
      </c>
      <c r="R99" s="257">
        <f t="shared" si="125"/>
        <v>223476.20140999998</v>
      </c>
      <c r="S99" s="257">
        <f t="shared" si="125"/>
        <v>318868.07952999993</v>
      </c>
      <c r="T99" s="257">
        <f t="shared" si="125"/>
        <v>215827.96117000002</v>
      </c>
      <c r="U99" s="257">
        <f t="shared" si="125"/>
        <v>359297.75789000001</v>
      </c>
      <c r="V99" s="257">
        <f t="shared" si="125"/>
        <v>275126</v>
      </c>
      <c r="W99" s="257">
        <f t="shared" si="125"/>
        <v>204785.36600000001</v>
      </c>
      <c r="X99" s="257">
        <f t="shared" si="125"/>
        <v>355360.76014069101</v>
      </c>
      <c r="Y99" s="257">
        <f t="shared" si="125"/>
        <v>204982.41683960881</v>
      </c>
      <c r="Z99" s="257"/>
      <c r="AA99" s="233">
        <f t="shared" si="117"/>
        <v>-0.42317092985040294</v>
      </c>
      <c r="AB99" s="233">
        <f t="shared" si="118"/>
        <v>-0.42949152245373956</v>
      </c>
    </row>
    <row r="100" spans="2:28" ht="13" customHeight="1">
      <c r="B100" s="130" t="str">
        <f>IF('Summary | Sumário'!D$6=Names!B$3,Names!O76,Names!P76)</f>
        <v>(+) Hedge accounting from personal loans</v>
      </c>
      <c r="C100" s="262">
        <f>C67</f>
        <v>0</v>
      </c>
      <c r="D100" s="262">
        <f>D67</f>
        <v>0</v>
      </c>
      <c r="E100" s="262">
        <f t="shared" si="108"/>
        <v>0</v>
      </c>
      <c r="F100" s="262">
        <f t="shared" si="109"/>
        <v>0</v>
      </c>
      <c r="G100" s="262">
        <f t="shared" si="110"/>
        <v>-104805.87383</v>
      </c>
      <c r="H100" s="262">
        <f t="shared" si="113"/>
        <v>343477.48167000001</v>
      </c>
      <c r="I100" s="257"/>
      <c r="J100" s="262">
        <f t="shared" ref="J100:Y100" si="126">J67</f>
        <v>0</v>
      </c>
      <c r="K100" s="262">
        <f t="shared" si="126"/>
        <v>0</v>
      </c>
      <c r="L100" s="262">
        <f t="shared" si="126"/>
        <v>0</v>
      </c>
      <c r="M100" s="262">
        <f t="shared" si="126"/>
        <v>0</v>
      </c>
      <c r="N100" s="262">
        <f t="shared" si="126"/>
        <v>0</v>
      </c>
      <c r="O100" s="262">
        <f t="shared" si="126"/>
        <v>0</v>
      </c>
      <c r="P100" s="262">
        <f t="shared" si="126"/>
        <v>0</v>
      </c>
      <c r="Q100" s="262">
        <f t="shared" si="126"/>
        <v>0</v>
      </c>
      <c r="R100" s="262">
        <f t="shared" si="126"/>
        <v>-14277.970720000001</v>
      </c>
      <c r="S100" s="262">
        <f t="shared" si="126"/>
        <v>-65034.58827</v>
      </c>
      <c r="T100" s="262">
        <f t="shared" si="126"/>
        <v>45457.766470000002</v>
      </c>
      <c r="U100" s="262">
        <f t="shared" si="126"/>
        <v>-70951.081309999994</v>
      </c>
      <c r="V100" s="262">
        <f t="shared" si="126"/>
        <v>42486.294860000002</v>
      </c>
      <c r="W100" s="262">
        <f t="shared" si="126"/>
        <v>120316.48633000001</v>
      </c>
      <c r="X100" s="262">
        <f t="shared" si="126"/>
        <v>10504.47</v>
      </c>
      <c r="Y100" s="262">
        <f t="shared" si="126"/>
        <v>170170.23048</v>
      </c>
      <c r="Z100" s="257"/>
      <c r="AA100" s="232">
        <f t="shared" si="117"/>
        <v>15.199792134205726</v>
      </c>
      <c r="AB100" s="232">
        <f t="shared" si="118"/>
        <v>-3.398416307941678</v>
      </c>
    </row>
    <row r="101" spans="2:28" ht="13" customHeight="1">
      <c r="B101" s="632" t="str">
        <f>IF('Summary | Sumário'!D$6=Names!B$3,Names!O77,Names!P77)</f>
        <v>SME</v>
      </c>
      <c r="C101" s="257">
        <f t="shared" ref="C101:D103" si="127">C46</f>
        <v>0</v>
      </c>
      <c r="D101" s="257">
        <f t="shared" si="127"/>
        <v>59990.754910000003</v>
      </c>
      <c r="E101" s="257">
        <f t="shared" si="108"/>
        <v>186131.85699999999</v>
      </c>
      <c r="F101" s="257">
        <f t="shared" si="109"/>
        <v>450650.24199999997</v>
      </c>
      <c r="G101" s="257">
        <f t="shared" si="110"/>
        <v>522129</v>
      </c>
      <c r="H101" s="257">
        <f t="shared" si="113"/>
        <v>567287.72747602698</v>
      </c>
      <c r="I101" s="257"/>
      <c r="J101" s="257">
        <f t="shared" ref="J101:T101" si="128">J46</f>
        <v>20454.21</v>
      </c>
      <c r="K101" s="257">
        <f t="shared" si="128"/>
        <v>37744.78</v>
      </c>
      <c r="L101" s="257">
        <f t="shared" si="128"/>
        <v>42772.136999999988</v>
      </c>
      <c r="M101" s="257">
        <f t="shared" si="128"/>
        <v>85160.73000000001</v>
      </c>
      <c r="N101" s="257">
        <f t="shared" si="128"/>
        <v>84615.255999999994</v>
      </c>
      <c r="O101" s="257">
        <f t="shared" si="128"/>
        <v>107134.802</v>
      </c>
      <c r="P101" s="257">
        <f t="shared" si="128"/>
        <v>112397.92600000002</v>
      </c>
      <c r="Q101" s="257">
        <f t="shared" si="128"/>
        <v>146502.258</v>
      </c>
      <c r="R101" s="257">
        <f t="shared" si="128"/>
        <v>124265.87599999999</v>
      </c>
      <c r="S101" s="257">
        <f t="shared" si="128"/>
        <v>120750</v>
      </c>
      <c r="T101" s="257">
        <f t="shared" si="128"/>
        <v>131787.38165</v>
      </c>
      <c r="U101" s="257">
        <f>U46+200</f>
        <v>145325.74235000001</v>
      </c>
      <c r="V101" s="257">
        <f>V46+200</f>
        <v>124839</v>
      </c>
      <c r="W101" s="257">
        <f t="shared" ref="W101:Y103" si="129">W46</f>
        <v>152217.704</v>
      </c>
      <c r="X101" s="257">
        <f t="shared" si="129"/>
        <v>145605.608548077</v>
      </c>
      <c r="Y101" s="257">
        <f t="shared" si="129"/>
        <v>144625.41492794995</v>
      </c>
      <c r="Z101" s="257"/>
      <c r="AA101" s="233">
        <f t="shared" si="117"/>
        <v>-6.7318397271998176E-3</v>
      </c>
      <c r="AB101" s="233">
        <f t="shared" si="118"/>
        <v>-4.8190183702169209E-3</v>
      </c>
    </row>
    <row r="102" spans="2:28" ht="13" customHeight="1">
      <c r="B102" s="107" t="str">
        <f>IF('Summary | Sumário'!D$6=Names!B$3,Names!O78,Names!P78)</f>
        <v>Credit Cards</v>
      </c>
      <c r="C102" s="262">
        <f t="shared" si="127"/>
        <v>0</v>
      </c>
      <c r="D102" s="262">
        <f t="shared" si="127"/>
        <v>118278.86974999998</v>
      </c>
      <c r="E102" s="262">
        <f t="shared" si="108"/>
        <v>245100.40700000001</v>
      </c>
      <c r="F102" s="262">
        <f t="shared" si="109"/>
        <v>717577.09288999997</v>
      </c>
      <c r="G102" s="262">
        <f t="shared" si="110"/>
        <v>1246489</v>
      </c>
      <c r="H102" s="262">
        <f t="shared" si="113"/>
        <v>1478234.26339874</v>
      </c>
      <c r="I102" s="257"/>
      <c r="J102" s="262">
        <f t="shared" ref="J102:T102" si="130">J47</f>
        <v>44269.502</v>
      </c>
      <c r="K102" s="262">
        <f t="shared" si="130"/>
        <v>45538.873</v>
      </c>
      <c r="L102" s="262">
        <f t="shared" si="130"/>
        <v>66073.068999999989</v>
      </c>
      <c r="M102" s="262">
        <f t="shared" si="130"/>
        <v>89218.963000000018</v>
      </c>
      <c r="N102" s="262">
        <f t="shared" si="130"/>
        <v>109464.90658000001</v>
      </c>
      <c r="O102" s="262">
        <f t="shared" si="130"/>
        <v>137867.95378000001</v>
      </c>
      <c r="P102" s="262">
        <f t="shared" si="130"/>
        <v>231785.95109000002</v>
      </c>
      <c r="Q102" s="262">
        <f t="shared" si="130"/>
        <v>238458.28143999999</v>
      </c>
      <c r="R102" s="262">
        <f t="shared" si="130"/>
        <v>272598.95357000001</v>
      </c>
      <c r="S102" s="262">
        <f t="shared" si="130"/>
        <v>306514.12313000002</v>
      </c>
      <c r="T102" s="262">
        <f t="shared" si="130"/>
        <v>333795.27627999999</v>
      </c>
      <c r="U102" s="262">
        <f>U47</f>
        <v>333580.64701999992</v>
      </c>
      <c r="V102" s="262">
        <f>V47</f>
        <v>352400</v>
      </c>
      <c r="W102" s="262">
        <f t="shared" si="129"/>
        <v>369047.58500000002</v>
      </c>
      <c r="X102" s="262">
        <f t="shared" si="129"/>
        <v>379767.67666355905</v>
      </c>
      <c r="Y102" s="262">
        <f t="shared" si="129"/>
        <v>377019.00173518108</v>
      </c>
      <c r="Z102" s="257"/>
      <c r="AA102" s="232">
        <f t="shared" si="117"/>
        <v>-7.2377800884119159E-3</v>
      </c>
      <c r="AB102" s="232">
        <f t="shared" si="118"/>
        <v>0.13021844973091867</v>
      </c>
    </row>
    <row r="103" spans="2:28" ht="13" customHeight="1">
      <c r="B103" s="632" t="str">
        <f>IF('Summary | Sumário'!D$6=Names!B$3,Names!O80,Names!P80)</f>
        <v>Prepayment of receivables</v>
      </c>
      <c r="C103" s="257">
        <f t="shared" si="127"/>
        <v>0</v>
      </c>
      <c r="D103" s="257">
        <f t="shared" si="127"/>
        <v>793.77571</v>
      </c>
      <c r="E103" s="257">
        <f t="shared" si="108"/>
        <v>12540.518</v>
      </c>
      <c r="F103" s="257">
        <f t="shared" si="109"/>
        <v>101704.27800000001</v>
      </c>
      <c r="G103" s="257">
        <f t="shared" si="110"/>
        <v>242443</v>
      </c>
      <c r="H103" s="257">
        <f t="shared" si="113"/>
        <v>418724.30605999997</v>
      </c>
      <c r="I103" s="257"/>
      <c r="J103" s="257">
        <f t="shared" ref="J103:T103" si="131">J48</f>
        <v>2554.556</v>
      </c>
      <c r="K103" s="257">
        <f t="shared" si="131"/>
        <v>2758.1950000000002</v>
      </c>
      <c r="L103" s="257">
        <f t="shared" si="131"/>
        <v>1333.1729999999998</v>
      </c>
      <c r="M103" s="257">
        <f t="shared" si="131"/>
        <v>5894.594000000001</v>
      </c>
      <c r="N103" s="257">
        <f t="shared" si="131"/>
        <v>5242.8329999999996</v>
      </c>
      <c r="O103" s="257">
        <f t="shared" si="131"/>
        <v>17718.065000000002</v>
      </c>
      <c r="P103" s="257">
        <f t="shared" si="131"/>
        <v>32903.998999999996</v>
      </c>
      <c r="Q103" s="257">
        <f t="shared" si="131"/>
        <v>45839.381000000008</v>
      </c>
      <c r="R103" s="257">
        <f t="shared" si="131"/>
        <v>64806.196000000004</v>
      </c>
      <c r="S103" s="257">
        <f t="shared" si="131"/>
        <v>59977</v>
      </c>
      <c r="T103" s="257">
        <f t="shared" si="131"/>
        <v>60383</v>
      </c>
      <c r="U103" s="257">
        <f>U48</f>
        <v>57276.804000000004</v>
      </c>
      <c r="V103" s="257">
        <f>V48</f>
        <v>59662</v>
      </c>
      <c r="W103" s="257">
        <f t="shared" si="129"/>
        <v>53645.453999999998</v>
      </c>
      <c r="X103" s="257">
        <f t="shared" si="129"/>
        <v>136932.53951</v>
      </c>
      <c r="Y103" s="257">
        <f t="shared" si="129"/>
        <v>168484.31254999997</v>
      </c>
      <c r="Z103" s="257"/>
      <c r="AA103" s="233">
        <f t="shared" si="117"/>
        <v>0.23041837355025319</v>
      </c>
      <c r="AB103" s="233">
        <f t="shared" si="118"/>
        <v>1.9415801997262272</v>
      </c>
    </row>
    <row r="104" spans="2:28" ht="14" customHeight="1">
      <c r="B104" s="107" t="str">
        <f>IF('Summary | Sumário'!D$6=Names!B$3,Names!O41,Names!P41)</f>
        <v xml:space="preserve">Others </v>
      </c>
      <c r="C104" s="262">
        <f>C50</f>
        <v>0</v>
      </c>
      <c r="D104" s="262">
        <f>D50</f>
        <v>7364.6793500000003</v>
      </c>
      <c r="E104" s="262">
        <f t="shared" si="108"/>
        <v>21586.092000000001</v>
      </c>
      <c r="F104" s="262">
        <f t="shared" si="109"/>
        <v>14380.906110000018</v>
      </c>
      <c r="G104" s="262">
        <f t="shared" si="110"/>
        <v>-1458</v>
      </c>
      <c r="H104" s="262">
        <f t="shared" si="113"/>
        <v>215195.96812633501</v>
      </c>
      <c r="I104" s="257"/>
      <c r="J104" s="262">
        <f t="shared" ref="J104:Y104" si="132">J50</f>
        <v>4018.4669999999996</v>
      </c>
      <c r="K104" s="262">
        <f t="shared" si="132"/>
        <v>2171.27</v>
      </c>
      <c r="L104" s="262">
        <f t="shared" si="132"/>
        <v>6261.3210000000008</v>
      </c>
      <c r="M104" s="262">
        <f t="shared" si="132"/>
        <v>9135.0339999999997</v>
      </c>
      <c r="N104" s="262">
        <f t="shared" si="132"/>
        <v>19991.723699999999</v>
      </c>
      <c r="O104" s="262">
        <f t="shared" si="132"/>
        <v>-14255.250899999999</v>
      </c>
      <c r="P104" s="262">
        <f t="shared" si="132"/>
        <v>4359.5800100000197</v>
      </c>
      <c r="Q104" s="262">
        <f t="shared" si="132"/>
        <v>4284.8532999999998</v>
      </c>
      <c r="R104" s="262">
        <f t="shared" si="132"/>
        <v>9761.2691400000203</v>
      </c>
      <c r="S104" s="262">
        <f t="shared" si="132"/>
        <v>57.954070000036197</v>
      </c>
      <c r="T104" s="262">
        <f t="shared" si="132"/>
        <v>7345.8183899999603</v>
      </c>
      <c r="U104" s="262">
        <f t="shared" si="132"/>
        <v>-18623.041600000019</v>
      </c>
      <c r="V104" s="262">
        <f t="shared" si="132"/>
        <v>19548.879910000003</v>
      </c>
      <c r="W104" s="262">
        <f t="shared" si="132"/>
        <v>27154.723109999999</v>
      </c>
      <c r="X104" s="262">
        <f t="shared" si="132"/>
        <v>42287.207184334788</v>
      </c>
      <c r="Y104" s="262">
        <f t="shared" si="132"/>
        <v>126205.15792200022</v>
      </c>
      <c r="Z104" s="257"/>
      <c r="AA104" s="232">
        <f t="shared" si="117"/>
        <v>1.9844760703126467</v>
      </c>
      <c r="AB104" s="232">
        <f t="shared" si="118"/>
        <v>-7.7768284382718713</v>
      </c>
    </row>
    <row r="105" spans="2:28" ht="14" customHeight="1">
      <c r="B105" s="632"/>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33"/>
      <c r="AB105" s="233"/>
    </row>
    <row r="106" spans="2:28" ht="13" customHeight="1">
      <c r="B106" s="52" t="str">
        <f>IF('Summary | Sumário'!D$6=Names!B$3,Names!O82,Names!P82)</f>
        <v>Implied rates</v>
      </c>
      <c r="C106" s="204"/>
      <c r="D106" s="204"/>
      <c r="E106" s="204"/>
      <c r="F106" s="204"/>
      <c r="G106" s="204"/>
      <c r="H106" s="204"/>
      <c r="J106" s="204"/>
      <c r="K106" s="204"/>
      <c r="L106" s="204"/>
      <c r="M106" s="204"/>
      <c r="N106" s="204"/>
      <c r="O106" s="204"/>
      <c r="P106" s="204"/>
      <c r="Q106" s="204"/>
      <c r="R106" s="204"/>
      <c r="S106" s="204"/>
      <c r="T106" s="204"/>
      <c r="U106" s="204"/>
      <c r="V106" s="204"/>
      <c r="W106" s="204"/>
      <c r="X106" s="204"/>
      <c r="Y106" s="204"/>
      <c r="AA106" s="177"/>
      <c r="AB106" s="177"/>
    </row>
    <row r="107" spans="2:28" ht="13" customHeight="1">
      <c r="B107" s="346" t="str">
        <f>IF('Summary | Sumário'!D$6=Names!B$3,Names!O83,Names!P83)</f>
        <v>All-in loan rate (%)</v>
      </c>
      <c r="C107" s="706">
        <v>0</v>
      </c>
      <c r="D107" s="707">
        <f>((D94/AVERAGE(D80)))</f>
        <v>0.1047081880439219</v>
      </c>
      <c r="E107" s="707">
        <f t="shared" ref="E107:H108" si="133">((E94/AVERAGE(D80:E80)+1))-1</f>
        <v>0.12590017223377448</v>
      </c>
      <c r="F107" s="707">
        <f t="shared" si="133"/>
        <v>0.15704765193140835</v>
      </c>
      <c r="G107" s="707">
        <f t="shared" si="133"/>
        <v>0.1846436176241828</v>
      </c>
      <c r="H107" s="707">
        <f t="shared" si="133"/>
        <v>0.19404988787748234</v>
      </c>
      <c r="I107" s="400"/>
      <c r="J107" s="707">
        <f>((J94/AVERAGE(J80,D80)+1)^4)-1</f>
        <v>0.14145709739371348</v>
      </c>
      <c r="K107" s="707">
        <f t="shared" ref="K107:Y107" si="134">((K94/AVERAGE(J80:K80)+1)^4)-1</f>
        <v>0.12001724608674325</v>
      </c>
      <c r="L107" s="707">
        <f t="shared" si="134"/>
        <v>0.13177960977619052</v>
      </c>
      <c r="M107" s="707">
        <f t="shared" si="134"/>
        <v>0.14504583836768137</v>
      </c>
      <c r="N107" s="707">
        <f t="shared" si="134"/>
        <v>0.14835051044173042</v>
      </c>
      <c r="O107" s="707">
        <f t="shared" si="134"/>
        <v>0.16854513879351618</v>
      </c>
      <c r="P107" s="707">
        <f t="shared" si="134"/>
        <v>0.18774945856548442</v>
      </c>
      <c r="Q107" s="707">
        <f t="shared" si="134"/>
        <v>0.18814434315369089</v>
      </c>
      <c r="R107" s="707">
        <f t="shared" si="134"/>
        <v>0.19915520287433885</v>
      </c>
      <c r="S107" s="707">
        <f t="shared" si="134"/>
        <v>0.21016334238648682</v>
      </c>
      <c r="T107" s="707">
        <f t="shared" si="134"/>
        <v>0.20661550221764813</v>
      </c>
      <c r="U107" s="707">
        <f t="shared" si="134"/>
        <v>0.20091041019458067</v>
      </c>
      <c r="V107" s="707">
        <f t="shared" si="134"/>
        <v>0.21080238752839575</v>
      </c>
      <c r="W107" s="707">
        <f t="shared" si="134"/>
        <v>0.21006323493107515</v>
      </c>
      <c r="X107" s="707">
        <f t="shared" si="134"/>
        <v>0.20559399328722239</v>
      </c>
      <c r="Y107" s="707">
        <f t="shared" si="134"/>
        <v>0.22038567292030353</v>
      </c>
      <c r="Z107" s="400"/>
      <c r="AA107" s="708">
        <f>(Y107-X107)*100</f>
        <v>1.4791679633081145</v>
      </c>
      <c r="AB107" s="708">
        <f>(Y107-U107)*100</f>
        <v>1.9475262725722864</v>
      </c>
    </row>
    <row r="108" spans="2:28" ht="13" customHeight="1">
      <c r="B108" s="23" t="str">
        <f>IF('Summary | Sumário'!D$6=Names!B$3,Names!O84,Names!P84)</f>
        <v>Real estate net of hedge accounting (%)</v>
      </c>
      <c r="C108" s="262">
        <v>0</v>
      </c>
      <c r="D108" s="267">
        <f>((D95/AVERAGE(D81)))</f>
        <v>0.10487176981002902</v>
      </c>
      <c r="E108" s="267">
        <f t="shared" si="133"/>
        <v>0.11780885551766973</v>
      </c>
      <c r="F108" s="267">
        <f t="shared" si="133"/>
        <v>0.12070913664410376</v>
      </c>
      <c r="G108" s="267">
        <f t="shared" si="133"/>
        <v>0.12355060899211145</v>
      </c>
      <c r="H108" s="267">
        <f t="shared" si="133"/>
        <v>0.12998761806370895</v>
      </c>
      <c r="I108" s="400"/>
      <c r="J108" s="267">
        <f>((J95/AVERAGE(D81,J81)+1)^4)-1</f>
        <v>0.13960916231790121</v>
      </c>
      <c r="K108" s="267">
        <f t="shared" ref="K108:Y108" si="135">((K95/AVERAGE(J81:K81)+1)^4)-1</f>
        <v>0.10190862569461623</v>
      </c>
      <c r="L108" s="267">
        <f t="shared" si="135"/>
        <v>0.13007606927532178</v>
      </c>
      <c r="M108" s="267">
        <f t="shared" si="135"/>
        <v>0.12344288745102516</v>
      </c>
      <c r="N108" s="267">
        <f t="shared" si="135"/>
        <v>0.12390384526537068</v>
      </c>
      <c r="O108" s="267">
        <f t="shared" si="135"/>
        <v>0.14881297718441022</v>
      </c>
      <c r="P108" s="267">
        <f t="shared" si="135"/>
        <v>0.11532393671744878</v>
      </c>
      <c r="Q108" s="267">
        <f t="shared" si="135"/>
        <v>0.12144612894237694</v>
      </c>
      <c r="R108" s="267">
        <f t="shared" si="135"/>
        <v>0.14080701525935813</v>
      </c>
      <c r="S108" s="267">
        <f t="shared" si="135"/>
        <v>0.14594668266669952</v>
      </c>
      <c r="T108" s="267">
        <f t="shared" si="135"/>
        <v>0.12443874399941635</v>
      </c>
      <c r="U108" s="267">
        <f t="shared" si="135"/>
        <v>0.12914043405586395</v>
      </c>
      <c r="V108" s="267">
        <f t="shared" si="135"/>
        <v>0.14015263470459161</v>
      </c>
      <c r="W108" s="267">
        <f t="shared" si="135"/>
        <v>0.14936733438649541</v>
      </c>
      <c r="X108" s="267">
        <f t="shared" si="135"/>
        <v>0.12203695028460482</v>
      </c>
      <c r="Y108" s="267">
        <f t="shared" si="135"/>
        <v>0.14438541563266893</v>
      </c>
      <c r="Z108" s="181"/>
      <c r="AA108" s="639">
        <f t="shared" ref="AA108:AA112" si="136">(Y108-X108)*100</f>
        <v>2.2348465348064117</v>
      </c>
      <c r="AB108" s="639">
        <f t="shared" ref="AB108:AB112" si="137">(Y108-U108)*100</f>
        <v>1.5244981576804983</v>
      </c>
    </row>
    <row r="109" spans="2:28" ht="13" customHeight="1">
      <c r="B109" s="17" t="str">
        <f>IF('Summary | Sumário'!D$6=Names!B$3,Names!O85,Names!P85)</f>
        <v>Personal net of hedge accounting (%)</v>
      </c>
      <c r="C109" s="257">
        <v>0</v>
      </c>
      <c r="D109" s="181">
        <f>((D98/AVERAGE(D82)))</f>
        <v>0.11767935566059531</v>
      </c>
      <c r="E109" s="181">
        <f>((E98/AVERAGE(D82:E82)+1))-1</f>
        <v>0.12209654992119945</v>
      </c>
      <c r="F109" s="181">
        <f>((F98/AVERAGE(E82:F82)+1))-1</f>
        <v>0.12898232237436336</v>
      </c>
      <c r="G109" s="181">
        <f>((G98/AVERAGE(F82:G82)+1))-1</f>
        <v>0.16070813208781587</v>
      </c>
      <c r="H109" s="181">
        <f>((H98/AVERAGE(G82:H82)+1))-1</f>
        <v>0.17999139862779412</v>
      </c>
      <c r="I109" s="400"/>
      <c r="J109" s="181">
        <f>((J98/AVERAGE(D82,J82)+1)^4)-1</f>
        <v>0.14255403353395346</v>
      </c>
      <c r="K109" s="181">
        <f t="shared" ref="K109:Y109" si="138">((K98/AVERAGE(J82:K82)+1)^4)-1</f>
        <v>0.12921943057949825</v>
      </c>
      <c r="L109" s="181">
        <f t="shared" si="138"/>
        <v>0.12433354838978916</v>
      </c>
      <c r="M109" s="181">
        <f t="shared" si="138"/>
        <v>0.12164462530105191</v>
      </c>
      <c r="N109" s="181">
        <f t="shared" si="138"/>
        <v>0.12026347607482735</v>
      </c>
      <c r="O109" s="181">
        <f t="shared" si="138"/>
        <v>0.13333814712064163</v>
      </c>
      <c r="P109" s="181">
        <f t="shared" si="138"/>
        <v>0.14094797150740179</v>
      </c>
      <c r="Q109" s="181">
        <f t="shared" si="138"/>
        <v>0.14575352402368003</v>
      </c>
      <c r="R109" s="181">
        <f t="shared" si="138"/>
        <v>0.15303365779610112</v>
      </c>
      <c r="S109" s="181">
        <f t="shared" si="138"/>
        <v>0.17143184914060194</v>
      </c>
      <c r="T109" s="181">
        <f t="shared" si="138"/>
        <v>0.16850213419115523</v>
      </c>
      <c r="U109" s="181">
        <f t="shared" si="138"/>
        <v>0.17790589321003303</v>
      </c>
      <c r="V109" s="181">
        <f t="shared" si="138"/>
        <v>0.18604344023571406</v>
      </c>
      <c r="W109" s="181">
        <f t="shared" si="138"/>
        <v>0.18507934155981309</v>
      </c>
      <c r="X109" s="181">
        <f t="shared" si="138"/>
        <v>0.20180925523482385</v>
      </c>
      <c r="Y109" s="181">
        <f t="shared" si="138"/>
        <v>0.19800625723328236</v>
      </c>
      <c r="Z109" s="181"/>
      <c r="AA109" s="635">
        <f t="shared" si="136"/>
        <v>-0.3802998001541491</v>
      </c>
      <c r="AB109" s="635">
        <f t="shared" si="137"/>
        <v>2.0100364023249329</v>
      </c>
    </row>
    <row r="110" spans="2:28" ht="13" customHeight="1">
      <c r="B110" s="23" t="str">
        <f>IF('Summary | Sumário'!D$6=Names!B$3,Names!O86,Names!P86)</f>
        <v>SME (%)</v>
      </c>
      <c r="C110" s="262">
        <v>0</v>
      </c>
      <c r="D110" s="267">
        <f>((D101/AVERAGE(D83)))</f>
        <v>3.7900012515249208E-2</v>
      </c>
      <c r="E110" s="267">
        <f>((E101/AVERAGE(D83:E83)+1))-1</f>
        <v>8.0926401752337229E-2</v>
      </c>
      <c r="F110" s="267">
        <f>((F101/AVERAGE(E83:F83)+1))-1</f>
        <v>0.14061598035090483</v>
      </c>
      <c r="G110" s="267">
        <f>((G101/AVERAGE(F83:G83)+1))-1</f>
        <v>0.14407028230522823</v>
      </c>
      <c r="H110" s="267">
        <f>((H101/AVERAGE(G83:H83)+1))-1</f>
        <v>0.14500580623068826</v>
      </c>
      <c r="I110" s="400"/>
      <c r="J110" s="267">
        <f>((J101/AVERAGE(D83,J83)+1)^4)-1</f>
        <v>5.287812357767141E-2</v>
      </c>
      <c r="K110" s="267">
        <f t="shared" ref="K110:Y110" si="139">((K101/AVERAGE(J83:K83)+1)^4)-1</f>
        <v>8.3530222746464489E-2</v>
      </c>
      <c r="L110" s="267">
        <f t="shared" si="139"/>
        <v>7.2330056118097952E-2</v>
      </c>
      <c r="M110" s="267">
        <f t="shared" si="139"/>
        <v>0.12452165667114934</v>
      </c>
      <c r="N110" s="267">
        <f t="shared" si="139"/>
        <v>0.11878339098679125</v>
      </c>
      <c r="O110" s="267">
        <f t="shared" si="139"/>
        <v>0.15518910007411235</v>
      </c>
      <c r="P110" s="267">
        <f t="shared" si="139"/>
        <v>0.16180709347410005</v>
      </c>
      <c r="Q110" s="267">
        <f t="shared" si="139"/>
        <v>0.19703599512306247</v>
      </c>
      <c r="R110" s="267">
        <f t="shared" si="139"/>
        <v>0.16185223715062791</v>
      </c>
      <c r="S110" s="267">
        <f t="shared" si="139"/>
        <v>0.16166793069063989</v>
      </c>
      <c r="T110" s="267">
        <f t="shared" si="139"/>
        <v>0.16811562153127424</v>
      </c>
      <c r="U110" s="267">
        <f t="shared" si="139"/>
        <v>0.169168019688543</v>
      </c>
      <c r="V110" s="267">
        <f t="shared" si="139"/>
        <v>0.14540437803132478</v>
      </c>
      <c r="W110" s="267">
        <f t="shared" si="139"/>
        <v>0.16695440538777295</v>
      </c>
      <c r="X110" s="267">
        <f t="shared" si="139"/>
        <v>0.14409182784875152</v>
      </c>
      <c r="Y110" s="267">
        <f t="shared" si="139"/>
        <v>0.15032176707849088</v>
      </c>
      <c r="Z110" s="181"/>
      <c r="AA110" s="639">
        <f t="shared" si="136"/>
        <v>0.62299392297393563</v>
      </c>
      <c r="AB110" s="639">
        <f t="shared" si="137"/>
        <v>-1.8846252610052128</v>
      </c>
    </row>
    <row r="111" spans="2:28" ht="13" customHeight="1">
      <c r="B111" s="17" t="str">
        <f>IF('Summary | Sumário'!D$6=Names!B$3,Names!O87,Names!P87)</f>
        <v>Credit cards (%)</v>
      </c>
      <c r="C111" s="257">
        <v>0</v>
      </c>
      <c r="D111" s="181">
        <f>((D102/AVERAGE(D84)))</f>
        <v>0.513782772670344</v>
      </c>
      <c r="E111" s="181">
        <f>((E102/AVERAGE(D84:E84)))</f>
        <v>0.54093104484128296</v>
      </c>
      <c r="F111" s="181">
        <f>((F102/AVERAGE(E84:F84)))</f>
        <v>0.67227515902400814</v>
      </c>
      <c r="G111" s="181">
        <f>((G102/AVERAGE(F84:G84)))</f>
        <v>0.72680866669707223</v>
      </c>
      <c r="H111" s="181">
        <f>((H102/AVERAGE(G84:H84)))</f>
        <v>0.70039897455828304</v>
      </c>
      <c r="I111" s="400"/>
      <c r="J111" s="181">
        <f>((J102*4/AVERAGE(D84,J84)))</f>
        <v>0.65473226137019969</v>
      </c>
      <c r="K111" s="181">
        <f t="shared" ref="K111:Y111" si="140">((K102*4/AVERAGE(J84:K84)))</f>
        <v>0.4687272493771088</v>
      </c>
      <c r="L111" s="181">
        <f t="shared" si="140"/>
        <v>0.53217245871666763</v>
      </c>
      <c r="M111" s="181">
        <f t="shared" si="140"/>
        <v>0.59344103018622585</v>
      </c>
      <c r="N111" s="181">
        <f t="shared" si="140"/>
        <v>0.57893090375890244</v>
      </c>
      <c r="O111" s="181">
        <f t="shared" si="140"/>
        <v>0.57417187234470979</v>
      </c>
      <c r="P111" s="181">
        <f t="shared" si="140"/>
        <v>0.77458262934943811</v>
      </c>
      <c r="Q111" s="181">
        <f t="shared" si="140"/>
        <v>0.68908620557722866</v>
      </c>
      <c r="R111" s="181">
        <f t="shared" si="140"/>
        <v>0.71465505874008561</v>
      </c>
      <c r="S111" s="181">
        <f t="shared" si="140"/>
        <v>0.7276700945389164</v>
      </c>
      <c r="T111" s="181">
        <f t="shared" si="140"/>
        <v>0.72975536090869786</v>
      </c>
      <c r="U111" s="181">
        <f t="shared" si="140"/>
        <v>0.69252999175534213</v>
      </c>
      <c r="V111" s="181">
        <f t="shared" si="140"/>
        <v>0.67964787730003418</v>
      </c>
      <c r="W111" s="181">
        <f t="shared" si="140"/>
        <v>0.66481922171007568</v>
      </c>
      <c r="X111" s="181">
        <f t="shared" si="140"/>
        <v>0.67951298855656717</v>
      </c>
      <c r="Y111" s="181">
        <f t="shared" si="140"/>
        <v>0.67675315969254435</v>
      </c>
      <c r="Z111" s="181"/>
      <c r="AA111" s="635">
        <f t="shared" si="136"/>
        <v>-0.27598288640228175</v>
      </c>
      <c r="AB111" s="635">
        <f t="shared" si="137"/>
        <v>-1.5776832062797785</v>
      </c>
    </row>
    <row r="112" spans="2:28" ht="14" customHeight="1">
      <c r="B112" s="23" t="str">
        <f>IF('Summary | Sumário'!D$6=Names!B$3,Names!O89,Names!P89)</f>
        <v>Prepayment of receivables (%)</v>
      </c>
      <c r="C112" s="262">
        <v>0</v>
      </c>
      <c r="D112" s="262">
        <v>0</v>
      </c>
      <c r="E112" s="710">
        <f>((E103/AVERAGE(D88:E88)+1))-1</f>
        <v>8.413518771972206E-2</v>
      </c>
      <c r="F112" s="710">
        <f>((F103/AVERAGE(E88:F88)+1))-1</f>
        <v>9.4883616658324677E-2</v>
      </c>
      <c r="G112" s="710">
        <f>((G103/AVERAGE(F88:G88)+1))-1</f>
        <v>0.15731809833297694</v>
      </c>
      <c r="H112" s="710">
        <f>((H103/AVERAGE(G88:H88)+1))-1</f>
        <v>0.12273804797516785</v>
      </c>
      <c r="I112" s="400"/>
      <c r="J112" s="710">
        <f>((J103/AVERAGE(D88,J88)+1)^4)-1</f>
        <v>0.26039742256808451</v>
      </c>
      <c r="K112" s="710">
        <f t="shared" ref="K112:X112" si="141">((K103/AVERAGE(J88:K88)+1)^4)-1</f>
        <v>0.14783862266255832</v>
      </c>
      <c r="L112" s="710">
        <f t="shared" si="141"/>
        <v>6.459029810892325E-2</v>
      </c>
      <c r="M112" s="710">
        <f t="shared" si="141"/>
        <v>0.12461856520973669</v>
      </c>
      <c r="N112" s="710">
        <f t="shared" si="141"/>
        <v>6.658196771964553E-2</v>
      </c>
      <c r="O112" s="710">
        <f t="shared" si="141"/>
        <v>0.20961222212585384</v>
      </c>
      <c r="P112" s="710">
        <f t="shared" si="141"/>
        <v>0.20021568035746928</v>
      </c>
      <c r="Q112" s="710">
        <f t="shared" si="141"/>
        <v>0.13376298520647723</v>
      </c>
      <c r="R112" s="710">
        <f t="shared" si="141"/>
        <v>0.17549478254727435</v>
      </c>
      <c r="S112" s="710">
        <f t="shared" si="141"/>
        <v>0.19535247550652524</v>
      </c>
      <c r="T112" s="710">
        <f t="shared" si="141"/>
        <v>0.2034848250158352</v>
      </c>
      <c r="U112" s="710">
        <f t="shared" si="141"/>
        <v>0.20041020690686762</v>
      </c>
      <c r="V112" s="710">
        <f t="shared" si="141"/>
        <v>0.20315318920311509</v>
      </c>
      <c r="W112" s="710">
        <f t="shared" si="141"/>
        <v>0.11204030807884102</v>
      </c>
      <c r="X112" s="710">
        <f t="shared" si="141"/>
        <v>0.16450701318036032</v>
      </c>
      <c r="Y112" s="710">
        <f>((Y58/AVERAGE(X88:Y88)+1)^4)-1</f>
        <v>0.56720049459110067</v>
      </c>
      <c r="Z112" s="400"/>
      <c r="AA112" s="639">
        <f t="shared" si="136"/>
        <v>40.269348141074033</v>
      </c>
      <c r="AB112" s="639">
        <f t="shared" si="137"/>
        <v>36.679028768423308</v>
      </c>
    </row>
    <row r="113" spans="2:28" ht="13" customHeight="1">
      <c r="B113" s="16" t="str">
        <f>IF('Summary | Sumário'!D$6=Names!B$3,Names!O90,Names!P90)</f>
        <v>All-in securities rate (%)</v>
      </c>
      <c r="C113" s="257">
        <v>0</v>
      </c>
      <c r="D113" s="181">
        <f>((D58/AVERAGE(C91:D91)+1)-1)</f>
        <v>3.4616795518072063E-3</v>
      </c>
      <c r="E113" s="181">
        <f t="shared" ref="E113:H113" si="142">((E58/AVERAGE(D91:E91)+1)-1)</f>
        <v>8.0301625567996693E-2</v>
      </c>
      <c r="F113" s="181">
        <f t="shared" si="142"/>
        <v>0.11677555235105963</v>
      </c>
      <c r="G113" s="181">
        <f t="shared" si="142"/>
        <v>0.11018356548390518</v>
      </c>
      <c r="H113" s="181">
        <f t="shared" si="142"/>
        <v>9.8503044885109858E-2</v>
      </c>
      <c r="I113" s="181"/>
      <c r="J113" s="181">
        <f t="shared" ref="J113:Y113" si="143">((J58/AVERAGE(I91:J91)+1)^4)-1</f>
        <v>5.4286904091786825E-2</v>
      </c>
      <c r="K113" s="181">
        <f t="shared" si="143"/>
        <v>5.8710237271498711E-2</v>
      </c>
      <c r="L113" s="181">
        <f t="shared" si="143"/>
        <v>8.7860511981103562E-2</v>
      </c>
      <c r="M113" s="181">
        <f t="shared" si="143"/>
        <v>0.10297714696034288</v>
      </c>
      <c r="N113" s="181">
        <f t="shared" si="143"/>
        <v>0.11565328670768094</v>
      </c>
      <c r="O113" s="181">
        <f t="shared" si="143"/>
        <v>0.13642579461998028</v>
      </c>
      <c r="P113" s="181">
        <f t="shared" si="143"/>
        <v>0.10875505578052325</v>
      </c>
      <c r="Q113" s="181">
        <f t="shared" si="143"/>
        <v>0.12164276963863152</v>
      </c>
      <c r="R113" s="181">
        <f t="shared" si="143"/>
        <v>0.12416764282367021</v>
      </c>
      <c r="S113" s="181">
        <f t="shared" si="143"/>
        <v>0.12598762333030766</v>
      </c>
      <c r="T113" s="181">
        <f t="shared" si="143"/>
        <v>0.12002247028227675</v>
      </c>
      <c r="U113" s="181">
        <f t="shared" si="143"/>
        <v>0.11116595712529009</v>
      </c>
      <c r="V113" s="181">
        <f t="shared" si="143"/>
        <v>0.10597271095784566</v>
      </c>
      <c r="W113" s="181">
        <f t="shared" si="143"/>
        <v>0.10405862472669658</v>
      </c>
      <c r="X113" s="181">
        <f t="shared" si="143"/>
        <v>0.11002108290744572</v>
      </c>
      <c r="Y113" s="181">
        <f t="shared" si="143"/>
        <v>0.11055996410354174</v>
      </c>
      <c r="Z113" s="181"/>
      <c r="AA113" s="635">
        <f t="shared" ref="AA113" si="144">(Y113-X113)*100</f>
        <v>5.3888119609601937E-2</v>
      </c>
      <c r="AB113" s="635">
        <f t="shared" ref="AB113" si="145">(Y113-U113)*100</f>
        <v>-6.0599302174835223E-2</v>
      </c>
    </row>
    <row r="114" spans="2:28" ht="13" customHeight="1">
      <c r="B114" s="23"/>
      <c r="C114" s="204"/>
      <c r="D114" s="204"/>
      <c r="E114" s="204"/>
      <c r="F114" s="204"/>
      <c r="G114" s="204"/>
      <c r="H114" s="204"/>
      <c r="J114" s="204"/>
      <c r="K114" s="204"/>
      <c r="L114" s="204"/>
      <c r="M114" s="204"/>
      <c r="N114" s="204"/>
      <c r="O114" s="204"/>
      <c r="P114" s="204"/>
      <c r="Q114" s="204"/>
      <c r="R114" s="204"/>
      <c r="S114" s="267"/>
      <c r="T114" s="267"/>
      <c r="U114" s="267"/>
      <c r="V114" s="267"/>
      <c r="W114" s="267"/>
      <c r="X114" s="267"/>
      <c r="Y114" s="267"/>
      <c r="Z114" s="181"/>
      <c r="AA114" s="177"/>
      <c r="AB114" s="177"/>
    </row>
    <row r="115" spans="2:28" ht="13" customHeight="1">
      <c r="B115" s="50" t="str">
        <f>IF('Summary | Sumário'!D$6=Names!B$3,Names!O101,Names!P102)</f>
        <v>Renegotiated Portfolio</v>
      </c>
      <c r="AA115" s="176"/>
      <c r="AB115" s="176"/>
    </row>
    <row r="116" spans="2:28" ht="13" customHeight="1">
      <c r="B116" s="343" t="str">
        <f>IF('Summary | Sumário'!D$6=Names!B$3,Names!O102,Names!P102)</f>
        <v>Renegotiated portfolio</v>
      </c>
      <c r="C116" s="711" t="s">
        <v>891</v>
      </c>
      <c r="D116" s="711" t="s">
        <v>891</v>
      </c>
      <c r="E116" s="711" t="s">
        <v>891</v>
      </c>
      <c r="F116" s="711">
        <f>Q116</f>
        <v>807372.72962999996</v>
      </c>
      <c r="G116" s="711">
        <f>U116</f>
        <v>1013503.8981579969</v>
      </c>
      <c r="H116" s="711">
        <f>Y116</f>
        <v>1669844.5899536</v>
      </c>
      <c r="I116" s="709"/>
      <c r="J116" s="711" t="s">
        <v>891</v>
      </c>
      <c r="K116" s="711" t="s">
        <v>891</v>
      </c>
      <c r="L116" s="711" t="s">
        <v>891</v>
      </c>
      <c r="M116" s="711" t="s">
        <v>891</v>
      </c>
      <c r="N116" s="711">
        <v>705976.27219999675</v>
      </c>
      <c r="O116" s="711">
        <v>721629.40601000446</v>
      </c>
      <c r="P116" s="711">
        <v>788511.83772999898</v>
      </c>
      <c r="Q116" s="711">
        <v>807372.72962999996</v>
      </c>
      <c r="R116" s="711">
        <v>839302.77655999793</v>
      </c>
      <c r="S116" s="711">
        <v>925448.81361999619</v>
      </c>
      <c r="T116" s="711">
        <v>971835.995925333</v>
      </c>
      <c r="U116" s="711">
        <v>1013503.8981579969</v>
      </c>
      <c r="V116" s="711">
        <v>1089191.80005044</v>
      </c>
      <c r="W116" s="711">
        <v>1481864.0399573899</v>
      </c>
      <c r="X116" s="711">
        <v>1582106.37561</v>
      </c>
      <c r="Y116" s="711">
        <v>1669844.5899536</v>
      </c>
      <c r="Z116" s="709"/>
      <c r="AA116" s="712">
        <f>Y116/X116-1</f>
        <v>5.5456583511820812E-2</v>
      </c>
      <c r="AB116" s="712">
        <f>Y116/U116-1</f>
        <v>0.64759562640901147</v>
      </c>
    </row>
    <row r="117" spans="2:28" ht="13" customHeight="1">
      <c r="B117" s="51" t="str">
        <f>IF('Summary | Sumário'!D$6=Names!B$3,Names!O103,Names!P103)</f>
        <v>Renegotiated portfolio (% of total gross loan portfolio)</v>
      </c>
      <c r="C117" s="134" t="s">
        <v>891</v>
      </c>
      <c r="D117" s="134" t="s">
        <v>891</v>
      </c>
      <c r="E117" s="134" t="s">
        <v>891</v>
      </c>
      <c r="F117" s="381">
        <f>Q117</f>
        <v>3.2894921768841769E-2</v>
      </c>
      <c r="G117" s="381">
        <f>U117</f>
        <v>3.2671713473043845E-2</v>
      </c>
      <c r="H117" s="381">
        <f>Y117</f>
        <v>4.0547122839332025E-2</v>
      </c>
      <c r="I117" s="381"/>
      <c r="J117" s="134" t="s">
        <v>891</v>
      </c>
      <c r="K117" s="134" t="s">
        <v>891</v>
      </c>
      <c r="L117" s="134" t="s">
        <v>891</v>
      </c>
      <c r="M117" s="134" t="s">
        <v>891</v>
      </c>
      <c r="N117" s="181">
        <f t="shared" ref="N117:Y117" si="146">N116/N12</f>
        <v>3.8112142211782558E-2</v>
      </c>
      <c r="O117" s="181">
        <f t="shared" si="146"/>
        <v>3.6327473393210095E-2</v>
      </c>
      <c r="P117" s="181">
        <f t="shared" si="146"/>
        <v>3.5784429560735319E-2</v>
      </c>
      <c r="Q117" s="181">
        <f t="shared" si="146"/>
        <v>3.2894921768841769E-2</v>
      </c>
      <c r="R117" s="181">
        <f t="shared" si="146"/>
        <v>3.3399372181427349E-2</v>
      </c>
      <c r="S117" s="181">
        <f t="shared" si="146"/>
        <v>3.4956418724380732E-2</v>
      </c>
      <c r="T117" s="181">
        <f t="shared" si="146"/>
        <v>3.4390630748343372E-2</v>
      </c>
      <c r="U117" s="181">
        <f t="shared" si="146"/>
        <v>3.2671713473043845E-2</v>
      </c>
      <c r="V117" s="181">
        <f t="shared" si="146"/>
        <v>3.3885159181503054E-2</v>
      </c>
      <c r="W117" s="181">
        <f t="shared" si="146"/>
        <v>4.1538616690767527E-2</v>
      </c>
      <c r="X117" s="181">
        <f t="shared" si="146"/>
        <v>4.1568867080372267E-2</v>
      </c>
      <c r="Y117" s="181">
        <f t="shared" si="146"/>
        <v>4.0547122839332025E-2</v>
      </c>
      <c r="Z117" s="181"/>
      <c r="AA117" s="428">
        <f>(Y117-X117)*100</f>
        <v>-0.10217442410402414</v>
      </c>
      <c r="AB117" s="428">
        <f>(Y117-U117)*100</f>
        <v>0.78754093662881797</v>
      </c>
    </row>
    <row r="118" spans="2:28" ht="13" customHeight="1">
      <c r="Y118" s="180"/>
      <c r="Z118" s="180"/>
      <c r="AA118" s="180"/>
      <c r="AB118" s="180"/>
    </row>
    <row r="119" spans="2:28" ht="13" customHeight="1">
      <c r="Q119" s="181"/>
      <c r="R119" s="181"/>
      <c r="S119" s="181"/>
      <c r="T119" s="181"/>
      <c r="U119" s="181"/>
      <c r="V119" s="181"/>
      <c r="W119" s="181"/>
      <c r="X119" s="181"/>
      <c r="Y119" s="181"/>
      <c r="Z119" s="181"/>
      <c r="AA119" s="181"/>
      <c r="AB119" s="181"/>
    </row>
    <row r="120" spans="2:28" ht="13" customHeight="1">
      <c r="B120" s="714"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120" s="133" t="s">
        <v>976</v>
      </c>
      <c r="N120" s="181"/>
      <c r="O120" s="181"/>
      <c r="P120" s="181"/>
      <c r="Q120" s="181"/>
      <c r="R120" s="181"/>
      <c r="S120" s="181"/>
      <c r="T120" s="181"/>
      <c r="U120" s="181"/>
      <c r="V120" s="181"/>
      <c r="W120" s="181"/>
      <c r="X120" s="181"/>
      <c r="Y120" s="181"/>
      <c r="Z120" s="181"/>
      <c r="AA120" s="181"/>
      <c r="AB120" s="181"/>
    </row>
    <row r="121" spans="2:28" ht="13" customHeight="1">
      <c r="B121" s="714"/>
      <c r="Y121" s="217"/>
      <c r="Z121" s="217"/>
      <c r="AA121" s="217"/>
      <c r="AB121" s="217"/>
    </row>
    <row r="122" spans="2:28" ht="13" customHeight="1">
      <c r="B122" s="714"/>
      <c r="T122" s="261"/>
      <c r="U122" s="261"/>
      <c r="V122" s="261"/>
      <c r="W122" s="261"/>
      <c r="X122" s="261"/>
      <c r="Y122" s="261"/>
      <c r="Z122" s="181"/>
      <c r="AA122" s="261"/>
      <c r="AB122" s="261"/>
    </row>
    <row r="123" spans="2:28" ht="13" customHeight="1">
      <c r="B123" s="714"/>
    </row>
    <row r="124" spans="2:28" ht="13" customHeight="1">
      <c r="B124" s="714"/>
    </row>
  </sheetData>
  <sheetProtection algorithmName="SHA-512" hashValue="l4bv7dFsjL4mTJpHemmawZyAEtdiiCgN81icZyUCzeG4sfsia1/qg7RGKkU2hPFka7O0/+FSBxACEAOGDm8AeQ==" saltValue="YIXs6UJeVxik86SbrtJMVg==" spinCount="100000" sheet="1" formatCells="0" formatColumns="0" formatRows="0" insertColumns="0" insertRows="0" insertHyperlinks="0" deleteColumns="0" deleteRows="0" sort="0" autoFilter="0" pivotTables="0"/>
  <mergeCells count="1">
    <mergeCell ref="B120:B124"/>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3DA34-577B-0D4F-A470-EDBEC7EC6F82}">
  <sheetPr>
    <tabColor rgb="FFEB7100"/>
  </sheetPr>
  <dimension ref="A1:AF58"/>
  <sheetViews>
    <sheetView showGridLines="0" zoomScaleNormal="100" zoomScaleSheetLayoutView="5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3" customWidth="1"/>
    <col min="9" max="9" width="2.83203125" style="133" customWidth="1"/>
    <col min="10" max="25" width="10.83203125" style="133" customWidth="1"/>
    <col min="26" max="26" width="5.83203125" style="133" customWidth="1"/>
    <col min="27" max="28" width="10.83203125" style="133" customWidth="1"/>
    <col min="29" max="16384" width="10.83203125" style="133"/>
  </cols>
  <sheetData>
    <row r="1" spans="1:32" ht="13" customHeight="1">
      <c r="C1" s="134"/>
      <c r="D1" s="134"/>
      <c r="E1" s="134"/>
      <c r="F1" s="134"/>
      <c r="G1" s="134"/>
      <c r="J1" s="134"/>
      <c r="K1" s="134"/>
      <c r="L1" s="134"/>
      <c r="M1" s="134"/>
      <c r="N1" s="134"/>
      <c r="O1" s="134"/>
      <c r="P1" s="134"/>
      <c r="Q1" s="134"/>
      <c r="R1" s="134"/>
    </row>
    <row r="2" spans="1:32" s="10" customFormat="1" ht="13" customHeight="1">
      <c r="B2" s="310" t="str">
        <f>IF('Summary | Sumário'!D$6=Names!B$3,Names!Q1,Names!R1)</f>
        <v>Funding (IFRS,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562"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1:32" ht="13" customHeight="1">
      <c r="B3" s="14"/>
      <c r="C3" s="144"/>
      <c r="D3" s="144"/>
      <c r="E3" s="145"/>
      <c r="F3" s="145"/>
      <c r="G3" s="145"/>
      <c r="H3" s="145"/>
      <c r="I3" s="145"/>
      <c r="J3" s="145"/>
      <c r="K3" s="145"/>
      <c r="L3" s="145"/>
      <c r="M3" s="145"/>
      <c r="N3" s="145"/>
      <c r="O3" s="145"/>
      <c r="P3" s="145"/>
      <c r="Q3" s="145"/>
      <c r="R3" s="145"/>
      <c r="S3" s="145"/>
      <c r="T3" s="145"/>
      <c r="U3" s="145"/>
      <c r="V3" s="145"/>
      <c r="W3" s="145"/>
      <c r="X3" s="145"/>
      <c r="Y3" s="145"/>
      <c r="Z3" s="145"/>
      <c r="AA3" s="145"/>
      <c r="AB3" s="145"/>
    </row>
    <row r="4" spans="1:32" s="163" customFormat="1" ht="13" customHeight="1">
      <c r="A4" s="161"/>
      <c r="B4" s="3" t="str">
        <f>IF('Summary | Sumário'!D$6=Names!B$3,Names!Q2,Names!R2)</f>
        <v>Funding - including other interest bearing liabilities</v>
      </c>
      <c r="C4" s="206"/>
      <c r="AC4" s="248"/>
    </row>
    <row r="5" spans="1:32" ht="13" customHeight="1">
      <c r="A5" s="242"/>
      <c r="B5" s="314" t="str">
        <f>IF('Summary | Sumário'!D$6=Names!B$3,Names!Q3,Names!R3)</f>
        <v>Liabilities with customers</v>
      </c>
      <c r="C5" s="344">
        <v>4714439</v>
      </c>
      <c r="D5" s="344">
        <v>12436632</v>
      </c>
      <c r="E5" s="344">
        <f>M5</f>
        <v>18333543</v>
      </c>
      <c r="F5" s="344">
        <f>Q5</f>
        <v>23642804</v>
      </c>
      <c r="G5" s="344">
        <f>U5</f>
        <v>32651620</v>
      </c>
      <c r="H5" s="344">
        <f>Y5</f>
        <v>42803229</v>
      </c>
      <c r="I5" s="206"/>
      <c r="J5" s="344">
        <v>13392679</v>
      </c>
      <c r="K5" s="344">
        <v>15629130.619999999</v>
      </c>
      <c r="L5" s="344">
        <v>17093473.298</v>
      </c>
      <c r="M5" s="344">
        <v>18333543</v>
      </c>
      <c r="N5" s="344">
        <v>18958118</v>
      </c>
      <c r="O5" s="344">
        <v>19746409</v>
      </c>
      <c r="P5" s="344">
        <v>21452026</v>
      </c>
      <c r="Q5" s="344">
        <v>23642804</v>
      </c>
      <c r="R5" s="344">
        <v>24182006</v>
      </c>
      <c r="S5" s="344">
        <v>26299326</v>
      </c>
      <c r="T5" s="344">
        <v>29063988</v>
      </c>
      <c r="U5" s="344">
        <v>32651620</v>
      </c>
      <c r="V5" s="344">
        <v>32643444.086135942</v>
      </c>
      <c r="W5" s="344">
        <v>35978318.071000002</v>
      </c>
      <c r="X5" s="344">
        <v>39129759</v>
      </c>
      <c r="Y5" s="344">
        <v>42803229</v>
      </c>
      <c r="Z5" s="206"/>
      <c r="AA5" s="429">
        <f>Y5/X5-1</f>
        <v>9.3879187960242749E-2</v>
      </c>
      <c r="AB5" s="429">
        <f>Y5/U5-1</f>
        <v>0.31090674827160192</v>
      </c>
    </row>
    <row r="6" spans="1:32" ht="13" customHeight="1">
      <c r="A6" s="242"/>
      <c r="B6" s="17" t="str">
        <f>IF('Summary | Sumário'!D$6=Names!B$3,Names!Q4,Names!R4)</f>
        <v>Demand deposits</v>
      </c>
      <c r="C6" s="206">
        <v>2094127</v>
      </c>
      <c r="D6" s="206">
        <v>6713351</v>
      </c>
      <c r="E6" s="206">
        <f t="shared" ref="E6:E15" si="0">M6</f>
        <v>9932809</v>
      </c>
      <c r="F6" s="206">
        <f t="shared" ref="F6:F15" si="1">Q6</f>
        <v>11566826</v>
      </c>
      <c r="G6" s="206">
        <f t="shared" ref="G6:G15" si="2">U6</f>
        <v>2572536</v>
      </c>
      <c r="H6" s="206">
        <f t="shared" ref="H6:H15" si="3">Y6</f>
        <v>1415426.8934948002</v>
      </c>
      <c r="I6" s="206"/>
      <c r="J6" s="206">
        <v>6984899</v>
      </c>
      <c r="K6" s="206">
        <v>8299742</v>
      </c>
      <c r="L6" s="206">
        <v>9163029</v>
      </c>
      <c r="M6" s="206">
        <v>9932809</v>
      </c>
      <c r="N6" s="206">
        <v>9620809</v>
      </c>
      <c r="O6" s="206">
        <v>9784611</v>
      </c>
      <c r="P6" s="206">
        <v>10418989</v>
      </c>
      <c r="Q6" s="206">
        <v>11566826</v>
      </c>
      <c r="R6" s="206">
        <v>11005662</v>
      </c>
      <c r="S6" s="206">
        <v>3109793</v>
      </c>
      <c r="T6" s="206">
        <v>1813779</v>
      </c>
      <c r="U6" s="206">
        <v>2572536</v>
      </c>
      <c r="V6" s="206">
        <v>1593427.4698459422</v>
      </c>
      <c r="W6" s="206">
        <v>1431720.5060000001</v>
      </c>
      <c r="X6" s="206">
        <v>1457541.7699500001</v>
      </c>
      <c r="Y6" s="206">
        <v>1415426.8934948002</v>
      </c>
      <c r="Z6" s="206"/>
      <c r="AA6" s="430">
        <f t="shared" ref="AA6:AA15" si="4">Y6/X6-1</f>
        <v>-2.889445594183182E-2</v>
      </c>
      <c r="AB6" s="430">
        <f t="shared" ref="AB6:AB15" si="5">Y6/U6-1</f>
        <v>-0.44979316382946621</v>
      </c>
      <c r="AC6" s="249"/>
    </row>
    <row r="7" spans="1:32" ht="13" customHeight="1">
      <c r="A7" s="242"/>
      <c r="B7" s="23" t="str">
        <f>IF('Summary | Sumário'!D$6=Names!B$3,Names!Q5,Names!R5)</f>
        <v>Time deposits</v>
      </c>
      <c r="C7" s="201">
        <v>2259047</v>
      </c>
      <c r="D7" s="201">
        <v>4771204</v>
      </c>
      <c r="E7" s="201">
        <f t="shared" si="0"/>
        <v>6922061</v>
      </c>
      <c r="F7" s="201">
        <f t="shared" si="1"/>
        <v>10517060</v>
      </c>
      <c r="G7" s="201">
        <f t="shared" si="2"/>
        <v>28158459</v>
      </c>
      <c r="H7" s="201">
        <f t="shared" si="3"/>
        <v>39228574.976070002</v>
      </c>
      <c r="I7" s="206"/>
      <c r="J7" s="201">
        <v>5394450</v>
      </c>
      <c r="K7" s="201">
        <v>6119961</v>
      </c>
      <c r="L7" s="201">
        <v>6580559</v>
      </c>
      <c r="M7" s="201">
        <v>6922061</v>
      </c>
      <c r="N7" s="201">
        <v>7894003</v>
      </c>
      <c r="O7" s="201">
        <v>8579727</v>
      </c>
      <c r="P7" s="201">
        <v>9558462</v>
      </c>
      <c r="Q7" s="201">
        <v>10517060</v>
      </c>
      <c r="R7" s="201">
        <v>11687031</v>
      </c>
      <c r="S7" s="201">
        <v>21616586</v>
      </c>
      <c r="T7" s="201">
        <v>25572336</v>
      </c>
      <c r="U7" s="201">
        <v>28158459</v>
      </c>
      <c r="V7" s="201">
        <v>29169018.986099999</v>
      </c>
      <c r="W7" s="201">
        <v>32531468.234000001</v>
      </c>
      <c r="X7" s="201">
        <v>35665570.401489995</v>
      </c>
      <c r="Y7" s="201">
        <v>39228574.976070002</v>
      </c>
      <c r="Z7" s="206"/>
      <c r="AA7" s="431">
        <f t="shared" si="4"/>
        <v>9.9900395100120276E-2</v>
      </c>
      <c r="AB7" s="431">
        <f t="shared" si="5"/>
        <v>0.39313642753213163</v>
      </c>
      <c r="AC7" s="250"/>
    </row>
    <row r="8" spans="1:32" ht="13" customHeight="1">
      <c r="A8" s="242"/>
      <c r="B8" s="17" t="str">
        <f>IF('Summary | Sumário'!D$6=Names!B$3,Names!Q6,Names!R6)</f>
        <v>Savings deposits</v>
      </c>
      <c r="C8" s="206">
        <v>307098</v>
      </c>
      <c r="D8" s="206">
        <v>887666</v>
      </c>
      <c r="E8" s="206">
        <f t="shared" si="0"/>
        <v>1230039</v>
      </c>
      <c r="F8" s="206">
        <f t="shared" si="1"/>
        <v>1307055</v>
      </c>
      <c r="G8" s="206">
        <f t="shared" si="2"/>
        <v>1540604</v>
      </c>
      <c r="H8" s="206">
        <f t="shared" si="3"/>
        <v>1883431.889</v>
      </c>
      <c r="I8" s="206"/>
      <c r="J8" s="206">
        <v>935359</v>
      </c>
      <c r="K8" s="206">
        <v>1049178</v>
      </c>
      <c r="L8" s="206">
        <v>1138085</v>
      </c>
      <c r="M8" s="206">
        <v>1230039</v>
      </c>
      <c r="N8" s="206">
        <v>1215061</v>
      </c>
      <c r="O8" s="206">
        <v>1182012</v>
      </c>
      <c r="P8" s="206">
        <v>1216043</v>
      </c>
      <c r="Q8" s="206">
        <v>1307055</v>
      </c>
      <c r="R8" s="206">
        <v>1274938</v>
      </c>
      <c r="S8" s="206">
        <v>1305803</v>
      </c>
      <c r="T8" s="206">
        <v>1350713</v>
      </c>
      <c r="U8" s="206">
        <v>1540604</v>
      </c>
      <c r="V8" s="206">
        <v>1549652.25122</v>
      </c>
      <c r="W8" s="206">
        <v>1715785.118</v>
      </c>
      <c r="X8" s="206">
        <v>1777366.3865499999</v>
      </c>
      <c r="Y8" s="206">
        <v>1883431.889</v>
      </c>
      <c r="Z8" s="206"/>
      <c r="AA8" s="430">
        <f t="shared" si="4"/>
        <v>5.9675654526065935E-2</v>
      </c>
      <c r="AB8" s="430">
        <f t="shared" si="5"/>
        <v>0.22252823502989738</v>
      </c>
      <c r="AC8" s="250"/>
    </row>
    <row r="9" spans="1:32" ht="13" customHeight="1">
      <c r="A9" s="242"/>
      <c r="B9" s="23" t="str">
        <f>IF('Summary | Sumário'!D$6=Names!B$3,Names!Q7,Names!R7)</f>
        <v>Creditors by resources to release</v>
      </c>
      <c r="C9" s="201">
        <v>54167</v>
      </c>
      <c r="D9" s="201">
        <v>64410</v>
      </c>
      <c r="E9" s="201">
        <f t="shared" si="0"/>
        <v>248633</v>
      </c>
      <c r="F9" s="201">
        <f t="shared" si="1"/>
        <v>251863</v>
      </c>
      <c r="G9" s="201">
        <f t="shared" si="2"/>
        <v>380021</v>
      </c>
      <c r="H9" s="201">
        <f t="shared" si="3"/>
        <v>275795.36</v>
      </c>
      <c r="I9" s="206"/>
      <c r="J9" s="201">
        <v>77971</v>
      </c>
      <c r="K9" s="201">
        <v>160250</v>
      </c>
      <c r="L9" s="201">
        <v>211800</v>
      </c>
      <c r="M9" s="201">
        <v>248633</v>
      </c>
      <c r="N9" s="201">
        <v>228245</v>
      </c>
      <c r="O9" s="201">
        <v>200059</v>
      </c>
      <c r="P9" s="201">
        <v>258532</v>
      </c>
      <c r="Q9" s="201">
        <v>251863</v>
      </c>
      <c r="R9" s="201">
        <v>214375</v>
      </c>
      <c r="S9" s="201">
        <v>267144</v>
      </c>
      <c r="T9" s="201">
        <v>327160</v>
      </c>
      <c r="U9" s="201">
        <v>380021</v>
      </c>
      <c r="V9" s="201">
        <v>331346</v>
      </c>
      <c r="W9" s="201">
        <v>299344.21299999999</v>
      </c>
      <c r="X9" s="201">
        <v>229281.05566999997</v>
      </c>
      <c r="Y9" s="201">
        <v>275795.36</v>
      </c>
      <c r="Z9" s="206"/>
      <c r="AA9" s="431">
        <f t="shared" si="4"/>
        <v>0.20287024671129927</v>
      </c>
      <c r="AB9" s="431">
        <f t="shared" si="5"/>
        <v>-0.27426284336918227</v>
      </c>
      <c r="AC9" s="250"/>
    </row>
    <row r="10" spans="1:32" ht="13" customHeight="1">
      <c r="A10" s="242"/>
      <c r="B10" s="16" t="str">
        <f>IF('Summary | Sumário'!D$6=Names!B$3,Names!Q8,Names!R8)</f>
        <v>Securities issued</v>
      </c>
      <c r="C10" s="206">
        <v>1719580</v>
      </c>
      <c r="D10" s="206">
        <v>1729436</v>
      </c>
      <c r="E10" s="206">
        <f t="shared" si="0"/>
        <v>3572093</v>
      </c>
      <c r="F10" s="206">
        <f t="shared" si="1"/>
        <v>6202165</v>
      </c>
      <c r="G10" s="206">
        <f t="shared" si="2"/>
        <v>8095042</v>
      </c>
      <c r="H10" s="206">
        <f t="shared" si="3"/>
        <v>9890219</v>
      </c>
      <c r="I10" s="206"/>
      <c r="J10" s="206">
        <v>1704892</v>
      </c>
      <c r="K10" s="206">
        <v>2081723</v>
      </c>
      <c r="L10" s="206">
        <v>3093320</v>
      </c>
      <c r="M10" s="206">
        <v>3572093</v>
      </c>
      <c r="N10" s="206">
        <v>4280956</v>
      </c>
      <c r="O10" s="206">
        <v>6104223</v>
      </c>
      <c r="P10" s="206">
        <v>6916919</v>
      </c>
      <c r="Q10" s="206">
        <v>6202165</v>
      </c>
      <c r="R10" s="206">
        <v>6640557</v>
      </c>
      <c r="S10" s="206">
        <v>7006191.0407400001</v>
      </c>
      <c r="T10" s="206">
        <v>7462564.5372699993</v>
      </c>
      <c r="U10" s="206">
        <v>8095042</v>
      </c>
      <c r="V10" s="206">
        <v>8249142.2142699994</v>
      </c>
      <c r="W10" s="206">
        <v>8543248.1730000004</v>
      </c>
      <c r="X10" s="206">
        <v>9047656</v>
      </c>
      <c r="Y10" s="206">
        <v>9890219</v>
      </c>
      <c r="Z10" s="206"/>
      <c r="AA10" s="430">
        <f t="shared" si="4"/>
        <v>9.3125003868405276E-2</v>
      </c>
      <c r="AB10" s="430">
        <f t="shared" si="5"/>
        <v>0.22176253069471419</v>
      </c>
      <c r="AC10" s="250"/>
    </row>
    <row r="11" spans="1:32" ht="13" customHeight="1">
      <c r="A11" s="242"/>
      <c r="B11" s="22" t="str">
        <f>IF('Summary | Sumário'!D$6=Names!B$3,Names!Q24,Names!R24)</f>
        <v>Interest bearing liabilities with financial institutions</v>
      </c>
      <c r="C11" s="201">
        <f>SUM(C12:C13)</f>
        <v>510733</v>
      </c>
      <c r="D11" s="201">
        <f t="shared" ref="D11:T11" si="6">SUM(D12:D13)</f>
        <v>102874</v>
      </c>
      <c r="E11" s="201">
        <f t="shared" si="0"/>
        <v>1113010</v>
      </c>
      <c r="F11" s="201">
        <f t="shared" si="1"/>
        <v>2635401</v>
      </c>
      <c r="G11" s="201">
        <f t="shared" si="2"/>
        <v>2658958</v>
      </c>
      <c r="H11" s="201">
        <f t="shared" si="3"/>
        <v>2242924.3964400003</v>
      </c>
      <c r="I11" s="206"/>
      <c r="J11" s="201">
        <f t="shared" si="6"/>
        <v>215077.01337999999</v>
      </c>
      <c r="K11" s="201">
        <f t="shared" si="6"/>
        <v>385394.85464999999</v>
      </c>
      <c r="L11" s="201">
        <f t="shared" si="6"/>
        <v>947510.22100000002</v>
      </c>
      <c r="M11" s="201">
        <f t="shared" si="6"/>
        <v>1113010</v>
      </c>
      <c r="N11" s="201">
        <f t="shared" si="6"/>
        <v>1473583</v>
      </c>
      <c r="O11" s="201">
        <f t="shared" si="6"/>
        <v>1795650</v>
      </c>
      <c r="P11" s="201">
        <f t="shared" si="6"/>
        <v>2286525</v>
      </c>
      <c r="Q11" s="201">
        <f t="shared" si="6"/>
        <v>2635401</v>
      </c>
      <c r="R11" s="201">
        <f t="shared" si="6"/>
        <v>2673490</v>
      </c>
      <c r="S11" s="201">
        <f t="shared" si="6"/>
        <v>2320817</v>
      </c>
      <c r="T11" s="201">
        <f t="shared" si="6"/>
        <v>2957425.0232100002</v>
      </c>
      <c r="U11" s="201">
        <f t="shared" ref="U11:V11" si="7">SUM(U12:U13)</f>
        <v>2658958</v>
      </c>
      <c r="V11" s="201">
        <f t="shared" si="7"/>
        <v>2788975.0564099997</v>
      </c>
      <c r="W11" s="201">
        <f t="shared" ref="W11:X11" si="8">SUM(W12:W13)</f>
        <v>3136404.7650000001</v>
      </c>
      <c r="X11" s="201">
        <f t="shared" si="8"/>
        <v>1975608.0917399998</v>
      </c>
      <c r="Y11" s="201">
        <f t="shared" ref="Y11" si="9">SUM(Y12:Y13)</f>
        <v>2242924.3964400003</v>
      </c>
      <c r="Z11" s="206"/>
      <c r="AA11" s="431">
        <f t="shared" si="4"/>
        <v>0.13530836698718107</v>
      </c>
      <c r="AB11" s="431">
        <f t="shared" si="5"/>
        <v>-0.15646490225118248</v>
      </c>
      <c r="AC11" s="250"/>
    </row>
    <row r="12" spans="1:32" ht="13" customHeight="1">
      <c r="A12" s="242"/>
      <c r="B12" s="17" t="str">
        <f>IF('Summary | Sumário'!D$6=Names!B$3,Names!Q20,Names!R20)</f>
        <v>Securities sold under agreements to reurchase</v>
      </c>
      <c r="C12" s="206">
        <v>178491</v>
      </c>
      <c r="D12" s="206">
        <v>102874</v>
      </c>
      <c r="E12" s="206">
        <f t="shared" si="0"/>
        <v>973533</v>
      </c>
      <c r="F12" s="206">
        <f t="shared" si="1"/>
        <v>1902873</v>
      </c>
      <c r="G12" s="206">
        <f t="shared" si="2"/>
        <v>1011092</v>
      </c>
      <c r="H12" s="206">
        <f t="shared" si="3"/>
        <v>1725851.9284400002</v>
      </c>
      <c r="I12" s="206"/>
      <c r="J12" s="206">
        <v>164878.20288</v>
      </c>
      <c r="K12" s="206">
        <v>209582.78599999999</v>
      </c>
      <c r="L12" s="206">
        <v>656030.402</v>
      </c>
      <c r="M12" s="206">
        <v>973533</v>
      </c>
      <c r="N12" s="206">
        <v>976192</v>
      </c>
      <c r="O12" s="206">
        <v>1480935</v>
      </c>
      <c r="P12" s="206">
        <v>1354877</v>
      </c>
      <c r="Q12" s="206">
        <v>1902873</v>
      </c>
      <c r="R12" s="206">
        <v>1882289</v>
      </c>
      <c r="S12" s="206">
        <v>1727567</v>
      </c>
      <c r="T12" s="206">
        <v>1600987.9855800001</v>
      </c>
      <c r="U12" s="206">
        <v>1011092</v>
      </c>
      <c r="V12" s="206">
        <v>1107832.7549099999</v>
      </c>
      <c r="W12" s="206">
        <v>1372709.743</v>
      </c>
      <c r="X12" s="206">
        <v>1776578.1025399999</v>
      </c>
      <c r="Y12" s="206">
        <v>1725851.9284400002</v>
      </c>
      <c r="Z12" s="206"/>
      <c r="AA12" s="430">
        <f t="shared" si="4"/>
        <v>-2.855274081532122E-2</v>
      </c>
      <c r="AB12" s="430">
        <f t="shared" si="5"/>
        <v>0.70691878527374374</v>
      </c>
      <c r="AC12" s="250"/>
    </row>
    <row r="13" spans="1:32" ht="13" customHeight="1">
      <c r="A13" s="242"/>
      <c r="B13" s="23" t="str">
        <f>IF('Summary | Sumário'!D$6=Names!B$3,Names!Q21,Names!R21)</f>
        <v>Interbank deposits</v>
      </c>
      <c r="C13" s="201">
        <v>332242</v>
      </c>
      <c r="D13" s="201">
        <v>0</v>
      </c>
      <c r="E13" s="201">
        <f t="shared" si="0"/>
        <v>139477</v>
      </c>
      <c r="F13" s="201">
        <f t="shared" si="1"/>
        <v>732528</v>
      </c>
      <c r="G13" s="201">
        <f t="shared" si="2"/>
        <v>1647866</v>
      </c>
      <c r="H13" s="201">
        <f t="shared" si="3"/>
        <v>517072.46799999999</v>
      </c>
      <c r="I13" s="206"/>
      <c r="J13" s="201">
        <v>50198.8105</v>
      </c>
      <c r="K13" s="201">
        <v>175812.06864999997</v>
      </c>
      <c r="L13" s="201">
        <v>291479.81900000002</v>
      </c>
      <c r="M13" s="201">
        <v>139477</v>
      </c>
      <c r="N13" s="201">
        <v>497391</v>
      </c>
      <c r="O13" s="201">
        <v>314715</v>
      </c>
      <c r="P13" s="201">
        <v>931648</v>
      </c>
      <c r="Q13" s="201">
        <v>732528</v>
      </c>
      <c r="R13" s="201">
        <v>791201</v>
      </c>
      <c r="S13" s="201">
        <v>593250</v>
      </c>
      <c r="T13" s="201">
        <v>1356437.0376300002</v>
      </c>
      <c r="U13" s="201">
        <v>1647866</v>
      </c>
      <c r="V13" s="201">
        <v>1681142.3015000001</v>
      </c>
      <c r="W13" s="201">
        <v>1763695.0220000001</v>
      </c>
      <c r="X13" s="201">
        <v>199029.98919999998</v>
      </c>
      <c r="Y13" s="201">
        <v>517072.46799999999</v>
      </c>
      <c r="Z13" s="206"/>
      <c r="AA13" s="431">
        <f t="shared" si="4"/>
        <v>1.5979625988946196</v>
      </c>
      <c r="AB13" s="431">
        <f t="shared" si="5"/>
        <v>-0.68621692055057881</v>
      </c>
      <c r="AC13" s="250"/>
    </row>
    <row r="14" spans="1:32" ht="13" customHeight="1">
      <c r="A14" s="242"/>
      <c r="B14" s="16" t="str">
        <f>IF('Summary | Sumário'!D$6=Names!B$3,Names!Q22,Names!R22)</f>
        <v>Borrowing and onlending</v>
      </c>
      <c r="C14" s="206">
        <v>29800</v>
      </c>
      <c r="D14" s="206">
        <v>27405</v>
      </c>
      <c r="E14" s="206">
        <f t="shared" si="0"/>
        <v>25071</v>
      </c>
      <c r="F14" s="206">
        <f t="shared" si="1"/>
        <v>36448</v>
      </c>
      <c r="G14" s="206">
        <f t="shared" si="2"/>
        <v>107412</v>
      </c>
      <c r="H14" s="206">
        <f t="shared" si="3"/>
        <v>128924</v>
      </c>
      <c r="I14" s="206"/>
      <c r="J14" s="206">
        <v>27179</v>
      </c>
      <c r="K14" s="206">
        <v>26325</v>
      </c>
      <c r="L14" s="206">
        <v>25580</v>
      </c>
      <c r="M14" s="206">
        <v>25071</v>
      </c>
      <c r="N14" s="206">
        <v>33002</v>
      </c>
      <c r="O14" s="206">
        <v>31855</v>
      </c>
      <c r="P14" s="206">
        <v>33119</v>
      </c>
      <c r="Q14" s="206">
        <v>36448</v>
      </c>
      <c r="R14" s="206">
        <v>36632</v>
      </c>
      <c r="S14" s="206">
        <v>38753</v>
      </c>
      <c r="T14" s="206">
        <v>87649</v>
      </c>
      <c r="U14" s="206">
        <v>107412</v>
      </c>
      <c r="V14" s="206">
        <v>102019.6489</v>
      </c>
      <c r="W14" s="206">
        <v>101630.08100000001</v>
      </c>
      <c r="X14" s="206">
        <v>114824</v>
      </c>
      <c r="Y14" s="206">
        <v>128924</v>
      </c>
      <c r="Z14" s="206"/>
      <c r="AA14" s="430">
        <f t="shared" si="4"/>
        <v>0.12279662788267265</v>
      </c>
      <c r="AB14" s="430">
        <f t="shared" si="5"/>
        <v>0.20027557442371435</v>
      </c>
      <c r="AC14" s="250"/>
    </row>
    <row r="15" spans="1:32" ht="13" customHeight="1">
      <c r="A15" s="242"/>
      <c r="B15" s="349" t="str">
        <f>IF('Summary | Sumário'!D$6=Names!B$3,Names!Q9,Names!R9)</f>
        <v>Total funding</v>
      </c>
      <c r="C15" s="350">
        <f>C5+C10+C11+C14</f>
        <v>6974552</v>
      </c>
      <c r="D15" s="350">
        <f t="shared" ref="D15:T15" si="10">D5+D10+D11+D14</f>
        <v>14296347</v>
      </c>
      <c r="E15" s="350">
        <f t="shared" si="0"/>
        <v>23043717</v>
      </c>
      <c r="F15" s="350">
        <f t="shared" si="1"/>
        <v>32516818</v>
      </c>
      <c r="G15" s="350">
        <f t="shared" si="2"/>
        <v>43513032</v>
      </c>
      <c r="H15" s="350">
        <f t="shared" si="3"/>
        <v>55065296.396439999</v>
      </c>
      <c r="I15" s="414"/>
      <c r="J15" s="350">
        <f t="shared" si="10"/>
        <v>15339827.01338</v>
      </c>
      <c r="K15" s="350">
        <f t="shared" si="10"/>
        <v>18122573.474649996</v>
      </c>
      <c r="L15" s="350">
        <f t="shared" si="10"/>
        <v>21159883.519000001</v>
      </c>
      <c r="M15" s="350">
        <f t="shared" si="10"/>
        <v>23043717</v>
      </c>
      <c r="N15" s="350">
        <f t="shared" si="10"/>
        <v>24745659</v>
      </c>
      <c r="O15" s="350">
        <f t="shared" si="10"/>
        <v>27678137</v>
      </c>
      <c r="P15" s="350">
        <f t="shared" si="10"/>
        <v>30688589</v>
      </c>
      <c r="Q15" s="350">
        <f t="shared" si="10"/>
        <v>32516818</v>
      </c>
      <c r="R15" s="350">
        <f t="shared" si="10"/>
        <v>33532685</v>
      </c>
      <c r="S15" s="350">
        <f t="shared" si="10"/>
        <v>35665087.040739998</v>
      </c>
      <c r="T15" s="350">
        <f t="shared" si="10"/>
        <v>39571626.560479999</v>
      </c>
      <c r="U15" s="350">
        <f t="shared" ref="U15:V15" si="11">U5+U10+U11+U14</f>
        <v>43513032</v>
      </c>
      <c r="V15" s="350">
        <f t="shared" si="11"/>
        <v>43783581.005715944</v>
      </c>
      <c r="W15" s="350">
        <f t="shared" ref="W15:X15" si="12">W5+W10+W11+W14</f>
        <v>47759601.090000004</v>
      </c>
      <c r="X15" s="350">
        <f t="shared" si="12"/>
        <v>50267847.091739997</v>
      </c>
      <c r="Y15" s="350">
        <f t="shared" ref="Y15" si="13">Y5+Y10+Y11+Y14</f>
        <v>55065296.396439999</v>
      </c>
      <c r="Z15" s="414"/>
      <c r="AA15" s="432">
        <f t="shared" si="4"/>
        <v>9.5437731716350394E-2</v>
      </c>
      <c r="AB15" s="432">
        <f t="shared" si="5"/>
        <v>0.26548975939989661</v>
      </c>
      <c r="AC15" s="250"/>
    </row>
    <row r="16" spans="1:32" ht="13" customHeight="1">
      <c r="A16" s="242"/>
      <c r="E16" s="217"/>
      <c r="F16" s="217"/>
      <c r="G16" s="217"/>
      <c r="AC16" s="250"/>
    </row>
    <row r="17" spans="1:29" ht="13" customHeight="1">
      <c r="A17" s="242"/>
      <c r="B17" s="24" t="str">
        <f>IF('Summary | Sumário'!D$6=Names!B$3,Names!Q37,Names!R10)</f>
        <v>All-in cost of funding</v>
      </c>
      <c r="C17" s="204"/>
      <c r="D17" s="204"/>
      <c r="E17" s="204"/>
      <c r="F17" s="204"/>
      <c r="G17" s="204"/>
      <c r="H17" s="204"/>
      <c r="J17" s="204"/>
      <c r="K17" s="204"/>
      <c r="L17" s="204"/>
      <c r="M17" s="204"/>
      <c r="N17" s="204"/>
      <c r="O17" s="204"/>
      <c r="P17" s="204"/>
      <c r="Q17" s="204"/>
      <c r="R17" s="204"/>
      <c r="S17" s="204"/>
      <c r="T17" s="204"/>
      <c r="U17" s="204"/>
      <c r="V17" s="204"/>
      <c r="W17" s="204"/>
      <c r="X17" s="204"/>
      <c r="Y17" s="204"/>
      <c r="AA17" s="204"/>
      <c r="AB17" s="204"/>
      <c r="AC17" s="250"/>
    </row>
    <row r="18" spans="1:29" ht="13" customHeight="1">
      <c r="A18" s="242"/>
      <c r="B18" s="322" t="str">
        <f>IF('Summary | Sumário'!D$6=Names!B$3,Names!Q11,Names!R11)</f>
        <v>Annualized interest expenses</v>
      </c>
      <c r="C18" s="347">
        <f>C19</f>
        <v>256717</v>
      </c>
      <c r="D18" s="347">
        <f t="shared" ref="D18:F18" si="14">D19</f>
        <v>184335</v>
      </c>
      <c r="E18" s="347">
        <f t="shared" si="14"/>
        <v>543242</v>
      </c>
      <c r="F18" s="347">
        <f t="shared" si="14"/>
        <v>1972850</v>
      </c>
      <c r="G18" s="347">
        <f>G19</f>
        <v>2887573</v>
      </c>
      <c r="H18" s="347">
        <f>H19</f>
        <v>3311638.4190579997</v>
      </c>
      <c r="I18" s="206"/>
      <c r="J18" s="347">
        <f>J19*4</f>
        <v>262236</v>
      </c>
      <c r="K18" s="347">
        <f t="shared" ref="K18:Y18" si="15">K19*4</f>
        <v>345044</v>
      </c>
      <c r="L18" s="347">
        <f t="shared" si="15"/>
        <v>554348</v>
      </c>
      <c r="M18" s="347">
        <f t="shared" si="15"/>
        <v>1011340</v>
      </c>
      <c r="N18" s="347">
        <f t="shared" si="15"/>
        <v>1347084</v>
      </c>
      <c r="O18" s="347">
        <f t="shared" si="15"/>
        <v>1860164</v>
      </c>
      <c r="P18" s="347">
        <f t="shared" si="15"/>
        <v>2318712</v>
      </c>
      <c r="Q18" s="347">
        <f t="shared" si="15"/>
        <v>2365440</v>
      </c>
      <c r="R18" s="347">
        <f t="shared" si="15"/>
        <v>2691084</v>
      </c>
      <c r="S18" s="347">
        <f t="shared" si="15"/>
        <v>2768824</v>
      </c>
      <c r="T18" s="347">
        <f t="shared" si="15"/>
        <v>3081592</v>
      </c>
      <c r="U18" s="347">
        <f t="shared" si="15"/>
        <v>3008792.0200000005</v>
      </c>
      <c r="V18" s="347">
        <f t="shared" si="15"/>
        <v>3048987.5612000003</v>
      </c>
      <c r="W18" s="347">
        <f t="shared" si="15"/>
        <v>3090570.4360000002</v>
      </c>
      <c r="X18" s="347">
        <f t="shared" si="15"/>
        <v>3342466.872</v>
      </c>
      <c r="Y18" s="347">
        <f t="shared" si="15"/>
        <v>3764528.8070319993</v>
      </c>
      <c r="Z18" s="206"/>
      <c r="AA18" s="433">
        <f>Y18/X18-1</f>
        <v>0.12627258584599055</v>
      </c>
      <c r="AB18" s="433">
        <f>Y18/U18-1</f>
        <v>0.25117614710770164</v>
      </c>
      <c r="AC18" s="250"/>
    </row>
    <row r="19" spans="1:29" ht="13" customHeight="1">
      <c r="A19" s="242"/>
      <c r="B19" s="127" t="str">
        <f>IF('Summary | Sumário'!D$6=Names!B$3,Names!Q12,Names!R12)</f>
        <v>Interest expenses</v>
      </c>
      <c r="C19" s="201">
        <v>256717</v>
      </c>
      <c r="D19" s="201">
        <v>184335</v>
      </c>
      <c r="E19" s="201">
        <v>543242</v>
      </c>
      <c r="F19" s="201">
        <v>1972850</v>
      </c>
      <c r="G19" s="201">
        <v>2887573</v>
      </c>
      <c r="H19" s="201">
        <v>3311638.4190579997</v>
      </c>
      <c r="I19" s="206"/>
      <c r="J19" s="201">
        <v>65559</v>
      </c>
      <c r="K19" s="201">
        <v>86261</v>
      </c>
      <c r="L19" s="201">
        <v>138587</v>
      </c>
      <c r="M19" s="201">
        <v>252835</v>
      </c>
      <c r="N19" s="201">
        <v>336771</v>
      </c>
      <c r="O19" s="201">
        <v>465041</v>
      </c>
      <c r="P19" s="201">
        <v>579678</v>
      </c>
      <c r="Q19" s="201">
        <v>591360</v>
      </c>
      <c r="R19" s="201">
        <v>672771</v>
      </c>
      <c r="S19" s="201">
        <v>692206</v>
      </c>
      <c r="T19" s="201">
        <v>770398</v>
      </c>
      <c r="U19" s="201">
        <v>752198.00500000012</v>
      </c>
      <c r="V19" s="201">
        <v>762246.89030000009</v>
      </c>
      <c r="W19" s="201">
        <v>772642.60900000005</v>
      </c>
      <c r="X19" s="201">
        <v>835616.71799999999</v>
      </c>
      <c r="Y19" s="201">
        <v>941132.20175799984</v>
      </c>
      <c r="Z19" s="206"/>
      <c r="AA19" s="431">
        <f t="shared" ref="AA19:AA22" si="16">Y19/X19-1</f>
        <v>0.12627258584599055</v>
      </c>
      <c r="AB19" s="431">
        <f t="shared" ref="AB19:AB22" si="17">Y19/U19-1</f>
        <v>0.25117614710770164</v>
      </c>
      <c r="AC19" s="250"/>
    </row>
    <row r="20" spans="1:29" ht="13" customHeight="1">
      <c r="A20" s="242"/>
      <c r="B20" s="16" t="str">
        <f>IF('Summary | Sumário'!D$6=Names!B$3,Names!Q13,Names!R13)</f>
        <v>(÷) Average funding</v>
      </c>
      <c r="C20" s="251">
        <f>AVERAGE(C21:C22)</f>
        <v>6974552</v>
      </c>
      <c r="D20" s="251">
        <f t="shared" ref="D20:T20" si="18">AVERAGE(D21:D22)</f>
        <v>10635449.5</v>
      </c>
      <c r="E20" s="251">
        <f t="shared" si="18"/>
        <v>18670032</v>
      </c>
      <c r="F20" s="251">
        <f t="shared" si="18"/>
        <v>27780267.5</v>
      </c>
      <c r="G20" s="251">
        <f t="shared" si="18"/>
        <v>38014925</v>
      </c>
      <c r="H20" s="251">
        <f t="shared" si="18"/>
        <v>49289164.19822</v>
      </c>
      <c r="I20" s="251"/>
      <c r="J20" s="251">
        <f t="shared" si="18"/>
        <v>23928322.506689999</v>
      </c>
      <c r="K20" s="251">
        <f t="shared" si="18"/>
        <v>16731200.244014997</v>
      </c>
      <c r="L20" s="251">
        <f t="shared" si="18"/>
        <v>19641228.496824998</v>
      </c>
      <c r="M20" s="251">
        <f t="shared" si="18"/>
        <v>22101800.259500001</v>
      </c>
      <c r="N20" s="251">
        <f t="shared" si="18"/>
        <v>23894688</v>
      </c>
      <c r="O20" s="251">
        <f t="shared" si="18"/>
        <v>26211898</v>
      </c>
      <c r="P20" s="251">
        <f t="shared" si="18"/>
        <v>29183363</v>
      </c>
      <c r="Q20" s="251">
        <f t="shared" si="18"/>
        <v>31602703.5</v>
      </c>
      <c r="R20" s="251">
        <f t="shared" si="18"/>
        <v>33024751.5</v>
      </c>
      <c r="S20" s="251">
        <f t="shared" si="18"/>
        <v>34598886.020369999</v>
      </c>
      <c r="T20" s="251">
        <f t="shared" si="18"/>
        <v>37618356.800609998</v>
      </c>
      <c r="U20" s="251">
        <f t="shared" ref="U20:V20" si="19">AVERAGE(U21:U22)</f>
        <v>41542329.280239999</v>
      </c>
      <c r="V20" s="251">
        <f t="shared" si="19"/>
        <v>43648306.502857968</v>
      </c>
      <c r="W20" s="251">
        <f t="shared" ref="W20:X20" si="20">AVERAGE(W21:W22)</f>
        <v>45771591.04785797</v>
      </c>
      <c r="X20" s="251">
        <f t="shared" si="20"/>
        <v>49013724.09087</v>
      </c>
      <c r="Y20" s="251">
        <f t="shared" ref="Y20" si="21">AVERAGE(Y21:Y22)</f>
        <v>52666571.744089998</v>
      </c>
      <c r="Z20" s="251"/>
      <c r="AA20" s="434">
        <f t="shared" si="16"/>
        <v>7.4527037497655213E-2</v>
      </c>
      <c r="AB20" s="434">
        <f t="shared" si="17"/>
        <v>0.26778090339631855</v>
      </c>
      <c r="AC20" s="250"/>
    </row>
    <row r="21" spans="1:29" ht="13" customHeight="1">
      <c r="A21" s="242"/>
      <c r="B21" s="127" t="str">
        <f>IF('Summary | Sumário'!D$6=Names!B$3,Names!Q14,Names!R14)</f>
        <v>Total funding</v>
      </c>
      <c r="C21" s="252">
        <f>C15</f>
        <v>6974552</v>
      </c>
      <c r="D21" s="252">
        <f t="shared" ref="D21:T21" si="22">D15</f>
        <v>14296347</v>
      </c>
      <c r="E21" s="252">
        <f t="shared" si="22"/>
        <v>23043717</v>
      </c>
      <c r="F21" s="252">
        <f t="shared" si="22"/>
        <v>32516818</v>
      </c>
      <c r="G21" s="252">
        <f t="shared" si="22"/>
        <v>43513032</v>
      </c>
      <c r="H21" s="252">
        <f t="shared" si="22"/>
        <v>55065296.396439999</v>
      </c>
      <c r="I21" s="251"/>
      <c r="J21" s="252">
        <f t="shared" si="22"/>
        <v>15339827.01338</v>
      </c>
      <c r="K21" s="252">
        <f t="shared" si="22"/>
        <v>18122573.474649996</v>
      </c>
      <c r="L21" s="252">
        <f t="shared" si="22"/>
        <v>21159883.519000001</v>
      </c>
      <c r="M21" s="252">
        <f t="shared" si="22"/>
        <v>23043717</v>
      </c>
      <c r="N21" s="252">
        <f t="shared" si="22"/>
        <v>24745659</v>
      </c>
      <c r="O21" s="252">
        <f t="shared" si="22"/>
        <v>27678137</v>
      </c>
      <c r="P21" s="252">
        <f t="shared" si="22"/>
        <v>30688589</v>
      </c>
      <c r="Q21" s="252">
        <f t="shared" si="22"/>
        <v>32516818</v>
      </c>
      <c r="R21" s="252">
        <f t="shared" si="22"/>
        <v>33532685</v>
      </c>
      <c r="S21" s="252">
        <f t="shared" si="22"/>
        <v>35665087.040739998</v>
      </c>
      <c r="T21" s="252">
        <f t="shared" si="22"/>
        <v>39571626.560479999</v>
      </c>
      <c r="U21" s="252">
        <f t="shared" ref="U21:V21" si="23">U15</f>
        <v>43513032</v>
      </c>
      <c r="V21" s="252">
        <f t="shared" si="23"/>
        <v>43783581.005715944</v>
      </c>
      <c r="W21" s="252">
        <f t="shared" ref="W21:X21" si="24">W15</f>
        <v>47759601.090000004</v>
      </c>
      <c r="X21" s="252">
        <f t="shared" si="24"/>
        <v>50267847.091739997</v>
      </c>
      <c r="Y21" s="252">
        <f t="shared" ref="Y21" si="25">Y15</f>
        <v>55065296.396439999</v>
      </c>
      <c r="Z21" s="251"/>
      <c r="AA21" s="435">
        <f t="shared" si="16"/>
        <v>9.5437731716350394E-2</v>
      </c>
      <c r="AB21" s="435">
        <f t="shared" si="17"/>
        <v>0.26548975939989661</v>
      </c>
      <c r="AC21" s="250"/>
    </row>
    <row r="22" spans="1:29" ht="13" customHeight="1">
      <c r="A22" s="242"/>
      <c r="B22" s="124" t="str">
        <f>IF('Summary | Sumário'!D$6=Names!B$3,Names!Q15,Names!R15)</f>
        <v>Total funding in the previous period</v>
      </c>
      <c r="C22" s="251">
        <f>C15</f>
        <v>6974552</v>
      </c>
      <c r="D22" s="251">
        <f t="shared" ref="D22:S22" si="26">C15</f>
        <v>6974552</v>
      </c>
      <c r="E22" s="251">
        <f t="shared" si="26"/>
        <v>14296347</v>
      </c>
      <c r="F22" s="251">
        <f t="shared" si="26"/>
        <v>23043717</v>
      </c>
      <c r="G22" s="251">
        <f t="shared" si="26"/>
        <v>32516818</v>
      </c>
      <c r="H22" s="251">
        <f t="shared" si="26"/>
        <v>43513032</v>
      </c>
      <c r="I22" s="251"/>
      <c r="J22" s="251">
        <f>F15</f>
        <v>32516818</v>
      </c>
      <c r="K22" s="251">
        <f t="shared" si="26"/>
        <v>15339827.01338</v>
      </c>
      <c r="L22" s="251">
        <f t="shared" si="26"/>
        <v>18122573.474649996</v>
      </c>
      <c r="M22" s="251">
        <f t="shared" si="26"/>
        <v>21159883.519000001</v>
      </c>
      <c r="N22" s="251">
        <f t="shared" si="26"/>
        <v>23043717</v>
      </c>
      <c r="O22" s="251">
        <f t="shared" si="26"/>
        <v>24745659</v>
      </c>
      <c r="P22" s="251">
        <f t="shared" si="26"/>
        <v>27678137</v>
      </c>
      <c r="Q22" s="251">
        <f t="shared" si="26"/>
        <v>30688589</v>
      </c>
      <c r="R22" s="251">
        <f t="shared" si="26"/>
        <v>32516818</v>
      </c>
      <c r="S22" s="251">
        <f t="shared" si="26"/>
        <v>33532685</v>
      </c>
      <c r="T22" s="251">
        <f t="shared" ref="T22:Y22" si="27">S15</f>
        <v>35665087.040739998</v>
      </c>
      <c r="U22" s="251">
        <f t="shared" si="27"/>
        <v>39571626.560479999</v>
      </c>
      <c r="V22" s="251">
        <f t="shared" si="27"/>
        <v>43513032</v>
      </c>
      <c r="W22" s="251">
        <f t="shared" si="27"/>
        <v>43783581.005715944</v>
      </c>
      <c r="X22" s="251">
        <f t="shared" si="27"/>
        <v>47759601.090000004</v>
      </c>
      <c r="Y22" s="251">
        <f t="shared" si="27"/>
        <v>50267847.091739997</v>
      </c>
      <c r="Z22" s="251"/>
      <c r="AA22" s="434">
        <f t="shared" si="16"/>
        <v>5.2518152256199935E-2</v>
      </c>
      <c r="AB22" s="434">
        <f t="shared" si="17"/>
        <v>0.27030024947072206</v>
      </c>
      <c r="AC22" s="250"/>
    </row>
    <row r="23" spans="1:29" ht="13" customHeight="1">
      <c r="A23" s="242"/>
      <c r="B23" s="341" t="str">
        <f>IF('Summary | Sumário'!D$6=Names!B$3,Names!Q36,Names!R16)</f>
        <v>(=) All-in cost of funding (%)</v>
      </c>
      <c r="C23" s="351">
        <f>C18/C20</f>
        <v>3.6807668793637213E-2</v>
      </c>
      <c r="D23" s="351">
        <f t="shared" ref="D23:T23" si="28">D18/D20</f>
        <v>1.7332130625978714E-2</v>
      </c>
      <c r="E23" s="351">
        <f t="shared" si="28"/>
        <v>2.9097004225809575E-2</v>
      </c>
      <c r="F23" s="351">
        <f t="shared" si="28"/>
        <v>7.1016234814873541E-2</v>
      </c>
      <c r="G23" s="351">
        <f t="shared" si="28"/>
        <v>7.5958929288956908E-2</v>
      </c>
      <c r="H23" s="351">
        <f t="shared" si="28"/>
        <v>6.7187960537127431E-2</v>
      </c>
      <c r="I23" s="401"/>
      <c r="J23" s="351">
        <f t="shared" si="28"/>
        <v>1.0959230423556969E-2</v>
      </c>
      <c r="K23" s="351">
        <f t="shared" si="28"/>
        <v>2.0622788261913692E-2</v>
      </c>
      <c r="L23" s="351">
        <f t="shared" si="28"/>
        <v>2.8223692835181377E-2</v>
      </c>
      <c r="M23" s="351">
        <f t="shared" si="28"/>
        <v>4.5758263495540207E-2</v>
      </c>
      <c r="N23" s="351">
        <f t="shared" si="28"/>
        <v>5.637587734981097E-2</v>
      </c>
      <c r="O23" s="351">
        <f t="shared" si="28"/>
        <v>7.0966398541608855E-2</v>
      </c>
      <c r="P23" s="351">
        <f t="shared" si="28"/>
        <v>7.9453214490735696E-2</v>
      </c>
      <c r="Q23" s="351">
        <f t="shared" si="28"/>
        <v>7.48492925613152E-2</v>
      </c>
      <c r="R23" s="351">
        <f t="shared" si="28"/>
        <v>8.148688113519946E-2</v>
      </c>
      <c r="S23" s="351">
        <f t="shared" si="28"/>
        <v>8.0026391554047796E-2</v>
      </c>
      <c r="T23" s="351">
        <f t="shared" si="28"/>
        <v>8.1917240998416782E-2</v>
      </c>
      <c r="U23" s="351">
        <f t="shared" ref="U23:V23" si="29">U18/U20</f>
        <v>7.2427138105401342E-2</v>
      </c>
      <c r="V23" s="351">
        <f t="shared" si="29"/>
        <v>6.9853513354529828E-2</v>
      </c>
      <c r="W23" s="351">
        <f t="shared" ref="W23:X23" si="30">W18/W20</f>
        <v>6.7521586321274127E-2</v>
      </c>
      <c r="X23" s="351">
        <f t="shared" si="30"/>
        <v>6.8194509476634843E-2</v>
      </c>
      <c r="Y23" s="351">
        <f t="shared" ref="Y23" si="31">Y18/Y20</f>
        <v>7.1478523897930329E-2</v>
      </c>
      <c r="Z23" s="401"/>
      <c r="AA23" s="437">
        <f>(Y23-X23)*100</f>
        <v>0.32840144212954864</v>
      </c>
      <c r="AB23" s="437">
        <f>(Y23-U23)*100</f>
        <v>-9.4861420747101299E-2</v>
      </c>
      <c r="AC23" s="250"/>
    </row>
    <row r="24" spans="1:29" ht="13" customHeight="1">
      <c r="A24" s="242"/>
      <c r="B24" s="125" t="str">
        <f>IF('Summary | Sumário'!D$6=Names!B$3,Names!Q17,Names!R17)</f>
        <v>(÷) Average daily CDI rate in the period (%)</v>
      </c>
      <c r="C24" s="253">
        <v>5.9375494071146499E-2</v>
      </c>
      <c r="D24" s="253">
        <v>2.7735059760956016E-2</v>
      </c>
      <c r="E24" s="253">
        <v>4.4600000000000001E-2</v>
      </c>
      <c r="F24" s="253">
        <v>0.124527888446216</v>
      </c>
      <c r="G24" s="253">
        <v>0.1320823293</v>
      </c>
      <c r="H24" s="253">
        <v>0.10831818181818199</v>
      </c>
      <c r="I24" s="253"/>
      <c r="J24" s="253">
        <v>2.022950819672133E-2</v>
      </c>
      <c r="K24" s="253">
        <v>3.2427419354838741E-2</v>
      </c>
      <c r="L24" s="253">
        <v>4.8576923076923101E-2</v>
      </c>
      <c r="M24" s="253">
        <v>7.6261904761904697E-2</v>
      </c>
      <c r="N24" s="253">
        <v>0.10270967741935499</v>
      </c>
      <c r="O24" s="253">
        <v>0.123758064516129</v>
      </c>
      <c r="P24" s="253">
        <v>0.13465384615384601</v>
      </c>
      <c r="Q24" s="253">
        <v>0.13650000000000001</v>
      </c>
      <c r="R24" s="253">
        <v>0.13650000000000001</v>
      </c>
      <c r="S24" s="253">
        <v>0.13650000000000001</v>
      </c>
      <c r="T24" s="253">
        <v>0.13275000000000001</v>
      </c>
      <c r="U24" s="253">
        <v>0.1224016393</v>
      </c>
      <c r="V24" s="253">
        <v>0.11281147540983601</v>
      </c>
      <c r="W24" s="253">
        <v>0.10507142857142864</v>
      </c>
      <c r="X24" s="253">
        <v>0.10430303030303033</v>
      </c>
      <c r="Y24" s="253">
        <v>0.1114206349206348</v>
      </c>
      <c r="Z24" s="253"/>
      <c r="AA24" s="423">
        <f t="shared" ref="AA24:AA25" si="32">(Y24-X24)*100</f>
        <v>0.71176046176044672</v>
      </c>
      <c r="AB24" s="423">
        <f t="shared" ref="AB24:AB25" si="33">(Y24-U24)*100</f>
        <v>-1.0981004379365209</v>
      </c>
      <c r="AC24" s="250"/>
    </row>
    <row r="25" spans="1:29" ht="13" customHeight="1">
      <c r="A25" s="242"/>
      <c r="B25" s="341" t="str">
        <f>IF('Summary | Sumário'!D$6=Names!B$3,Names!Q35,Names!R18)</f>
        <v>(=) All-in cost of funding % of CDI</v>
      </c>
      <c r="C25" s="351">
        <f t="shared" ref="C25:T25" si="34">C23/C24</f>
        <v>0.61991347389097162</v>
      </c>
      <c r="D25" s="351">
        <f t="shared" si="34"/>
        <v>0.62491773139706708</v>
      </c>
      <c r="E25" s="351">
        <f t="shared" si="34"/>
        <v>0.65239919788810707</v>
      </c>
      <c r="F25" s="351">
        <f t="shared" si="34"/>
        <v>0.57028377900702687</v>
      </c>
      <c r="G25" s="351">
        <f t="shared" si="34"/>
        <v>0.57508774785785755</v>
      </c>
      <c r="H25" s="351">
        <f t="shared" si="34"/>
        <v>0.62028331171498152</v>
      </c>
      <c r="I25" s="401"/>
      <c r="J25" s="351">
        <f t="shared" si="34"/>
        <v>0.54174477782574915</v>
      </c>
      <c r="K25" s="351">
        <f t="shared" si="34"/>
        <v>0.63596760618684289</v>
      </c>
      <c r="L25" s="351">
        <f t="shared" si="34"/>
        <v>0.58101030381212626</v>
      </c>
      <c r="M25" s="351">
        <f t="shared" si="34"/>
        <v>0.60001469460277557</v>
      </c>
      <c r="N25" s="351">
        <f t="shared" si="34"/>
        <v>0.54888574052893768</v>
      </c>
      <c r="O25" s="351">
        <f t="shared" si="34"/>
        <v>0.57342847772445593</v>
      </c>
      <c r="P25" s="351">
        <f t="shared" si="34"/>
        <v>0.59005529184779504</v>
      </c>
      <c r="Q25" s="351">
        <f t="shared" si="34"/>
        <v>0.54834646565066081</v>
      </c>
      <c r="R25" s="351">
        <f t="shared" si="34"/>
        <v>0.59697348816995932</v>
      </c>
      <c r="S25" s="351">
        <f t="shared" si="34"/>
        <v>0.5862739307988849</v>
      </c>
      <c r="T25" s="351">
        <f t="shared" si="34"/>
        <v>0.61707902823666128</v>
      </c>
      <c r="U25" s="351">
        <f t="shared" ref="U25:V25" si="35">U23/U24</f>
        <v>0.59171705967014232</v>
      </c>
      <c r="V25" s="351">
        <f t="shared" si="35"/>
        <v>0.61920574215306567</v>
      </c>
      <c r="W25" s="351">
        <f t="shared" ref="W25:X25" si="36">W23/W24</f>
        <v>0.64262556661987569</v>
      </c>
      <c r="X25" s="351">
        <f t="shared" si="36"/>
        <v>0.65381139242560993</v>
      </c>
      <c r="Y25" s="351">
        <f t="shared" ref="Y25" si="37">Y23/Y24</f>
        <v>0.64151962469828561</v>
      </c>
      <c r="Z25" s="401"/>
      <c r="AA25" s="437">
        <f t="shared" si="32"/>
        <v>-1.2291767727324321</v>
      </c>
      <c r="AB25" s="437">
        <f t="shared" si="33"/>
        <v>4.9802565028143286</v>
      </c>
      <c r="AC25" s="250"/>
    </row>
    <row r="26" spans="1:29" ht="13" customHeight="1">
      <c r="A26" s="242"/>
      <c r="AC26" s="250"/>
    </row>
    <row r="27" spans="1:29" ht="13" customHeight="1">
      <c r="A27" s="242"/>
      <c r="B27" s="24" t="str">
        <f>IF('Summary | Sumário'!D$6=Names!B$3,Names!Q33,Names!R33)</f>
        <v>Funding - excluding other interest bearing liabilities</v>
      </c>
      <c r="C27" s="305"/>
      <c r="D27" s="305"/>
      <c r="E27" s="305"/>
      <c r="F27" s="305"/>
      <c r="G27" s="305"/>
      <c r="H27" s="305"/>
      <c r="I27" s="210"/>
      <c r="J27" s="305"/>
      <c r="K27" s="305"/>
      <c r="L27" s="305"/>
      <c r="M27" s="305"/>
      <c r="N27" s="305"/>
      <c r="O27" s="305"/>
      <c r="P27" s="305"/>
      <c r="Q27" s="305"/>
      <c r="R27" s="305"/>
      <c r="S27" s="305"/>
      <c r="T27" s="305"/>
      <c r="U27" s="305"/>
      <c r="V27" s="305"/>
      <c r="W27" s="305"/>
      <c r="X27" s="305"/>
      <c r="Y27" s="305"/>
      <c r="Z27" s="210"/>
      <c r="AA27" s="305"/>
      <c r="AB27" s="305"/>
    </row>
    <row r="28" spans="1:29" ht="13" customHeight="1">
      <c r="A28" s="242"/>
      <c r="B28" s="322" t="str">
        <f>IF('Summary | Sumário'!D$6=Names!B$3,Names!Q3,Names!R3)</f>
        <v>Liabilities with customers</v>
      </c>
      <c r="C28" s="347">
        <v>4714439</v>
      </c>
      <c r="D28" s="347">
        <v>12436632</v>
      </c>
      <c r="E28" s="347">
        <f t="shared" ref="E28:E33" si="38">M28</f>
        <v>18333543</v>
      </c>
      <c r="F28" s="347">
        <f t="shared" ref="F28:F33" si="39">Q28</f>
        <v>23642804</v>
      </c>
      <c r="G28" s="347">
        <f t="shared" ref="G28:G33" si="40">U28</f>
        <v>32651620</v>
      </c>
      <c r="H28" s="347">
        <f>Y28</f>
        <v>42803229</v>
      </c>
      <c r="I28" s="206"/>
      <c r="J28" s="347">
        <v>13392679</v>
      </c>
      <c r="K28" s="347">
        <v>15629130.619999999</v>
      </c>
      <c r="L28" s="347">
        <v>17093473.298</v>
      </c>
      <c r="M28" s="347">
        <v>18333543</v>
      </c>
      <c r="N28" s="347">
        <v>18958118</v>
      </c>
      <c r="O28" s="347">
        <v>19746409</v>
      </c>
      <c r="P28" s="347">
        <v>21452026</v>
      </c>
      <c r="Q28" s="347">
        <v>23642804</v>
      </c>
      <c r="R28" s="347">
        <v>24182006</v>
      </c>
      <c r="S28" s="347">
        <v>26299326</v>
      </c>
      <c r="T28" s="347">
        <v>29063988</v>
      </c>
      <c r="U28" s="347">
        <v>32651620</v>
      </c>
      <c r="V28" s="347">
        <v>32643444.086135942</v>
      </c>
      <c r="W28" s="347">
        <v>35978318.071000002</v>
      </c>
      <c r="X28" s="347">
        <v>39129759</v>
      </c>
      <c r="Y28" s="347">
        <v>42803229</v>
      </c>
      <c r="Z28" s="206"/>
      <c r="AA28" s="433">
        <f>Y28/X28-1</f>
        <v>9.3879187960242749E-2</v>
      </c>
      <c r="AB28" s="433">
        <f>Y28/U28-1</f>
        <v>0.31090674827160192</v>
      </c>
    </row>
    <row r="29" spans="1:29" ht="13" customHeight="1">
      <c r="A29" s="242"/>
      <c r="B29" s="23" t="str">
        <f>IF('Summary | Sumário'!D$6=Names!B$3,Names!Q4,Names!R4)</f>
        <v>Demand deposits</v>
      </c>
      <c r="C29" s="252">
        <v>2094127</v>
      </c>
      <c r="D29" s="252">
        <v>6713351</v>
      </c>
      <c r="E29" s="252">
        <f t="shared" si="38"/>
        <v>9932809</v>
      </c>
      <c r="F29" s="252">
        <f t="shared" si="39"/>
        <v>11566826</v>
      </c>
      <c r="G29" s="252">
        <f t="shared" si="40"/>
        <v>2572536</v>
      </c>
      <c r="H29" s="252">
        <f t="shared" ref="H29:H34" si="41">Y29</f>
        <v>1415426.8934948002</v>
      </c>
      <c r="I29" s="251"/>
      <c r="J29" s="252">
        <v>6984899</v>
      </c>
      <c r="K29" s="252">
        <v>8299742</v>
      </c>
      <c r="L29" s="252">
        <v>9163029</v>
      </c>
      <c r="M29" s="252">
        <v>9932809</v>
      </c>
      <c r="N29" s="252">
        <v>9620809</v>
      </c>
      <c r="O29" s="252">
        <v>9784611</v>
      </c>
      <c r="P29" s="252">
        <v>10418989</v>
      </c>
      <c r="Q29" s="252">
        <v>11566826</v>
      </c>
      <c r="R29" s="252">
        <v>11005662</v>
      </c>
      <c r="S29" s="252">
        <v>3109793</v>
      </c>
      <c r="T29" s="252">
        <v>1813779</v>
      </c>
      <c r="U29" s="252">
        <v>2572536</v>
      </c>
      <c r="V29" s="252">
        <v>1593427.4698459422</v>
      </c>
      <c r="W29" s="252">
        <v>1431720.5060000001</v>
      </c>
      <c r="X29" s="252">
        <v>1457541.7699500001</v>
      </c>
      <c r="Y29" s="252">
        <v>1415426.8934948002</v>
      </c>
      <c r="Z29" s="251"/>
      <c r="AA29" s="435">
        <f t="shared" ref="AA29:AA34" si="42">Y29/X29-1</f>
        <v>-2.889445594183182E-2</v>
      </c>
      <c r="AB29" s="435">
        <f t="shared" ref="AB29:AB34" si="43">Y29/U29-1</f>
        <v>-0.44979316382946621</v>
      </c>
    </row>
    <row r="30" spans="1:29" ht="13" customHeight="1">
      <c r="B30" s="17" t="str">
        <f>IF('Summary | Sumário'!D$6=Names!B$3,Names!Q5,Names!R5)</f>
        <v>Time deposits</v>
      </c>
      <c r="C30" s="251">
        <v>2259047</v>
      </c>
      <c r="D30" s="251">
        <v>4771204</v>
      </c>
      <c r="E30" s="251">
        <f t="shared" si="38"/>
        <v>6922061</v>
      </c>
      <c r="F30" s="251">
        <f t="shared" si="39"/>
        <v>10517060</v>
      </c>
      <c r="G30" s="251">
        <f t="shared" si="40"/>
        <v>28158459</v>
      </c>
      <c r="H30" s="251">
        <f t="shared" si="41"/>
        <v>39228574.976070002</v>
      </c>
      <c r="I30" s="251"/>
      <c r="J30" s="251">
        <v>5394450</v>
      </c>
      <c r="K30" s="251">
        <v>6119961</v>
      </c>
      <c r="L30" s="251">
        <v>6580559</v>
      </c>
      <c r="M30" s="251">
        <v>6922061</v>
      </c>
      <c r="N30" s="251">
        <v>7894003</v>
      </c>
      <c r="O30" s="251">
        <v>8579727</v>
      </c>
      <c r="P30" s="251">
        <v>9558462</v>
      </c>
      <c r="Q30" s="251">
        <v>10517060</v>
      </c>
      <c r="R30" s="251">
        <v>11687031</v>
      </c>
      <c r="S30" s="251">
        <v>21616586</v>
      </c>
      <c r="T30" s="251">
        <v>25572336</v>
      </c>
      <c r="U30" s="251">
        <v>28158459</v>
      </c>
      <c r="V30" s="251">
        <v>29169018.986099999</v>
      </c>
      <c r="W30" s="251">
        <v>32531468.234000001</v>
      </c>
      <c r="X30" s="251">
        <v>35665570.401489995</v>
      </c>
      <c r="Y30" s="251">
        <v>39228574.976070002</v>
      </c>
      <c r="Z30" s="251"/>
      <c r="AA30" s="434">
        <f t="shared" si="42"/>
        <v>9.9900395100120276E-2</v>
      </c>
      <c r="AB30" s="434">
        <f t="shared" si="43"/>
        <v>0.39313642753213163</v>
      </c>
    </row>
    <row r="31" spans="1:29" ht="13" customHeight="1">
      <c r="B31" s="23" t="str">
        <f>IF('Summary | Sumário'!D$6=Names!B$3,Names!Q6,Names!R6)</f>
        <v>Savings deposits</v>
      </c>
      <c r="C31" s="252">
        <v>307098</v>
      </c>
      <c r="D31" s="252">
        <v>887666</v>
      </c>
      <c r="E31" s="252">
        <f t="shared" si="38"/>
        <v>1230039</v>
      </c>
      <c r="F31" s="252">
        <f t="shared" si="39"/>
        <v>1307055</v>
      </c>
      <c r="G31" s="252">
        <f t="shared" si="40"/>
        <v>1540604</v>
      </c>
      <c r="H31" s="252">
        <f t="shared" si="41"/>
        <v>1883431.889</v>
      </c>
      <c r="I31" s="251"/>
      <c r="J31" s="252">
        <v>935359</v>
      </c>
      <c r="K31" s="252">
        <v>1049178</v>
      </c>
      <c r="L31" s="252">
        <v>1138085</v>
      </c>
      <c r="M31" s="252">
        <v>1230039</v>
      </c>
      <c r="N31" s="252">
        <v>1215061</v>
      </c>
      <c r="O31" s="252">
        <v>1182012</v>
      </c>
      <c r="P31" s="252">
        <v>1216043</v>
      </c>
      <c r="Q31" s="252">
        <v>1307055</v>
      </c>
      <c r="R31" s="252">
        <v>1274938</v>
      </c>
      <c r="S31" s="252">
        <v>1305803</v>
      </c>
      <c r="T31" s="252">
        <v>1350713</v>
      </c>
      <c r="U31" s="252">
        <v>1540604</v>
      </c>
      <c r="V31" s="252">
        <v>1549652.25122</v>
      </c>
      <c r="W31" s="252">
        <v>1715785.118</v>
      </c>
      <c r="X31" s="252">
        <v>1777366.3865499999</v>
      </c>
      <c r="Y31" s="252">
        <v>1883431.889</v>
      </c>
      <c r="Z31" s="251"/>
      <c r="AA31" s="435">
        <f t="shared" si="42"/>
        <v>5.9675654526065935E-2</v>
      </c>
      <c r="AB31" s="435">
        <f t="shared" si="43"/>
        <v>0.22252823502989738</v>
      </c>
    </row>
    <row r="32" spans="1:29" ht="13" customHeight="1">
      <c r="B32" s="17" t="str">
        <f>IF('Summary | Sumário'!D$6=Names!B$3,Names!Q7,Names!R7)</f>
        <v>Creditors by resources to release</v>
      </c>
      <c r="C32" s="251">
        <v>54167</v>
      </c>
      <c r="D32" s="251">
        <v>64410</v>
      </c>
      <c r="E32" s="251">
        <f t="shared" si="38"/>
        <v>248633</v>
      </c>
      <c r="F32" s="251">
        <f t="shared" si="39"/>
        <v>251863</v>
      </c>
      <c r="G32" s="251">
        <f t="shared" si="40"/>
        <v>380021</v>
      </c>
      <c r="H32" s="251">
        <f t="shared" si="41"/>
        <v>275795.36</v>
      </c>
      <c r="I32" s="251"/>
      <c r="J32" s="251">
        <v>77971</v>
      </c>
      <c r="K32" s="251">
        <v>160250</v>
      </c>
      <c r="L32" s="251">
        <v>211800</v>
      </c>
      <c r="M32" s="251">
        <v>248633</v>
      </c>
      <c r="N32" s="251">
        <v>228245</v>
      </c>
      <c r="O32" s="251">
        <v>200059</v>
      </c>
      <c r="P32" s="251">
        <v>258532</v>
      </c>
      <c r="Q32" s="251">
        <v>251863</v>
      </c>
      <c r="R32" s="251">
        <v>214375</v>
      </c>
      <c r="S32" s="251">
        <v>267144</v>
      </c>
      <c r="T32" s="251">
        <v>327160</v>
      </c>
      <c r="U32" s="251">
        <v>380021</v>
      </c>
      <c r="V32" s="251">
        <v>331346</v>
      </c>
      <c r="W32" s="251">
        <v>299344.21299999999</v>
      </c>
      <c r="X32" s="251">
        <v>229281.05566999997</v>
      </c>
      <c r="Y32" s="251">
        <v>275795.36</v>
      </c>
      <c r="Z32" s="251"/>
      <c r="AA32" s="434">
        <f t="shared" si="42"/>
        <v>0.20287024671129927</v>
      </c>
      <c r="AB32" s="434">
        <f t="shared" si="43"/>
        <v>-0.27426284336918227</v>
      </c>
    </row>
    <row r="33" spans="1:30" ht="13" customHeight="1">
      <c r="B33" s="22" t="str">
        <f>IF('Summary | Sumário'!D$6=Names!B$3,Names!Q8,Names!R8)</f>
        <v>Securities issued</v>
      </c>
      <c r="C33" s="252">
        <v>1719580</v>
      </c>
      <c r="D33" s="252">
        <v>1729436</v>
      </c>
      <c r="E33" s="252">
        <f t="shared" si="38"/>
        <v>3572093</v>
      </c>
      <c r="F33" s="252">
        <f t="shared" si="39"/>
        <v>6202165</v>
      </c>
      <c r="G33" s="252">
        <f t="shared" si="40"/>
        <v>8095042</v>
      </c>
      <c r="H33" s="252">
        <f t="shared" si="41"/>
        <v>9890219</v>
      </c>
      <c r="I33" s="251"/>
      <c r="J33" s="252">
        <v>1704892</v>
      </c>
      <c r="K33" s="252">
        <v>2081723</v>
      </c>
      <c r="L33" s="252">
        <v>3093320</v>
      </c>
      <c r="M33" s="252">
        <v>3572093</v>
      </c>
      <c r="N33" s="252">
        <v>4280956</v>
      </c>
      <c r="O33" s="252">
        <v>6104223</v>
      </c>
      <c r="P33" s="252">
        <v>6916919</v>
      </c>
      <c r="Q33" s="252">
        <v>6202165</v>
      </c>
      <c r="R33" s="252">
        <v>6640557</v>
      </c>
      <c r="S33" s="252">
        <v>7006191.0407400001</v>
      </c>
      <c r="T33" s="252">
        <v>7462564.5372699993</v>
      </c>
      <c r="U33" s="252">
        <v>8095042</v>
      </c>
      <c r="V33" s="252">
        <v>8249142.2142699994</v>
      </c>
      <c r="W33" s="252">
        <v>8543248.1730000004</v>
      </c>
      <c r="X33" s="252">
        <v>9047656</v>
      </c>
      <c r="Y33" s="252">
        <v>9890219</v>
      </c>
      <c r="Z33" s="251"/>
      <c r="AA33" s="435">
        <f t="shared" si="42"/>
        <v>9.3125003868405276E-2</v>
      </c>
      <c r="AB33" s="435">
        <f t="shared" si="43"/>
        <v>0.22176253069471419</v>
      </c>
    </row>
    <row r="34" spans="1:30" ht="13" customHeight="1">
      <c r="B34" s="342" t="str">
        <f>IF('Summary | Sumário'!D$6=Names!B$3,Names!Q9,Names!R9)</f>
        <v>Total funding</v>
      </c>
      <c r="C34" s="345">
        <f t="shared" ref="C34:T34" si="44">C28+C33</f>
        <v>6434019</v>
      </c>
      <c r="D34" s="345">
        <f t="shared" si="44"/>
        <v>14166068</v>
      </c>
      <c r="E34" s="345">
        <f t="shared" si="44"/>
        <v>21905636</v>
      </c>
      <c r="F34" s="345">
        <f t="shared" si="44"/>
        <v>29844969</v>
      </c>
      <c r="G34" s="345">
        <f t="shared" si="44"/>
        <v>40746662</v>
      </c>
      <c r="H34" s="345">
        <f t="shared" si="41"/>
        <v>52693448</v>
      </c>
      <c r="I34" s="165"/>
      <c r="J34" s="345">
        <f t="shared" si="44"/>
        <v>15097571</v>
      </c>
      <c r="K34" s="345">
        <f t="shared" si="44"/>
        <v>17710853.619999997</v>
      </c>
      <c r="L34" s="345">
        <f t="shared" si="44"/>
        <v>20186793.298</v>
      </c>
      <c r="M34" s="345">
        <f t="shared" si="44"/>
        <v>21905636</v>
      </c>
      <c r="N34" s="345">
        <f t="shared" si="44"/>
        <v>23239074</v>
      </c>
      <c r="O34" s="345">
        <f t="shared" si="44"/>
        <v>25850632</v>
      </c>
      <c r="P34" s="345">
        <f t="shared" si="44"/>
        <v>28368945</v>
      </c>
      <c r="Q34" s="345">
        <f t="shared" si="44"/>
        <v>29844969</v>
      </c>
      <c r="R34" s="345">
        <f t="shared" si="44"/>
        <v>30822563</v>
      </c>
      <c r="S34" s="345">
        <f t="shared" si="44"/>
        <v>33305517.040739998</v>
      </c>
      <c r="T34" s="345">
        <f t="shared" si="44"/>
        <v>36526552.537270002</v>
      </c>
      <c r="U34" s="345">
        <f t="shared" ref="U34:V34" si="45">U28+U33</f>
        <v>40746662</v>
      </c>
      <c r="V34" s="345">
        <f t="shared" si="45"/>
        <v>40892586.300405942</v>
      </c>
      <c r="W34" s="345">
        <f t="shared" ref="W34:X34" si="46">W28+W33</f>
        <v>44521566.244000003</v>
      </c>
      <c r="X34" s="345">
        <f t="shared" si="46"/>
        <v>48177415</v>
      </c>
      <c r="Y34" s="345">
        <f t="shared" ref="Y34" si="47">Y28+Y33</f>
        <v>52693448</v>
      </c>
      <c r="Z34" s="165"/>
      <c r="AA34" s="436">
        <f t="shared" si="42"/>
        <v>9.3737553166769016E-2</v>
      </c>
      <c r="AB34" s="436">
        <f t="shared" si="43"/>
        <v>0.29319667952187101</v>
      </c>
    </row>
    <row r="35" spans="1:30" ht="13" customHeight="1">
      <c r="B35" s="24"/>
      <c r="C35" s="254"/>
      <c r="D35" s="254"/>
      <c r="E35" s="254"/>
      <c r="F35" s="254"/>
      <c r="G35" s="254"/>
      <c r="H35" s="254"/>
      <c r="I35" s="165"/>
      <c r="J35" s="254"/>
      <c r="K35" s="254"/>
      <c r="L35" s="254"/>
      <c r="M35" s="254"/>
      <c r="N35" s="254"/>
      <c r="O35" s="254"/>
      <c r="P35" s="254"/>
      <c r="Q35" s="254"/>
      <c r="R35" s="254"/>
      <c r="S35" s="254"/>
      <c r="T35" s="254"/>
      <c r="U35" s="254"/>
      <c r="V35" s="254"/>
      <c r="W35" s="254"/>
      <c r="X35" s="254"/>
      <c r="Y35" s="254"/>
      <c r="Z35" s="165"/>
      <c r="AA35" s="254"/>
      <c r="AB35" s="254"/>
    </row>
    <row r="36" spans="1:30" s="163" customFormat="1" ht="13" customHeight="1">
      <c r="A36" s="161"/>
      <c r="B36" s="3" t="str">
        <f>IF('Summary | Sumário'!D$6=Names!B$3,Names!Q34,Names!R34)</f>
        <v>Cost of funding - excluding other interest bearing liabilities</v>
      </c>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row>
    <row r="37" spans="1:30" s="188" customFormat="1" ht="13" customHeight="1">
      <c r="A37" s="255"/>
      <c r="B37" s="314" t="str">
        <f>IF('Summary | Sumário'!D$6=Names!B$3,Names!Q11,Names!R11)</f>
        <v>Annualized interest expenses</v>
      </c>
      <c r="C37" s="344">
        <f>C38</f>
        <v>256717</v>
      </c>
      <c r="D37" s="344">
        <f t="shared" ref="D37:H37" si="48">D38</f>
        <v>184335</v>
      </c>
      <c r="E37" s="344">
        <f t="shared" si="48"/>
        <v>543242</v>
      </c>
      <c r="F37" s="344">
        <f t="shared" si="48"/>
        <v>1972850</v>
      </c>
      <c r="G37" s="344">
        <f t="shared" si="48"/>
        <v>2887573</v>
      </c>
      <c r="H37" s="344">
        <f t="shared" si="48"/>
        <v>3311638.4190579997</v>
      </c>
      <c r="I37" s="206"/>
      <c r="J37" s="344">
        <f>J38*4</f>
        <v>262236</v>
      </c>
      <c r="K37" s="344">
        <f t="shared" ref="K37:Y37" si="49">K38*4</f>
        <v>345044</v>
      </c>
      <c r="L37" s="344">
        <f t="shared" si="49"/>
        <v>554348</v>
      </c>
      <c r="M37" s="344">
        <f t="shared" si="49"/>
        <v>1011340</v>
      </c>
      <c r="N37" s="344">
        <f t="shared" si="49"/>
        <v>1347084</v>
      </c>
      <c r="O37" s="344">
        <f t="shared" si="49"/>
        <v>1860164</v>
      </c>
      <c r="P37" s="344">
        <f t="shared" si="49"/>
        <v>2318712</v>
      </c>
      <c r="Q37" s="344">
        <f t="shared" si="49"/>
        <v>2365440</v>
      </c>
      <c r="R37" s="344">
        <f t="shared" si="49"/>
        <v>2691084</v>
      </c>
      <c r="S37" s="344">
        <f t="shared" si="49"/>
        <v>2768824</v>
      </c>
      <c r="T37" s="344">
        <f t="shared" si="49"/>
        <v>3081592</v>
      </c>
      <c r="U37" s="344">
        <f t="shared" si="49"/>
        <v>3008792.0200000005</v>
      </c>
      <c r="V37" s="344">
        <f t="shared" si="49"/>
        <v>3048987.5612000003</v>
      </c>
      <c r="W37" s="344">
        <f t="shared" si="49"/>
        <v>3090570.4360000002</v>
      </c>
      <c r="X37" s="344">
        <f t="shared" si="49"/>
        <v>3342466.872</v>
      </c>
      <c r="Y37" s="344">
        <f t="shared" si="49"/>
        <v>3764528.8070319993</v>
      </c>
      <c r="Z37" s="206"/>
      <c r="AA37" s="429">
        <f>Y37/X37-1</f>
        <v>0.12627258584599055</v>
      </c>
      <c r="AB37" s="429">
        <f>Y37/U37-1</f>
        <v>0.25117614710770164</v>
      </c>
      <c r="AC37" s="212"/>
    </row>
    <row r="38" spans="1:30" ht="13" customHeight="1">
      <c r="B38" s="124" t="str">
        <f>IF('Summary | Sumário'!D$6=Names!B$3,Names!Q12,Names!R12)</f>
        <v>Interest expenses</v>
      </c>
      <c r="C38" s="206">
        <v>256717</v>
      </c>
      <c r="D38" s="206">
        <v>184335</v>
      </c>
      <c r="E38" s="206">
        <v>543242</v>
      </c>
      <c r="F38" s="206">
        <v>1972850</v>
      </c>
      <c r="G38" s="206">
        <v>2887573</v>
      </c>
      <c r="H38" s="206">
        <v>3311638.4190579997</v>
      </c>
      <c r="I38" s="206"/>
      <c r="J38" s="206">
        <v>65559</v>
      </c>
      <c r="K38" s="206">
        <v>86261</v>
      </c>
      <c r="L38" s="206">
        <v>138587</v>
      </c>
      <c r="M38" s="206">
        <v>252835</v>
      </c>
      <c r="N38" s="206">
        <v>336771</v>
      </c>
      <c r="O38" s="206">
        <v>465041</v>
      </c>
      <c r="P38" s="206">
        <v>579678</v>
      </c>
      <c r="Q38" s="206">
        <v>591360</v>
      </c>
      <c r="R38" s="206">
        <v>672771</v>
      </c>
      <c r="S38" s="206">
        <v>692206</v>
      </c>
      <c r="T38" s="206">
        <v>770398</v>
      </c>
      <c r="U38" s="206">
        <v>752198.00500000012</v>
      </c>
      <c r="V38" s="206">
        <v>762246.89030000009</v>
      </c>
      <c r="W38" s="206">
        <v>772642.60900000005</v>
      </c>
      <c r="X38" s="206">
        <v>835616.71799999999</v>
      </c>
      <c r="Y38" s="206">
        <v>941132.20175799984</v>
      </c>
      <c r="Z38" s="206"/>
      <c r="AA38" s="430">
        <f t="shared" ref="AA38:AA44" si="50">Y38/X38-1</f>
        <v>0.12627258584599055</v>
      </c>
      <c r="AB38" s="430">
        <f t="shared" ref="AB38:AB41" si="51">Y38/U38-1</f>
        <v>0.25117614710770164</v>
      </c>
    </row>
    <row r="39" spans="1:30" ht="13" customHeight="1">
      <c r="B39" s="22" t="str">
        <f>IF('Summary | Sumário'!D$6=Names!B$3,Names!Q13,Names!R13)</f>
        <v>(÷) Average funding</v>
      </c>
      <c r="C39" s="252">
        <f>AVERAGE(C40:C41)</f>
        <v>6434019</v>
      </c>
      <c r="D39" s="252">
        <f t="shared" ref="D39:R39" si="52">AVERAGE(D40:D41)</f>
        <v>10300043.5</v>
      </c>
      <c r="E39" s="252">
        <f t="shared" si="52"/>
        <v>18035852</v>
      </c>
      <c r="F39" s="252">
        <f t="shared" si="52"/>
        <v>25875302.5</v>
      </c>
      <c r="G39" s="252">
        <f t="shared" si="52"/>
        <v>35295815.5</v>
      </c>
      <c r="H39" s="252">
        <f t="shared" ref="H39" si="53">AVERAGE(H40:H41)</f>
        <v>46720055</v>
      </c>
      <c r="I39" s="251"/>
      <c r="J39" s="252">
        <f t="shared" si="52"/>
        <v>14631819.5</v>
      </c>
      <c r="K39" s="252">
        <f t="shared" si="52"/>
        <v>16404212.309999999</v>
      </c>
      <c r="L39" s="252">
        <f t="shared" si="52"/>
        <v>18948823.458999999</v>
      </c>
      <c r="M39" s="252">
        <f t="shared" si="52"/>
        <v>21046214.649</v>
      </c>
      <c r="N39" s="252">
        <f t="shared" si="52"/>
        <v>22572355</v>
      </c>
      <c r="O39" s="252">
        <f t="shared" si="52"/>
        <v>24544853</v>
      </c>
      <c r="P39" s="252">
        <f t="shared" si="52"/>
        <v>27109788.5</v>
      </c>
      <c r="Q39" s="252">
        <f t="shared" si="52"/>
        <v>29106957</v>
      </c>
      <c r="R39" s="252">
        <f t="shared" si="52"/>
        <v>30333766</v>
      </c>
      <c r="S39" s="252">
        <f t="shared" ref="S39:T39" si="54">AVERAGE(S40:S41)</f>
        <v>32064040.020369999</v>
      </c>
      <c r="T39" s="252">
        <f t="shared" si="54"/>
        <v>34916034.789004996</v>
      </c>
      <c r="U39" s="252">
        <f t="shared" ref="U39:V39" si="55">AVERAGE(U40:U41)</f>
        <v>38636607.268635005</v>
      </c>
      <c r="V39" s="252">
        <f t="shared" si="55"/>
        <v>40819624.150202975</v>
      </c>
      <c r="W39" s="252">
        <f t="shared" ref="W39:X39" si="56">AVERAGE(W40:W41)</f>
        <v>42707076.272202969</v>
      </c>
      <c r="X39" s="252">
        <f t="shared" si="56"/>
        <v>46349490.622000001</v>
      </c>
      <c r="Y39" s="252">
        <f t="shared" ref="Y39" si="57">AVERAGE(Y40:Y41)</f>
        <v>50435431.5</v>
      </c>
      <c r="Z39" s="251"/>
      <c r="AA39" s="435">
        <f t="shared" si="50"/>
        <v>8.8155033057916388E-2</v>
      </c>
      <c r="AB39" s="435">
        <f t="shared" si="51"/>
        <v>0.3053794073928231</v>
      </c>
    </row>
    <row r="40" spans="1:30" ht="13" customHeight="1">
      <c r="B40" s="124" t="str">
        <f>IF('Summary | Sumário'!D$6=Names!B$3,Names!Q14,Names!R14)</f>
        <v>Total funding</v>
      </c>
      <c r="C40" s="251">
        <f>C34</f>
        <v>6434019</v>
      </c>
      <c r="D40" s="251">
        <f t="shared" ref="D40:R40" si="58">D34</f>
        <v>14166068</v>
      </c>
      <c r="E40" s="251">
        <f t="shared" si="58"/>
        <v>21905636</v>
      </c>
      <c r="F40" s="251">
        <f t="shared" si="58"/>
        <v>29844969</v>
      </c>
      <c r="G40" s="251">
        <f t="shared" si="58"/>
        <v>40746662</v>
      </c>
      <c r="H40" s="251">
        <f t="shared" ref="H40" si="59">H34</f>
        <v>52693448</v>
      </c>
      <c r="I40" s="251"/>
      <c r="J40" s="251">
        <f t="shared" si="58"/>
        <v>15097571</v>
      </c>
      <c r="K40" s="251">
        <f t="shared" si="58"/>
        <v>17710853.619999997</v>
      </c>
      <c r="L40" s="251">
        <f t="shared" si="58"/>
        <v>20186793.298</v>
      </c>
      <c r="M40" s="251">
        <f t="shared" si="58"/>
        <v>21905636</v>
      </c>
      <c r="N40" s="251">
        <f t="shared" si="58"/>
        <v>23239074</v>
      </c>
      <c r="O40" s="251">
        <f t="shared" si="58"/>
        <v>25850632</v>
      </c>
      <c r="P40" s="251">
        <f t="shared" si="58"/>
        <v>28368945</v>
      </c>
      <c r="Q40" s="251">
        <f t="shared" si="58"/>
        <v>29844969</v>
      </c>
      <c r="R40" s="251">
        <f t="shared" si="58"/>
        <v>30822563</v>
      </c>
      <c r="S40" s="251">
        <f t="shared" ref="S40:T40" si="60">S34</f>
        <v>33305517.040739998</v>
      </c>
      <c r="T40" s="251">
        <f t="shared" si="60"/>
        <v>36526552.537270002</v>
      </c>
      <c r="U40" s="251">
        <f t="shared" ref="U40:V40" si="61">U34</f>
        <v>40746662</v>
      </c>
      <c r="V40" s="251">
        <f t="shared" si="61"/>
        <v>40892586.300405942</v>
      </c>
      <c r="W40" s="251">
        <f t="shared" ref="W40:X40" si="62">W34</f>
        <v>44521566.244000003</v>
      </c>
      <c r="X40" s="251">
        <f t="shared" si="62"/>
        <v>48177415</v>
      </c>
      <c r="Y40" s="251">
        <f t="shared" ref="Y40" si="63">Y34</f>
        <v>52693448</v>
      </c>
      <c r="Z40" s="251"/>
      <c r="AA40" s="434">
        <f t="shared" si="50"/>
        <v>9.3737553166769016E-2</v>
      </c>
      <c r="AB40" s="434">
        <f t="shared" si="51"/>
        <v>0.29319667952187101</v>
      </c>
    </row>
    <row r="41" spans="1:30" ht="13" customHeight="1">
      <c r="B41" s="127" t="str">
        <f>IF('Summary | Sumário'!D$6=Names!B$3,Names!Q15,Names!R15)</f>
        <v>Total funding in the previous period</v>
      </c>
      <c r="C41" s="252">
        <f>C34</f>
        <v>6434019</v>
      </c>
      <c r="D41" s="252">
        <f>C40</f>
        <v>6434019</v>
      </c>
      <c r="E41" s="252">
        <f t="shared" ref="E41:H41" si="64">D40</f>
        <v>14166068</v>
      </c>
      <c r="F41" s="252">
        <f t="shared" si="64"/>
        <v>21905636</v>
      </c>
      <c r="G41" s="252">
        <f t="shared" si="64"/>
        <v>29844969</v>
      </c>
      <c r="H41" s="252">
        <f t="shared" si="64"/>
        <v>40746662</v>
      </c>
      <c r="I41" s="251"/>
      <c r="J41" s="252">
        <f>D40</f>
        <v>14166068</v>
      </c>
      <c r="K41" s="252">
        <f>J40</f>
        <v>15097571</v>
      </c>
      <c r="L41" s="252">
        <f t="shared" ref="L41:Y41" si="65">K40</f>
        <v>17710853.619999997</v>
      </c>
      <c r="M41" s="252">
        <f t="shared" si="65"/>
        <v>20186793.298</v>
      </c>
      <c r="N41" s="252">
        <f t="shared" si="65"/>
        <v>21905636</v>
      </c>
      <c r="O41" s="252">
        <f t="shared" si="65"/>
        <v>23239074</v>
      </c>
      <c r="P41" s="252">
        <f t="shared" si="65"/>
        <v>25850632</v>
      </c>
      <c r="Q41" s="252">
        <f t="shared" si="65"/>
        <v>28368945</v>
      </c>
      <c r="R41" s="252">
        <f t="shared" si="65"/>
        <v>29844969</v>
      </c>
      <c r="S41" s="252">
        <f t="shared" si="65"/>
        <v>30822563</v>
      </c>
      <c r="T41" s="252">
        <f t="shared" si="65"/>
        <v>33305517.040739998</v>
      </c>
      <c r="U41" s="252">
        <f t="shared" si="65"/>
        <v>36526552.537270002</v>
      </c>
      <c r="V41" s="252">
        <f t="shared" si="65"/>
        <v>40746662</v>
      </c>
      <c r="W41" s="252">
        <f t="shared" si="65"/>
        <v>40892586.300405942</v>
      </c>
      <c r="X41" s="252">
        <f t="shared" si="65"/>
        <v>44521566.244000003</v>
      </c>
      <c r="Y41" s="252">
        <f t="shared" si="65"/>
        <v>48177415</v>
      </c>
      <c r="Z41" s="251"/>
      <c r="AA41" s="435">
        <f t="shared" si="50"/>
        <v>8.2114109282772185E-2</v>
      </c>
      <c r="AB41" s="435">
        <f t="shared" si="51"/>
        <v>0.31896967146959732</v>
      </c>
    </row>
    <row r="42" spans="1:30" ht="13" customHeight="1">
      <c r="B42" s="342" t="str">
        <f>IF('Summary | Sumário'!D$6=Names!B$3,Names!Q16,Names!R16)</f>
        <v>Cost of funding (%)</v>
      </c>
      <c r="C42" s="352">
        <f>C37/C39</f>
        <v>3.9899944342719533E-2</v>
      </c>
      <c r="D42" s="352">
        <f t="shared" ref="D42:R42" si="66">D37/D39</f>
        <v>1.7896526359330422E-2</v>
      </c>
      <c r="E42" s="352">
        <f t="shared" ref="E42" si="67">E37/E39</f>
        <v>3.0120118528362286E-2</v>
      </c>
      <c r="F42" s="352">
        <f t="shared" ref="F42:G42" si="68">F37/F39</f>
        <v>7.6244519266972816E-2</v>
      </c>
      <c r="G42" s="352">
        <f t="shared" si="68"/>
        <v>8.1810632764668656E-2</v>
      </c>
      <c r="H42" s="352">
        <f t="shared" ref="H42" si="69">H37/H39</f>
        <v>7.0882588195968516E-2</v>
      </c>
      <c r="I42" s="401"/>
      <c r="J42" s="352">
        <f t="shared" si="66"/>
        <v>1.7922309662171544E-2</v>
      </c>
      <c r="K42" s="352">
        <f t="shared" si="66"/>
        <v>2.1033865782733217E-2</v>
      </c>
      <c r="L42" s="352">
        <f t="shared" si="66"/>
        <v>2.9255008956068192E-2</v>
      </c>
      <c r="M42" s="352">
        <f t="shared" si="66"/>
        <v>4.8053296845380851E-2</v>
      </c>
      <c r="N42" s="352">
        <f t="shared" si="66"/>
        <v>5.9678487246900024E-2</v>
      </c>
      <c r="O42" s="352">
        <f t="shared" si="66"/>
        <v>7.5786316585395724E-2</v>
      </c>
      <c r="P42" s="352">
        <f t="shared" si="66"/>
        <v>8.5530434883326373E-2</v>
      </c>
      <c r="Q42" s="352">
        <f t="shared" si="66"/>
        <v>8.1267169220059651E-2</v>
      </c>
      <c r="R42" s="352">
        <f t="shared" si="66"/>
        <v>8.8715789526430708E-2</v>
      </c>
      <c r="S42" s="352">
        <f t="shared" ref="S42:T42" si="70">S37/S39</f>
        <v>8.6352936131597599E-2</v>
      </c>
      <c r="T42" s="352">
        <f t="shared" si="70"/>
        <v>8.8257215305856798E-2</v>
      </c>
      <c r="U42" s="352">
        <f t="shared" ref="U42:V42" si="71">U37/U39</f>
        <v>7.7874125931407079E-2</v>
      </c>
      <c r="V42" s="352">
        <f t="shared" si="71"/>
        <v>7.469416058268237E-2</v>
      </c>
      <c r="W42" s="352">
        <f t="shared" ref="W42:X42" si="72">W37/W39</f>
        <v>7.2366706077034354E-2</v>
      </c>
      <c r="X42" s="352">
        <f t="shared" si="72"/>
        <v>7.2114425145666711E-2</v>
      </c>
      <c r="Y42" s="352">
        <f t="shared" ref="Y42" si="73">Y37/Y39</f>
        <v>7.4640559128199377E-2</v>
      </c>
      <c r="Z42" s="401"/>
      <c r="AA42" s="438">
        <f t="shared" si="50"/>
        <v>3.5029523946561669E-2</v>
      </c>
      <c r="AB42" s="438">
        <f>(Y42-U42)*100</f>
        <v>-0.3233566803207702</v>
      </c>
    </row>
    <row r="43" spans="1:30" ht="13" customHeight="1">
      <c r="B43" s="128" t="str">
        <f>IF('Summary | Sumário'!D$6=Names!B$3,Names!Q17,Names!R17)</f>
        <v>(÷) Average daily CDI rate in the period (%)</v>
      </c>
      <c r="C43" s="256">
        <v>5.9375494071146499E-2</v>
      </c>
      <c r="D43" s="256">
        <v>2.7735059760956016E-2</v>
      </c>
      <c r="E43" s="256">
        <v>4.4600000000000001E-2</v>
      </c>
      <c r="F43" s="256">
        <v>0.124527888446216</v>
      </c>
      <c r="G43" s="256">
        <v>0.1320823293</v>
      </c>
      <c r="H43" s="256">
        <v>0.10831818181818199</v>
      </c>
      <c r="I43" s="253"/>
      <c r="J43" s="256">
        <v>2.022950819672133E-2</v>
      </c>
      <c r="K43" s="256">
        <v>3.2427419354838741E-2</v>
      </c>
      <c r="L43" s="256">
        <v>4.8576923076923101E-2</v>
      </c>
      <c r="M43" s="256">
        <v>7.6261904761904697E-2</v>
      </c>
      <c r="N43" s="256">
        <v>0.10270967741935499</v>
      </c>
      <c r="O43" s="256">
        <v>0.123758064516129</v>
      </c>
      <c r="P43" s="256">
        <v>0.13465384615384601</v>
      </c>
      <c r="Q43" s="256">
        <v>0.13650000000000001</v>
      </c>
      <c r="R43" s="256">
        <v>0.13650000000000001</v>
      </c>
      <c r="S43" s="256">
        <v>0.13650000000000001</v>
      </c>
      <c r="T43" s="256">
        <v>0.13275000000000001</v>
      </c>
      <c r="U43" s="256">
        <v>0.1224016393</v>
      </c>
      <c r="V43" s="256">
        <v>0.11281147540983601</v>
      </c>
      <c r="W43" s="256">
        <v>0.10507142857142864</v>
      </c>
      <c r="X43" s="256">
        <v>0.10430303030303033</v>
      </c>
      <c r="Y43" s="256">
        <v>0.1114206349206348</v>
      </c>
      <c r="Z43" s="253"/>
      <c r="AA43" s="424">
        <f t="shared" si="50"/>
        <v>6.8239672394232231E-2</v>
      </c>
      <c r="AB43" s="424">
        <f t="shared" ref="AB43:AB44" si="74">(Y43-U43)*100</f>
        <v>-1.0981004379365209</v>
      </c>
    </row>
    <row r="44" spans="1:30" ht="13" customHeight="1">
      <c r="B44" s="342" t="str">
        <f>IF('Summary | Sumário'!D$6=Names!B$3,Names!Q18,Names!R18)</f>
        <v>Cost of funding % of CDI</v>
      </c>
      <c r="C44" s="352">
        <f t="shared" ref="C44:R44" si="75">C42/C43</f>
        <v>0.67199347082332572</v>
      </c>
      <c r="D44" s="352">
        <f t="shared" si="75"/>
        <v>0.64526727231084702</v>
      </c>
      <c r="E44" s="352">
        <f t="shared" si="75"/>
        <v>0.67533898045655349</v>
      </c>
      <c r="F44" s="352">
        <f t="shared" si="75"/>
        <v>0.61226862687793082</v>
      </c>
      <c r="G44" s="352">
        <f t="shared" si="75"/>
        <v>0.61939120242838308</v>
      </c>
      <c r="H44" s="352">
        <f t="shared" ref="H44" si="76">H42/H43</f>
        <v>0.65439233752048043</v>
      </c>
      <c r="I44" s="401"/>
      <c r="J44" s="352">
        <f t="shared" si="75"/>
        <v>0.88594885688206093</v>
      </c>
      <c r="K44" s="352">
        <f t="shared" si="75"/>
        <v>0.64864445587140429</v>
      </c>
      <c r="L44" s="352">
        <f t="shared" si="75"/>
        <v>0.6022408811225437</v>
      </c>
      <c r="M44" s="352">
        <f t="shared" si="75"/>
        <v>0.63010879410115439</v>
      </c>
      <c r="N44" s="352">
        <f t="shared" si="75"/>
        <v>0.58104054794406346</v>
      </c>
      <c r="O44" s="352">
        <f t="shared" si="75"/>
        <v>0.61237477235690552</v>
      </c>
      <c r="P44" s="352">
        <f t="shared" si="75"/>
        <v>0.63518746271536364</v>
      </c>
      <c r="Q44" s="352">
        <f t="shared" si="75"/>
        <v>0.59536387707003402</v>
      </c>
      <c r="R44" s="352">
        <f t="shared" si="75"/>
        <v>0.64993252400315527</v>
      </c>
      <c r="S44" s="352">
        <f t="shared" ref="S44:T44" si="77">S42/S43</f>
        <v>0.6326222427223267</v>
      </c>
      <c r="T44" s="352">
        <f t="shared" si="77"/>
        <v>0.66483778008178374</v>
      </c>
      <c r="U44" s="352">
        <f t="shared" ref="U44:V44" si="78">U42/U43</f>
        <v>0.63621799819642677</v>
      </c>
      <c r="V44" s="352">
        <f t="shared" si="78"/>
        <v>0.6621149161583415</v>
      </c>
      <c r="W44" s="352">
        <f t="shared" ref="W44:X44" si="79">W42/W43</f>
        <v>0.68873819515872214</v>
      </c>
      <c r="X44" s="352">
        <f t="shared" si="79"/>
        <v>0.69139338460400956</v>
      </c>
      <c r="Y44" s="352">
        <f t="shared" ref="Y44" si="80">Y42/Y43</f>
        <v>0.66989888525914465</v>
      </c>
      <c r="Z44" s="401"/>
      <c r="AA44" s="438">
        <f t="shared" si="50"/>
        <v>-3.1088667932765546E-2</v>
      </c>
      <c r="AB44" s="438">
        <f t="shared" si="74"/>
        <v>3.3680887062717879</v>
      </c>
    </row>
    <row r="45" spans="1:30" ht="13" customHeight="1">
      <c r="B45" s="51"/>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row>
    <row r="46" spans="1:30" ht="13" customHeight="1">
      <c r="B46" s="62" t="str">
        <f>IF('Summary | Sumário'!D6=Names!B3,Names!AT4,Names!AU4)</f>
        <v>Source: CDI Rate according to CETIP</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row>
    <row r="47" spans="1:30" ht="13" customHeight="1">
      <c r="B47" s="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row>
    <row r="48" spans="1:30" ht="13" customHeight="1">
      <c r="B48" s="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D48" s="169"/>
    </row>
    <row r="49" spans="1:31" ht="13" customHeight="1">
      <c r="A49" s="242"/>
      <c r="B49" s="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169"/>
      <c r="AD49" s="169"/>
      <c r="AE49" s="238"/>
    </row>
    <row r="50" spans="1:31" ht="13" customHeight="1">
      <c r="A50" s="242"/>
      <c r="B50" s="49"/>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169"/>
      <c r="AD50" s="169"/>
      <c r="AE50" s="238"/>
    </row>
    <row r="51" spans="1:31" ht="13" customHeight="1">
      <c r="A51" s="242"/>
      <c r="B51" s="49"/>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169"/>
      <c r="AD51" s="169"/>
    </row>
    <row r="52" spans="1:31" ht="13" customHeight="1">
      <c r="A52" s="242"/>
      <c r="B52" s="50"/>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169"/>
      <c r="AD52" s="169"/>
    </row>
    <row r="53" spans="1:31" ht="13" customHeight="1">
      <c r="A53" s="242"/>
      <c r="AC53" s="169"/>
      <c r="AD53" s="169"/>
    </row>
    <row r="54" spans="1:31" ht="13" customHeight="1">
      <c r="A54" s="242"/>
      <c r="B54" s="51"/>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row>
    <row r="55" spans="1:31" ht="13" customHeight="1">
      <c r="A55" s="242"/>
      <c r="B55" s="51"/>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row>
    <row r="56" spans="1:31" ht="13" customHeight="1">
      <c r="A56" s="242"/>
      <c r="B56" s="51"/>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row>
    <row r="57" spans="1:31" ht="13" customHeight="1">
      <c r="A57" s="242"/>
      <c r="AC57" s="212"/>
    </row>
    <row r="58" spans="1:31" ht="13" customHeight="1">
      <c r="AC58" s="212"/>
    </row>
  </sheetData>
  <sheetProtection algorithmName="SHA-512" hashValue="8+u024KSyQQ72EpExn+7ZCiR5MJVLlMX2ue6cZEUxBHzpUWC4UgEg+7ttiWAEYHbYjZD4zJM8M4PtzOjtWY+rQ==" saltValue="B1uAf2PueJIpUqKMVgPG9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11:R11 Z2:AB4 J15:X18 J2:X4 B2:G4 Z16:AB17 Z5 Z6:Z15 Z24:Z25 Z18 Z19:Z22 Z23 B20:G23 B18:F18 B11:G11 B5 E5:G5 B6 E6:G6 B7 E7:G7 B8 E8:G8 B9 E9:G9 B10 E10:G10 B15:G17 B12 E12:G12 B13 E13:G13 B14 E14:G14 B19 J20:X23 B25:G25 B24 J25:X25" unlockedFormula="1"/>
    <ignoredError sqref="S11:X11" formula="1"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192-E1BC-0E44-928B-4A788C5D6993}">
  <sheetPr>
    <tabColor rgb="FFEB7100"/>
  </sheetPr>
  <dimension ref="A1:XFC4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3"/>
    <col min="9" max="9" width="2.83203125" style="133" customWidth="1"/>
    <col min="10" max="25" width="10.83203125" style="133"/>
    <col min="26" max="26" width="5.83203125" style="133" customWidth="1"/>
    <col min="27" max="16384" width="10.83203125" style="133"/>
  </cols>
  <sheetData>
    <row r="1" spans="1:1017 1030:2044 2057:3071 3084:4085 4098:5112 5125:6139 6152:7166 7179:8180 8193:9207 9220:10234 10247:11261 11274:12288 12301:13302 13315:14329 14342:15356 15369:16383" ht="13" customHeight="1">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row>
    <row r="2" spans="1:1017 1030:2044 2057:3071 3084:4085 4098:5112 5125:6139 6152:7166 7179:8180 8193:9207 9220:10234 10247:11261 11274:12288 12301:13302 13315:14329 14342:15356 15369:16383" s="10" customFormat="1" ht="13" customHeight="1">
      <c r="B2" s="310" t="str">
        <f>IF('Summary | Sumário'!D$6=Names!B$3,Names!S1,Names!T1)</f>
        <v>Fee Revenues (IFRS,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388">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2"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1:1017 1030:2044 2057:3071 3084:4085 4098:5112 5125:6139 6152:7166 7179:8180 8193:9207 9220:10234 10247:11261 11274:12288 12301:13302 13315:14329 14342:15356 15369:16383" ht="13" customHeight="1">
      <c r="B3" s="14"/>
      <c r="C3" s="144"/>
      <c r="D3" s="144"/>
      <c r="E3" s="144"/>
      <c r="F3" s="144"/>
      <c r="G3" s="144"/>
      <c r="H3" s="145"/>
      <c r="I3" s="145"/>
      <c r="J3" s="145"/>
      <c r="K3" s="145"/>
      <c r="L3" s="145"/>
      <c r="M3" s="145"/>
      <c r="N3" s="145"/>
      <c r="O3" s="145"/>
      <c r="P3" s="145"/>
      <c r="Q3" s="145"/>
      <c r="R3" s="145"/>
      <c r="S3" s="145"/>
      <c r="T3" s="145"/>
      <c r="U3" s="145"/>
      <c r="V3" s="145"/>
      <c r="W3" s="145"/>
      <c r="X3" s="145"/>
      <c r="Y3" s="145"/>
      <c r="Z3" s="145"/>
      <c r="AA3" s="145"/>
      <c r="AB3" s="145"/>
    </row>
    <row r="4" spans="1:1017 1030:2044 2057:3071 3084:4085 4098:5112 5125:6139 6152:7166 7179:8180 8193:9207 9220:10234 10247:11261 11274:12288 12301:13302 13315:14329 14342:15356 15369:16383" s="243" customFormat="1" ht="13" customHeight="1">
      <c r="A4" s="242"/>
      <c r="B4" s="313" t="str">
        <f>IF('Summary | Sumário'!D$6=Names!B$3,Names!S3,Names!T3)</f>
        <v xml:space="preserve">Revenues from services and commissions </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133"/>
      <c r="AP4" s="244"/>
      <c r="BC4" s="244"/>
      <c r="BP4" s="244"/>
      <c r="CC4" s="244"/>
      <c r="CP4" s="244"/>
      <c r="DC4" s="244"/>
      <c r="DP4" s="244"/>
      <c r="EC4" s="244"/>
      <c r="EP4" s="244"/>
      <c r="FC4" s="244"/>
      <c r="FP4" s="244"/>
      <c r="GC4" s="244"/>
      <c r="GP4" s="244"/>
      <c r="HC4" s="244"/>
      <c r="HP4" s="244"/>
      <c r="IC4" s="244"/>
      <c r="IP4" s="244"/>
      <c r="JC4" s="244"/>
      <c r="JP4" s="244"/>
      <c r="KC4" s="244"/>
      <c r="KP4" s="244"/>
      <c r="LC4" s="244"/>
      <c r="LP4" s="244"/>
      <c r="MC4" s="244"/>
      <c r="MP4" s="244"/>
      <c r="NC4" s="244"/>
      <c r="NP4" s="244"/>
      <c r="OC4" s="244"/>
      <c r="OP4" s="244"/>
      <c r="PC4" s="244"/>
      <c r="PP4" s="244"/>
      <c r="QC4" s="244"/>
      <c r="QP4" s="244"/>
      <c r="RC4" s="244"/>
      <c r="RP4" s="244"/>
      <c r="SC4" s="244"/>
      <c r="SP4" s="244"/>
      <c r="TC4" s="244"/>
      <c r="TP4" s="244"/>
      <c r="UC4" s="244"/>
      <c r="UP4" s="244"/>
      <c r="VC4" s="244"/>
      <c r="VP4" s="244"/>
      <c r="WC4" s="244"/>
      <c r="WP4" s="244"/>
      <c r="XC4" s="244"/>
      <c r="XP4" s="244"/>
      <c r="YC4" s="244"/>
      <c r="YP4" s="244"/>
      <c r="ZC4" s="244"/>
      <c r="ZP4" s="244"/>
      <c r="AAC4" s="244"/>
      <c r="AAP4" s="244"/>
      <c r="ABC4" s="244"/>
      <c r="ABP4" s="244"/>
      <c r="ACC4" s="244"/>
      <c r="ACP4" s="244"/>
      <c r="ADC4" s="244"/>
      <c r="ADP4" s="244"/>
      <c r="AEC4" s="244"/>
      <c r="AEP4" s="244"/>
      <c r="AFC4" s="244"/>
      <c r="AFP4" s="244"/>
      <c r="AGC4" s="244"/>
      <c r="AGP4" s="244"/>
      <c r="AHC4" s="244"/>
      <c r="AHP4" s="244"/>
      <c r="AIC4" s="244"/>
      <c r="AIP4" s="244"/>
      <c r="AJC4" s="244"/>
      <c r="AJP4" s="244"/>
      <c r="AKC4" s="244"/>
      <c r="AKP4" s="244"/>
      <c r="ALC4" s="244"/>
      <c r="ALP4" s="244"/>
      <c r="AMC4" s="244"/>
      <c r="AMP4" s="244"/>
      <c r="ANC4" s="244"/>
      <c r="ANP4" s="244"/>
      <c r="AOC4" s="244"/>
      <c r="AOP4" s="244"/>
      <c r="APC4" s="244"/>
      <c r="APP4" s="244"/>
      <c r="AQC4" s="244"/>
      <c r="AQP4" s="244"/>
      <c r="ARC4" s="244"/>
      <c r="ARP4" s="244"/>
      <c r="ASC4" s="244"/>
      <c r="ASP4" s="244"/>
      <c r="ATC4" s="244"/>
      <c r="ATP4" s="244"/>
      <c r="AUC4" s="244"/>
      <c r="AUP4" s="244"/>
      <c r="AVC4" s="244"/>
      <c r="AVP4" s="244"/>
      <c r="AWC4" s="244"/>
      <c r="AWP4" s="244"/>
      <c r="AXC4" s="244"/>
      <c r="AXP4" s="244"/>
      <c r="AYC4" s="244"/>
      <c r="AYP4" s="244"/>
      <c r="AZC4" s="244"/>
      <c r="AZP4" s="244"/>
      <c r="BAC4" s="244"/>
      <c r="BAP4" s="244"/>
      <c r="BBC4" s="244"/>
      <c r="BBP4" s="244"/>
      <c r="BCC4" s="244"/>
      <c r="BCP4" s="244"/>
      <c r="BDC4" s="244"/>
      <c r="BDP4" s="244"/>
      <c r="BEC4" s="244"/>
      <c r="BEP4" s="244"/>
      <c r="BFC4" s="244"/>
      <c r="BFP4" s="244"/>
      <c r="BGC4" s="244"/>
      <c r="BGP4" s="244"/>
      <c r="BHC4" s="244"/>
      <c r="BHP4" s="244"/>
      <c r="BIC4" s="244"/>
      <c r="BIP4" s="244"/>
      <c r="BJC4" s="244"/>
      <c r="BJP4" s="244"/>
      <c r="BKC4" s="244"/>
      <c r="BKP4" s="244"/>
      <c r="BLC4" s="244"/>
      <c r="BLP4" s="244"/>
      <c r="BMC4" s="244"/>
      <c r="BMP4" s="244"/>
      <c r="BNC4" s="244"/>
      <c r="BNP4" s="244"/>
      <c r="BOC4" s="244"/>
      <c r="BOP4" s="244"/>
      <c r="BPC4" s="244"/>
      <c r="BPP4" s="244"/>
      <c r="BQC4" s="244"/>
      <c r="BQP4" s="244"/>
      <c r="BRC4" s="244"/>
      <c r="BRP4" s="244"/>
      <c r="BSC4" s="244"/>
      <c r="BSP4" s="244"/>
      <c r="BTC4" s="244"/>
      <c r="BTP4" s="244"/>
      <c r="BUC4" s="244"/>
      <c r="BUP4" s="244"/>
      <c r="BVC4" s="244"/>
      <c r="BVP4" s="244"/>
      <c r="BWC4" s="244"/>
      <c r="BWP4" s="244"/>
      <c r="BXC4" s="244"/>
      <c r="BXP4" s="244"/>
      <c r="BYC4" s="244"/>
      <c r="BYP4" s="244"/>
      <c r="BZC4" s="244"/>
      <c r="BZP4" s="244"/>
      <c r="CAC4" s="244"/>
      <c r="CAP4" s="244"/>
      <c r="CBC4" s="244"/>
      <c r="CBP4" s="244"/>
      <c r="CCC4" s="244"/>
      <c r="CCP4" s="244"/>
      <c r="CDC4" s="244"/>
      <c r="CDP4" s="244"/>
      <c r="CEC4" s="244"/>
      <c r="CEP4" s="244"/>
      <c r="CFC4" s="244"/>
      <c r="CFP4" s="244"/>
      <c r="CGC4" s="244"/>
      <c r="CGP4" s="244"/>
      <c r="CHC4" s="244"/>
      <c r="CHP4" s="244"/>
      <c r="CIC4" s="244"/>
      <c r="CIP4" s="244"/>
      <c r="CJC4" s="244"/>
      <c r="CJP4" s="244"/>
      <c r="CKC4" s="244"/>
      <c r="CKP4" s="244"/>
      <c r="CLC4" s="244"/>
      <c r="CLP4" s="244"/>
      <c r="CMC4" s="244"/>
      <c r="CMP4" s="244"/>
      <c r="CNC4" s="244"/>
      <c r="CNP4" s="244"/>
      <c r="COC4" s="244"/>
      <c r="COP4" s="244"/>
      <c r="CPC4" s="244"/>
      <c r="CPP4" s="244"/>
      <c r="CQC4" s="244"/>
      <c r="CQP4" s="244"/>
      <c r="CRC4" s="244"/>
      <c r="CRP4" s="244"/>
      <c r="CSC4" s="244"/>
      <c r="CSP4" s="244"/>
      <c r="CTC4" s="244"/>
      <c r="CTP4" s="244"/>
      <c r="CUC4" s="244"/>
      <c r="CUP4" s="244"/>
      <c r="CVC4" s="244"/>
      <c r="CVP4" s="244"/>
      <c r="CWC4" s="244"/>
      <c r="CWP4" s="244"/>
      <c r="CXC4" s="244"/>
      <c r="CXP4" s="244"/>
      <c r="CYC4" s="244"/>
      <c r="CYP4" s="244"/>
      <c r="CZC4" s="244"/>
      <c r="CZP4" s="244"/>
      <c r="DAC4" s="244"/>
      <c r="DAP4" s="244"/>
      <c r="DBC4" s="244"/>
      <c r="DBP4" s="244"/>
      <c r="DCC4" s="244"/>
      <c r="DCP4" s="244"/>
      <c r="DDC4" s="244"/>
      <c r="DDP4" s="244"/>
      <c r="DEC4" s="244"/>
      <c r="DEP4" s="244"/>
      <c r="DFC4" s="244"/>
      <c r="DFP4" s="244"/>
      <c r="DGC4" s="244"/>
      <c r="DGP4" s="244"/>
      <c r="DHC4" s="244"/>
      <c r="DHP4" s="244"/>
      <c r="DIC4" s="244"/>
      <c r="DIP4" s="244"/>
      <c r="DJC4" s="244"/>
      <c r="DJP4" s="244"/>
      <c r="DKC4" s="244"/>
      <c r="DKP4" s="244"/>
      <c r="DLC4" s="244"/>
      <c r="DLP4" s="244"/>
      <c r="DMC4" s="244"/>
      <c r="DMP4" s="244"/>
      <c r="DNC4" s="244"/>
      <c r="DNP4" s="244"/>
      <c r="DOC4" s="244"/>
      <c r="DOP4" s="244"/>
      <c r="DPC4" s="244"/>
      <c r="DPP4" s="244"/>
      <c r="DQC4" s="244"/>
      <c r="DQP4" s="244"/>
      <c r="DRC4" s="244"/>
      <c r="DRP4" s="244"/>
      <c r="DSC4" s="244"/>
      <c r="DSP4" s="244"/>
      <c r="DTC4" s="244"/>
      <c r="DTP4" s="244"/>
      <c r="DUC4" s="244"/>
      <c r="DUP4" s="244"/>
      <c r="DVC4" s="244"/>
      <c r="DVP4" s="244"/>
      <c r="DWC4" s="244"/>
      <c r="DWP4" s="244"/>
      <c r="DXC4" s="244"/>
      <c r="DXP4" s="244"/>
      <c r="DYC4" s="244"/>
      <c r="DYP4" s="244"/>
      <c r="DZC4" s="244"/>
      <c r="DZP4" s="244"/>
      <c r="EAC4" s="244"/>
      <c r="EAP4" s="244"/>
      <c r="EBC4" s="244"/>
      <c r="EBP4" s="244"/>
      <c r="ECC4" s="244"/>
      <c r="ECP4" s="244"/>
      <c r="EDC4" s="244"/>
      <c r="EDP4" s="244"/>
      <c r="EEC4" s="244"/>
      <c r="EEP4" s="244"/>
      <c r="EFC4" s="244"/>
      <c r="EFP4" s="244"/>
      <c r="EGC4" s="244"/>
      <c r="EGP4" s="244"/>
      <c r="EHC4" s="244"/>
      <c r="EHP4" s="244"/>
      <c r="EIC4" s="244"/>
      <c r="EIP4" s="244"/>
      <c r="EJC4" s="244"/>
      <c r="EJP4" s="244"/>
      <c r="EKC4" s="244"/>
      <c r="EKP4" s="244"/>
      <c r="ELC4" s="244"/>
      <c r="ELP4" s="244"/>
      <c r="EMC4" s="244"/>
      <c r="EMP4" s="244"/>
      <c r="ENC4" s="244"/>
      <c r="ENP4" s="244"/>
      <c r="EOC4" s="244"/>
      <c r="EOP4" s="244"/>
      <c r="EPC4" s="244"/>
      <c r="EPP4" s="244"/>
      <c r="EQC4" s="244"/>
      <c r="EQP4" s="244"/>
      <c r="ERC4" s="244"/>
      <c r="ERP4" s="244"/>
      <c r="ESC4" s="244"/>
      <c r="ESP4" s="244"/>
      <c r="ETC4" s="244"/>
      <c r="ETP4" s="244"/>
      <c r="EUC4" s="244"/>
      <c r="EUP4" s="244"/>
      <c r="EVC4" s="244"/>
      <c r="EVP4" s="244"/>
      <c r="EWC4" s="244"/>
      <c r="EWP4" s="244"/>
      <c r="EXC4" s="244"/>
      <c r="EXP4" s="244"/>
      <c r="EYC4" s="244"/>
      <c r="EYP4" s="244"/>
      <c r="EZC4" s="244"/>
      <c r="EZP4" s="244"/>
      <c r="FAC4" s="244"/>
      <c r="FAP4" s="244"/>
      <c r="FBC4" s="244"/>
      <c r="FBP4" s="244"/>
      <c r="FCC4" s="244"/>
      <c r="FCP4" s="244"/>
      <c r="FDC4" s="244"/>
      <c r="FDP4" s="244"/>
      <c r="FEC4" s="244"/>
      <c r="FEP4" s="244"/>
      <c r="FFC4" s="244"/>
      <c r="FFP4" s="244"/>
      <c r="FGC4" s="244"/>
      <c r="FGP4" s="244"/>
      <c r="FHC4" s="244"/>
      <c r="FHP4" s="244"/>
      <c r="FIC4" s="244"/>
      <c r="FIP4" s="244"/>
      <c r="FJC4" s="244"/>
      <c r="FJP4" s="244"/>
      <c r="FKC4" s="244"/>
      <c r="FKP4" s="244"/>
      <c r="FLC4" s="244"/>
      <c r="FLP4" s="244"/>
      <c r="FMC4" s="244"/>
      <c r="FMP4" s="244"/>
      <c r="FNC4" s="244"/>
      <c r="FNP4" s="244"/>
      <c r="FOC4" s="244"/>
      <c r="FOP4" s="244"/>
      <c r="FPC4" s="244"/>
      <c r="FPP4" s="244"/>
      <c r="FQC4" s="244"/>
      <c r="FQP4" s="244"/>
      <c r="FRC4" s="244"/>
      <c r="FRP4" s="244"/>
      <c r="FSC4" s="244"/>
      <c r="FSP4" s="244"/>
      <c r="FTC4" s="244"/>
      <c r="FTP4" s="244"/>
      <c r="FUC4" s="244"/>
      <c r="FUP4" s="244"/>
      <c r="FVC4" s="244"/>
      <c r="FVP4" s="244"/>
      <c r="FWC4" s="244"/>
      <c r="FWP4" s="244"/>
      <c r="FXC4" s="244"/>
      <c r="FXP4" s="244"/>
      <c r="FYC4" s="244"/>
      <c r="FYP4" s="244"/>
      <c r="FZC4" s="244"/>
      <c r="FZP4" s="244"/>
      <c r="GAC4" s="244"/>
      <c r="GAP4" s="244"/>
      <c r="GBC4" s="244"/>
      <c r="GBP4" s="244"/>
      <c r="GCC4" s="244"/>
      <c r="GCP4" s="244"/>
      <c r="GDC4" s="244"/>
      <c r="GDP4" s="244"/>
      <c r="GEC4" s="244"/>
      <c r="GEP4" s="244"/>
      <c r="GFC4" s="244"/>
      <c r="GFP4" s="244"/>
      <c r="GGC4" s="244"/>
      <c r="GGP4" s="244"/>
      <c r="GHC4" s="244"/>
      <c r="GHP4" s="244"/>
      <c r="GIC4" s="244"/>
      <c r="GIP4" s="244"/>
      <c r="GJC4" s="244"/>
      <c r="GJP4" s="244"/>
      <c r="GKC4" s="244"/>
      <c r="GKP4" s="244"/>
      <c r="GLC4" s="244"/>
      <c r="GLP4" s="244"/>
      <c r="GMC4" s="244"/>
      <c r="GMP4" s="244"/>
      <c r="GNC4" s="244"/>
      <c r="GNP4" s="244"/>
      <c r="GOC4" s="244"/>
      <c r="GOP4" s="244"/>
      <c r="GPC4" s="244"/>
      <c r="GPP4" s="244"/>
      <c r="GQC4" s="244"/>
      <c r="GQP4" s="244"/>
      <c r="GRC4" s="244"/>
      <c r="GRP4" s="244"/>
      <c r="GSC4" s="244"/>
      <c r="GSP4" s="244"/>
      <c r="GTC4" s="244"/>
      <c r="GTP4" s="244"/>
      <c r="GUC4" s="244"/>
      <c r="GUP4" s="244"/>
      <c r="GVC4" s="244"/>
      <c r="GVP4" s="244"/>
      <c r="GWC4" s="244"/>
      <c r="GWP4" s="244"/>
      <c r="GXC4" s="244"/>
      <c r="GXP4" s="244"/>
      <c r="GYC4" s="244"/>
      <c r="GYP4" s="244"/>
      <c r="GZC4" s="244"/>
      <c r="GZP4" s="244"/>
      <c r="HAC4" s="244"/>
      <c r="HAP4" s="244"/>
      <c r="HBC4" s="244"/>
      <c r="HBP4" s="244"/>
      <c r="HCC4" s="244"/>
      <c r="HCP4" s="244"/>
      <c r="HDC4" s="244"/>
      <c r="HDP4" s="244"/>
      <c r="HEC4" s="244"/>
      <c r="HEP4" s="244"/>
      <c r="HFC4" s="244"/>
      <c r="HFP4" s="244"/>
      <c r="HGC4" s="244"/>
      <c r="HGP4" s="244"/>
      <c r="HHC4" s="244"/>
      <c r="HHP4" s="244"/>
      <c r="HIC4" s="244"/>
      <c r="HIP4" s="244"/>
      <c r="HJC4" s="244"/>
      <c r="HJP4" s="244"/>
      <c r="HKC4" s="244"/>
      <c r="HKP4" s="244"/>
      <c r="HLC4" s="244"/>
      <c r="HLP4" s="244"/>
      <c r="HMC4" s="244"/>
      <c r="HMP4" s="244"/>
      <c r="HNC4" s="244"/>
      <c r="HNP4" s="244"/>
      <c r="HOC4" s="244"/>
      <c r="HOP4" s="244"/>
      <c r="HPC4" s="244"/>
      <c r="HPP4" s="244"/>
      <c r="HQC4" s="244"/>
      <c r="HQP4" s="244"/>
      <c r="HRC4" s="244"/>
      <c r="HRP4" s="244"/>
      <c r="HSC4" s="244"/>
      <c r="HSP4" s="244"/>
      <c r="HTC4" s="244"/>
      <c r="HTP4" s="244"/>
      <c r="HUC4" s="244"/>
      <c r="HUP4" s="244"/>
      <c r="HVC4" s="244"/>
      <c r="HVP4" s="244"/>
      <c r="HWC4" s="244"/>
      <c r="HWP4" s="244"/>
      <c r="HXC4" s="244"/>
      <c r="HXP4" s="244"/>
      <c r="HYC4" s="244"/>
      <c r="HYP4" s="244"/>
      <c r="HZC4" s="244"/>
      <c r="HZP4" s="244"/>
      <c r="IAC4" s="244"/>
      <c r="IAP4" s="244"/>
      <c r="IBC4" s="244"/>
      <c r="IBP4" s="244"/>
      <c r="ICC4" s="244"/>
      <c r="ICP4" s="244"/>
      <c r="IDC4" s="244"/>
      <c r="IDP4" s="244"/>
      <c r="IEC4" s="244"/>
      <c r="IEP4" s="244"/>
      <c r="IFC4" s="244"/>
      <c r="IFP4" s="244"/>
      <c r="IGC4" s="244"/>
      <c r="IGP4" s="244"/>
      <c r="IHC4" s="244"/>
      <c r="IHP4" s="244"/>
      <c r="IIC4" s="244"/>
      <c r="IIP4" s="244"/>
      <c r="IJC4" s="244"/>
      <c r="IJP4" s="244"/>
      <c r="IKC4" s="244"/>
      <c r="IKP4" s="244"/>
      <c r="ILC4" s="244"/>
      <c r="ILP4" s="244"/>
      <c r="IMC4" s="244"/>
      <c r="IMP4" s="244"/>
      <c r="INC4" s="244"/>
      <c r="INP4" s="244"/>
      <c r="IOC4" s="244"/>
      <c r="IOP4" s="244"/>
      <c r="IPC4" s="244"/>
      <c r="IPP4" s="244"/>
      <c r="IQC4" s="244"/>
      <c r="IQP4" s="244"/>
      <c r="IRC4" s="244"/>
      <c r="IRP4" s="244"/>
      <c r="ISC4" s="244"/>
      <c r="ISP4" s="244"/>
      <c r="ITC4" s="244"/>
      <c r="ITP4" s="244"/>
      <c r="IUC4" s="244"/>
      <c r="IUP4" s="244"/>
      <c r="IVC4" s="244"/>
      <c r="IVP4" s="244"/>
      <c r="IWC4" s="244"/>
      <c r="IWP4" s="244"/>
      <c r="IXC4" s="244"/>
      <c r="IXP4" s="244"/>
      <c r="IYC4" s="244"/>
      <c r="IYP4" s="244"/>
      <c r="IZC4" s="244"/>
      <c r="IZP4" s="244"/>
      <c r="JAC4" s="244"/>
      <c r="JAP4" s="244"/>
      <c r="JBC4" s="244"/>
      <c r="JBP4" s="244"/>
      <c r="JCC4" s="244"/>
      <c r="JCP4" s="244"/>
      <c r="JDC4" s="244"/>
      <c r="JDP4" s="244"/>
      <c r="JEC4" s="244"/>
      <c r="JEP4" s="244"/>
      <c r="JFC4" s="244"/>
      <c r="JFP4" s="244"/>
      <c r="JGC4" s="244"/>
      <c r="JGP4" s="244"/>
      <c r="JHC4" s="244"/>
      <c r="JHP4" s="244"/>
      <c r="JIC4" s="244"/>
      <c r="JIP4" s="244"/>
      <c r="JJC4" s="244"/>
      <c r="JJP4" s="244"/>
      <c r="JKC4" s="244"/>
      <c r="JKP4" s="244"/>
      <c r="JLC4" s="244"/>
      <c r="JLP4" s="244"/>
      <c r="JMC4" s="244"/>
      <c r="JMP4" s="244"/>
      <c r="JNC4" s="244"/>
      <c r="JNP4" s="244"/>
      <c r="JOC4" s="244"/>
      <c r="JOP4" s="244"/>
      <c r="JPC4" s="244"/>
      <c r="JPP4" s="244"/>
      <c r="JQC4" s="244"/>
      <c r="JQP4" s="244"/>
      <c r="JRC4" s="244"/>
      <c r="JRP4" s="244"/>
      <c r="JSC4" s="244"/>
      <c r="JSP4" s="244"/>
      <c r="JTC4" s="244"/>
      <c r="JTP4" s="244"/>
      <c r="JUC4" s="244"/>
      <c r="JUP4" s="244"/>
      <c r="JVC4" s="244"/>
      <c r="JVP4" s="244"/>
      <c r="JWC4" s="244"/>
      <c r="JWP4" s="244"/>
      <c r="JXC4" s="244"/>
      <c r="JXP4" s="244"/>
      <c r="JYC4" s="244"/>
      <c r="JYP4" s="244"/>
      <c r="JZC4" s="244"/>
      <c r="JZP4" s="244"/>
      <c r="KAC4" s="244"/>
      <c r="KAP4" s="244"/>
      <c r="KBC4" s="244"/>
      <c r="KBP4" s="244"/>
      <c r="KCC4" s="244"/>
      <c r="KCP4" s="244"/>
      <c r="KDC4" s="244"/>
      <c r="KDP4" s="244"/>
      <c r="KEC4" s="244"/>
      <c r="KEP4" s="244"/>
      <c r="KFC4" s="244"/>
      <c r="KFP4" s="244"/>
      <c r="KGC4" s="244"/>
      <c r="KGP4" s="244"/>
      <c r="KHC4" s="244"/>
      <c r="KHP4" s="244"/>
      <c r="KIC4" s="244"/>
      <c r="KIP4" s="244"/>
      <c r="KJC4" s="244"/>
      <c r="KJP4" s="244"/>
      <c r="KKC4" s="244"/>
      <c r="KKP4" s="244"/>
      <c r="KLC4" s="244"/>
      <c r="KLP4" s="244"/>
      <c r="KMC4" s="244"/>
      <c r="KMP4" s="244"/>
      <c r="KNC4" s="244"/>
      <c r="KNP4" s="244"/>
      <c r="KOC4" s="244"/>
      <c r="KOP4" s="244"/>
      <c r="KPC4" s="244"/>
      <c r="KPP4" s="244"/>
      <c r="KQC4" s="244"/>
      <c r="KQP4" s="244"/>
      <c r="KRC4" s="244"/>
      <c r="KRP4" s="244"/>
      <c r="KSC4" s="244"/>
      <c r="KSP4" s="244"/>
      <c r="KTC4" s="244"/>
      <c r="KTP4" s="244"/>
      <c r="KUC4" s="244"/>
      <c r="KUP4" s="244"/>
      <c r="KVC4" s="244"/>
      <c r="KVP4" s="244"/>
      <c r="KWC4" s="244"/>
      <c r="KWP4" s="244"/>
      <c r="KXC4" s="244"/>
      <c r="KXP4" s="244"/>
      <c r="KYC4" s="244"/>
      <c r="KYP4" s="244"/>
      <c r="KZC4" s="244"/>
      <c r="KZP4" s="244"/>
      <c r="LAC4" s="244"/>
      <c r="LAP4" s="244"/>
      <c r="LBC4" s="244"/>
      <c r="LBP4" s="244"/>
      <c r="LCC4" s="244"/>
      <c r="LCP4" s="244"/>
      <c r="LDC4" s="244"/>
      <c r="LDP4" s="244"/>
      <c r="LEC4" s="244"/>
      <c r="LEP4" s="244"/>
      <c r="LFC4" s="244"/>
      <c r="LFP4" s="244"/>
      <c r="LGC4" s="244"/>
      <c r="LGP4" s="244"/>
      <c r="LHC4" s="244"/>
      <c r="LHP4" s="244"/>
      <c r="LIC4" s="244"/>
      <c r="LIP4" s="244"/>
      <c r="LJC4" s="244"/>
      <c r="LJP4" s="244"/>
      <c r="LKC4" s="244"/>
      <c r="LKP4" s="244"/>
      <c r="LLC4" s="244"/>
      <c r="LLP4" s="244"/>
      <c r="LMC4" s="244"/>
      <c r="LMP4" s="244"/>
      <c r="LNC4" s="244"/>
      <c r="LNP4" s="244"/>
      <c r="LOC4" s="244"/>
      <c r="LOP4" s="244"/>
      <c r="LPC4" s="244"/>
      <c r="LPP4" s="244"/>
      <c r="LQC4" s="244"/>
      <c r="LQP4" s="244"/>
      <c r="LRC4" s="244"/>
      <c r="LRP4" s="244"/>
      <c r="LSC4" s="244"/>
      <c r="LSP4" s="244"/>
      <c r="LTC4" s="244"/>
      <c r="LTP4" s="244"/>
      <c r="LUC4" s="244"/>
      <c r="LUP4" s="244"/>
      <c r="LVC4" s="244"/>
      <c r="LVP4" s="244"/>
      <c r="LWC4" s="244"/>
      <c r="LWP4" s="244"/>
      <c r="LXC4" s="244"/>
      <c r="LXP4" s="244"/>
      <c r="LYC4" s="244"/>
      <c r="LYP4" s="244"/>
      <c r="LZC4" s="244"/>
      <c r="LZP4" s="244"/>
      <c r="MAC4" s="244"/>
      <c r="MAP4" s="244"/>
      <c r="MBC4" s="244"/>
      <c r="MBP4" s="244"/>
      <c r="MCC4" s="244"/>
      <c r="MCP4" s="244"/>
      <c r="MDC4" s="244"/>
      <c r="MDP4" s="244"/>
      <c r="MEC4" s="244"/>
      <c r="MEP4" s="244"/>
      <c r="MFC4" s="244"/>
      <c r="MFP4" s="244"/>
      <c r="MGC4" s="244"/>
      <c r="MGP4" s="244"/>
      <c r="MHC4" s="244"/>
      <c r="MHP4" s="244"/>
      <c r="MIC4" s="244"/>
      <c r="MIP4" s="244"/>
      <c r="MJC4" s="244"/>
      <c r="MJP4" s="244"/>
      <c r="MKC4" s="244"/>
      <c r="MKP4" s="244"/>
      <c r="MLC4" s="244"/>
      <c r="MLP4" s="244"/>
      <c r="MMC4" s="244"/>
      <c r="MMP4" s="244"/>
      <c r="MNC4" s="244"/>
      <c r="MNP4" s="244"/>
      <c r="MOC4" s="244"/>
      <c r="MOP4" s="244"/>
      <c r="MPC4" s="244"/>
      <c r="MPP4" s="244"/>
      <c r="MQC4" s="244"/>
      <c r="MQP4" s="244"/>
      <c r="MRC4" s="244"/>
      <c r="MRP4" s="244"/>
      <c r="MSC4" s="244"/>
      <c r="MSP4" s="244"/>
      <c r="MTC4" s="244"/>
      <c r="MTP4" s="244"/>
      <c r="MUC4" s="244"/>
      <c r="MUP4" s="244"/>
      <c r="MVC4" s="244"/>
      <c r="MVP4" s="244"/>
      <c r="MWC4" s="244"/>
      <c r="MWP4" s="244"/>
      <c r="MXC4" s="244"/>
      <c r="MXP4" s="244"/>
      <c r="MYC4" s="244"/>
      <c r="MYP4" s="244"/>
      <c r="MZC4" s="244"/>
      <c r="MZP4" s="244"/>
      <c r="NAC4" s="244"/>
      <c r="NAP4" s="244"/>
      <c r="NBC4" s="244"/>
      <c r="NBP4" s="244"/>
      <c r="NCC4" s="244"/>
      <c r="NCP4" s="244"/>
      <c r="NDC4" s="244"/>
      <c r="NDP4" s="244"/>
      <c r="NEC4" s="244"/>
      <c r="NEP4" s="244"/>
      <c r="NFC4" s="244"/>
      <c r="NFP4" s="244"/>
      <c r="NGC4" s="244"/>
      <c r="NGP4" s="244"/>
      <c r="NHC4" s="244"/>
      <c r="NHP4" s="244"/>
      <c r="NIC4" s="244"/>
      <c r="NIP4" s="244"/>
      <c r="NJC4" s="244"/>
      <c r="NJP4" s="244"/>
      <c r="NKC4" s="244"/>
      <c r="NKP4" s="244"/>
      <c r="NLC4" s="244"/>
      <c r="NLP4" s="244"/>
      <c r="NMC4" s="244"/>
      <c r="NMP4" s="244"/>
      <c r="NNC4" s="244"/>
      <c r="NNP4" s="244"/>
      <c r="NOC4" s="244"/>
      <c r="NOP4" s="244"/>
      <c r="NPC4" s="244"/>
      <c r="NPP4" s="244"/>
      <c r="NQC4" s="244"/>
      <c r="NQP4" s="244"/>
      <c r="NRC4" s="244"/>
      <c r="NRP4" s="244"/>
      <c r="NSC4" s="244"/>
      <c r="NSP4" s="244"/>
      <c r="NTC4" s="244"/>
      <c r="NTP4" s="244"/>
      <c r="NUC4" s="244"/>
      <c r="NUP4" s="244"/>
      <c r="NVC4" s="244"/>
      <c r="NVP4" s="244"/>
      <c r="NWC4" s="244"/>
      <c r="NWP4" s="244"/>
      <c r="NXC4" s="244"/>
      <c r="NXP4" s="244"/>
      <c r="NYC4" s="244"/>
      <c r="NYP4" s="244"/>
      <c r="NZC4" s="244"/>
      <c r="NZP4" s="244"/>
      <c r="OAC4" s="244"/>
      <c r="OAP4" s="244"/>
      <c r="OBC4" s="244"/>
      <c r="OBP4" s="244"/>
      <c r="OCC4" s="244"/>
      <c r="OCP4" s="244"/>
      <c r="ODC4" s="244"/>
      <c r="ODP4" s="244"/>
      <c r="OEC4" s="244"/>
      <c r="OEP4" s="244"/>
      <c r="OFC4" s="244"/>
      <c r="OFP4" s="244"/>
      <c r="OGC4" s="244"/>
      <c r="OGP4" s="244"/>
      <c r="OHC4" s="244"/>
      <c r="OHP4" s="244"/>
      <c r="OIC4" s="244"/>
      <c r="OIP4" s="244"/>
      <c r="OJC4" s="244"/>
      <c r="OJP4" s="244"/>
      <c r="OKC4" s="244"/>
      <c r="OKP4" s="244"/>
      <c r="OLC4" s="244"/>
      <c r="OLP4" s="244"/>
      <c r="OMC4" s="244"/>
      <c r="OMP4" s="244"/>
      <c r="ONC4" s="244"/>
      <c r="ONP4" s="244"/>
      <c r="OOC4" s="244"/>
      <c r="OOP4" s="244"/>
      <c r="OPC4" s="244"/>
      <c r="OPP4" s="244"/>
      <c r="OQC4" s="244"/>
      <c r="OQP4" s="244"/>
      <c r="ORC4" s="244"/>
      <c r="ORP4" s="244"/>
      <c r="OSC4" s="244"/>
      <c r="OSP4" s="244"/>
      <c r="OTC4" s="244"/>
      <c r="OTP4" s="244"/>
      <c r="OUC4" s="244"/>
      <c r="OUP4" s="244"/>
      <c r="OVC4" s="244"/>
      <c r="OVP4" s="244"/>
      <c r="OWC4" s="244"/>
      <c r="OWP4" s="244"/>
      <c r="OXC4" s="244"/>
      <c r="OXP4" s="244"/>
      <c r="OYC4" s="244"/>
      <c r="OYP4" s="244"/>
      <c r="OZC4" s="244"/>
      <c r="OZP4" s="244"/>
      <c r="PAC4" s="244"/>
      <c r="PAP4" s="244"/>
      <c r="PBC4" s="244"/>
      <c r="PBP4" s="244"/>
      <c r="PCC4" s="244"/>
      <c r="PCP4" s="244"/>
      <c r="PDC4" s="244"/>
      <c r="PDP4" s="244"/>
      <c r="PEC4" s="244"/>
      <c r="PEP4" s="244"/>
      <c r="PFC4" s="244"/>
      <c r="PFP4" s="244"/>
      <c r="PGC4" s="244"/>
      <c r="PGP4" s="244"/>
      <c r="PHC4" s="244"/>
      <c r="PHP4" s="244"/>
      <c r="PIC4" s="244"/>
      <c r="PIP4" s="244"/>
      <c r="PJC4" s="244"/>
      <c r="PJP4" s="244"/>
      <c r="PKC4" s="244"/>
      <c r="PKP4" s="244"/>
      <c r="PLC4" s="244"/>
      <c r="PLP4" s="244"/>
      <c r="PMC4" s="244"/>
      <c r="PMP4" s="244"/>
      <c r="PNC4" s="244"/>
      <c r="PNP4" s="244"/>
      <c r="POC4" s="244"/>
      <c r="POP4" s="244"/>
      <c r="PPC4" s="244"/>
      <c r="PPP4" s="244"/>
      <c r="PQC4" s="244"/>
      <c r="PQP4" s="244"/>
      <c r="PRC4" s="244"/>
      <c r="PRP4" s="244"/>
      <c r="PSC4" s="244"/>
      <c r="PSP4" s="244"/>
      <c r="PTC4" s="244"/>
      <c r="PTP4" s="244"/>
      <c r="PUC4" s="244"/>
      <c r="PUP4" s="244"/>
      <c r="PVC4" s="244"/>
      <c r="PVP4" s="244"/>
      <c r="PWC4" s="244"/>
      <c r="PWP4" s="244"/>
      <c r="PXC4" s="244"/>
      <c r="PXP4" s="244"/>
      <c r="PYC4" s="244"/>
      <c r="PYP4" s="244"/>
      <c r="PZC4" s="244"/>
      <c r="PZP4" s="244"/>
      <c r="QAC4" s="244"/>
      <c r="QAP4" s="244"/>
      <c r="QBC4" s="244"/>
      <c r="QBP4" s="244"/>
      <c r="QCC4" s="244"/>
      <c r="QCP4" s="244"/>
      <c r="QDC4" s="244"/>
      <c r="QDP4" s="244"/>
      <c r="QEC4" s="244"/>
      <c r="QEP4" s="244"/>
      <c r="QFC4" s="244"/>
      <c r="QFP4" s="244"/>
      <c r="QGC4" s="244"/>
      <c r="QGP4" s="244"/>
      <c r="QHC4" s="244"/>
      <c r="QHP4" s="244"/>
      <c r="QIC4" s="244"/>
      <c r="QIP4" s="244"/>
      <c r="QJC4" s="244"/>
      <c r="QJP4" s="244"/>
      <c r="QKC4" s="244"/>
      <c r="QKP4" s="244"/>
      <c r="QLC4" s="244"/>
      <c r="QLP4" s="244"/>
      <c r="QMC4" s="244"/>
      <c r="QMP4" s="244"/>
      <c r="QNC4" s="244"/>
      <c r="QNP4" s="244"/>
      <c r="QOC4" s="244"/>
      <c r="QOP4" s="244"/>
      <c r="QPC4" s="244"/>
      <c r="QPP4" s="244"/>
      <c r="QQC4" s="244"/>
      <c r="QQP4" s="244"/>
      <c r="QRC4" s="244"/>
      <c r="QRP4" s="244"/>
      <c r="QSC4" s="244"/>
      <c r="QSP4" s="244"/>
      <c r="QTC4" s="244"/>
      <c r="QTP4" s="244"/>
      <c r="QUC4" s="244"/>
      <c r="QUP4" s="244"/>
      <c r="QVC4" s="244"/>
      <c r="QVP4" s="244"/>
      <c r="QWC4" s="244"/>
      <c r="QWP4" s="244"/>
      <c r="QXC4" s="244"/>
      <c r="QXP4" s="244"/>
      <c r="QYC4" s="244"/>
      <c r="QYP4" s="244"/>
      <c r="QZC4" s="244"/>
      <c r="QZP4" s="244"/>
      <c r="RAC4" s="244"/>
      <c r="RAP4" s="244"/>
      <c r="RBC4" s="244"/>
      <c r="RBP4" s="244"/>
      <c r="RCC4" s="244"/>
      <c r="RCP4" s="244"/>
      <c r="RDC4" s="244"/>
      <c r="RDP4" s="244"/>
      <c r="REC4" s="244"/>
      <c r="REP4" s="244"/>
      <c r="RFC4" s="244"/>
      <c r="RFP4" s="244"/>
      <c r="RGC4" s="244"/>
      <c r="RGP4" s="244"/>
      <c r="RHC4" s="244"/>
      <c r="RHP4" s="244"/>
      <c r="RIC4" s="244"/>
      <c r="RIP4" s="244"/>
      <c r="RJC4" s="244"/>
      <c r="RJP4" s="244"/>
      <c r="RKC4" s="244"/>
      <c r="RKP4" s="244"/>
      <c r="RLC4" s="244"/>
      <c r="RLP4" s="244"/>
      <c r="RMC4" s="244"/>
      <c r="RMP4" s="244"/>
      <c r="RNC4" s="244"/>
      <c r="RNP4" s="244"/>
      <c r="ROC4" s="244"/>
      <c r="ROP4" s="244"/>
      <c r="RPC4" s="244"/>
      <c r="RPP4" s="244"/>
      <c r="RQC4" s="244"/>
      <c r="RQP4" s="244"/>
      <c r="RRC4" s="244"/>
      <c r="RRP4" s="244"/>
      <c r="RSC4" s="244"/>
      <c r="RSP4" s="244"/>
      <c r="RTC4" s="244"/>
      <c r="RTP4" s="244"/>
      <c r="RUC4" s="244"/>
      <c r="RUP4" s="244"/>
      <c r="RVC4" s="244"/>
      <c r="RVP4" s="244"/>
      <c r="RWC4" s="244"/>
      <c r="RWP4" s="244"/>
      <c r="RXC4" s="244"/>
      <c r="RXP4" s="244"/>
      <c r="RYC4" s="244"/>
      <c r="RYP4" s="244"/>
      <c r="RZC4" s="244"/>
      <c r="RZP4" s="244"/>
      <c r="SAC4" s="244"/>
      <c r="SAP4" s="244"/>
      <c r="SBC4" s="244"/>
      <c r="SBP4" s="244"/>
      <c r="SCC4" s="244"/>
      <c r="SCP4" s="244"/>
      <c r="SDC4" s="244"/>
      <c r="SDP4" s="244"/>
      <c r="SEC4" s="244"/>
      <c r="SEP4" s="244"/>
      <c r="SFC4" s="244"/>
      <c r="SFP4" s="244"/>
      <c r="SGC4" s="244"/>
      <c r="SGP4" s="244"/>
      <c r="SHC4" s="244"/>
      <c r="SHP4" s="244"/>
      <c r="SIC4" s="244"/>
      <c r="SIP4" s="244"/>
      <c r="SJC4" s="244"/>
      <c r="SJP4" s="244"/>
      <c r="SKC4" s="244"/>
      <c r="SKP4" s="244"/>
      <c r="SLC4" s="244"/>
      <c r="SLP4" s="244"/>
      <c r="SMC4" s="244"/>
      <c r="SMP4" s="244"/>
      <c r="SNC4" s="244"/>
      <c r="SNP4" s="244"/>
      <c r="SOC4" s="244"/>
      <c r="SOP4" s="244"/>
      <c r="SPC4" s="244"/>
      <c r="SPP4" s="244"/>
      <c r="SQC4" s="244"/>
      <c r="SQP4" s="244"/>
      <c r="SRC4" s="244"/>
      <c r="SRP4" s="244"/>
      <c r="SSC4" s="244"/>
      <c r="SSP4" s="244"/>
      <c r="STC4" s="244"/>
      <c r="STP4" s="244"/>
      <c r="SUC4" s="244"/>
      <c r="SUP4" s="244"/>
      <c r="SVC4" s="244"/>
      <c r="SVP4" s="244"/>
      <c r="SWC4" s="244"/>
      <c r="SWP4" s="244"/>
      <c r="SXC4" s="244"/>
      <c r="SXP4" s="244"/>
      <c r="SYC4" s="244"/>
      <c r="SYP4" s="244"/>
      <c r="SZC4" s="244"/>
      <c r="SZP4" s="244"/>
      <c r="TAC4" s="244"/>
      <c r="TAP4" s="244"/>
      <c r="TBC4" s="244"/>
      <c r="TBP4" s="244"/>
      <c r="TCC4" s="244"/>
      <c r="TCP4" s="244"/>
      <c r="TDC4" s="244"/>
      <c r="TDP4" s="244"/>
      <c r="TEC4" s="244"/>
      <c r="TEP4" s="244"/>
      <c r="TFC4" s="244"/>
      <c r="TFP4" s="244"/>
      <c r="TGC4" s="244"/>
      <c r="TGP4" s="244"/>
      <c r="THC4" s="244"/>
      <c r="THP4" s="244"/>
      <c r="TIC4" s="244"/>
      <c r="TIP4" s="244"/>
      <c r="TJC4" s="244"/>
      <c r="TJP4" s="244"/>
      <c r="TKC4" s="244"/>
      <c r="TKP4" s="244"/>
      <c r="TLC4" s="244"/>
      <c r="TLP4" s="244"/>
      <c r="TMC4" s="244"/>
      <c r="TMP4" s="244"/>
      <c r="TNC4" s="244"/>
      <c r="TNP4" s="244"/>
      <c r="TOC4" s="244"/>
      <c r="TOP4" s="244"/>
      <c r="TPC4" s="244"/>
      <c r="TPP4" s="244"/>
      <c r="TQC4" s="244"/>
      <c r="TQP4" s="244"/>
      <c r="TRC4" s="244"/>
      <c r="TRP4" s="244"/>
      <c r="TSC4" s="244"/>
      <c r="TSP4" s="244"/>
      <c r="TTC4" s="244"/>
      <c r="TTP4" s="244"/>
      <c r="TUC4" s="244"/>
      <c r="TUP4" s="244"/>
      <c r="TVC4" s="244"/>
      <c r="TVP4" s="244"/>
      <c r="TWC4" s="244"/>
      <c r="TWP4" s="244"/>
      <c r="TXC4" s="244"/>
      <c r="TXP4" s="244"/>
      <c r="TYC4" s="244"/>
      <c r="TYP4" s="244"/>
      <c r="TZC4" s="244"/>
      <c r="TZP4" s="244"/>
      <c r="UAC4" s="244"/>
      <c r="UAP4" s="244"/>
      <c r="UBC4" s="244"/>
      <c r="UBP4" s="244"/>
      <c r="UCC4" s="244"/>
      <c r="UCP4" s="244"/>
      <c r="UDC4" s="244"/>
      <c r="UDP4" s="244"/>
      <c r="UEC4" s="244"/>
      <c r="UEP4" s="244"/>
      <c r="UFC4" s="244"/>
      <c r="UFP4" s="244"/>
      <c r="UGC4" s="244"/>
      <c r="UGP4" s="244"/>
      <c r="UHC4" s="244"/>
      <c r="UHP4" s="244"/>
      <c r="UIC4" s="244"/>
      <c r="UIP4" s="244"/>
      <c r="UJC4" s="244"/>
      <c r="UJP4" s="244"/>
      <c r="UKC4" s="244"/>
      <c r="UKP4" s="244"/>
      <c r="ULC4" s="244"/>
      <c r="ULP4" s="244"/>
      <c r="UMC4" s="244"/>
      <c r="UMP4" s="244"/>
      <c r="UNC4" s="244"/>
      <c r="UNP4" s="244"/>
      <c r="UOC4" s="244"/>
      <c r="UOP4" s="244"/>
      <c r="UPC4" s="244"/>
      <c r="UPP4" s="244"/>
      <c r="UQC4" s="244"/>
      <c r="UQP4" s="244"/>
      <c r="URC4" s="244"/>
      <c r="URP4" s="244"/>
      <c r="USC4" s="244"/>
      <c r="USP4" s="244"/>
      <c r="UTC4" s="244"/>
      <c r="UTP4" s="244"/>
      <c r="UUC4" s="244"/>
      <c r="UUP4" s="244"/>
      <c r="UVC4" s="244"/>
      <c r="UVP4" s="244"/>
      <c r="UWC4" s="244"/>
      <c r="UWP4" s="244"/>
      <c r="UXC4" s="244"/>
      <c r="UXP4" s="244"/>
      <c r="UYC4" s="244"/>
      <c r="UYP4" s="244"/>
      <c r="UZC4" s="244"/>
      <c r="UZP4" s="244"/>
      <c r="VAC4" s="244"/>
      <c r="VAP4" s="244"/>
      <c r="VBC4" s="244"/>
      <c r="VBP4" s="244"/>
      <c r="VCC4" s="244"/>
      <c r="VCP4" s="244"/>
      <c r="VDC4" s="244"/>
      <c r="VDP4" s="244"/>
      <c r="VEC4" s="244"/>
      <c r="VEP4" s="244"/>
      <c r="VFC4" s="244"/>
      <c r="VFP4" s="244"/>
      <c r="VGC4" s="244"/>
      <c r="VGP4" s="244"/>
      <c r="VHC4" s="244"/>
      <c r="VHP4" s="244"/>
      <c r="VIC4" s="244"/>
      <c r="VIP4" s="244"/>
      <c r="VJC4" s="244"/>
      <c r="VJP4" s="244"/>
      <c r="VKC4" s="244"/>
      <c r="VKP4" s="244"/>
      <c r="VLC4" s="244"/>
      <c r="VLP4" s="244"/>
      <c r="VMC4" s="244"/>
      <c r="VMP4" s="244"/>
      <c r="VNC4" s="244"/>
      <c r="VNP4" s="244"/>
      <c r="VOC4" s="244"/>
      <c r="VOP4" s="244"/>
      <c r="VPC4" s="244"/>
      <c r="VPP4" s="244"/>
      <c r="VQC4" s="244"/>
      <c r="VQP4" s="244"/>
      <c r="VRC4" s="244"/>
      <c r="VRP4" s="244"/>
      <c r="VSC4" s="244"/>
      <c r="VSP4" s="244"/>
      <c r="VTC4" s="244"/>
      <c r="VTP4" s="244"/>
      <c r="VUC4" s="244"/>
      <c r="VUP4" s="244"/>
      <c r="VVC4" s="244"/>
      <c r="VVP4" s="244"/>
      <c r="VWC4" s="244"/>
      <c r="VWP4" s="244"/>
      <c r="VXC4" s="244"/>
      <c r="VXP4" s="244"/>
      <c r="VYC4" s="244"/>
      <c r="VYP4" s="244"/>
      <c r="VZC4" s="244"/>
      <c r="VZP4" s="244"/>
      <c r="WAC4" s="244"/>
      <c r="WAP4" s="244"/>
      <c r="WBC4" s="244"/>
      <c r="WBP4" s="244"/>
      <c r="WCC4" s="244"/>
      <c r="WCP4" s="244"/>
      <c r="WDC4" s="244"/>
      <c r="WDP4" s="244"/>
      <c r="WEC4" s="244"/>
      <c r="WEP4" s="244"/>
      <c r="WFC4" s="244"/>
      <c r="WFP4" s="244"/>
      <c r="WGC4" s="244"/>
      <c r="WGP4" s="244"/>
      <c r="WHC4" s="244"/>
      <c r="WHP4" s="244"/>
      <c r="WIC4" s="244"/>
      <c r="WIP4" s="244"/>
      <c r="WJC4" s="244"/>
      <c r="WJP4" s="244"/>
      <c r="WKC4" s="244"/>
      <c r="WKP4" s="244"/>
      <c r="WLC4" s="244"/>
      <c r="WLP4" s="244"/>
      <c r="WMC4" s="244"/>
      <c r="WMP4" s="244"/>
      <c r="WNC4" s="244"/>
      <c r="WNP4" s="244"/>
      <c r="WOC4" s="244"/>
      <c r="WOP4" s="244"/>
      <c r="WPC4" s="244"/>
      <c r="WPP4" s="244"/>
      <c r="WQC4" s="244"/>
      <c r="WQP4" s="244"/>
      <c r="WRC4" s="244"/>
      <c r="WRP4" s="244"/>
      <c r="WSC4" s="244"/>
      <c r="WSP4" s="244"/>
      <c r="WTC4" s="244"/>
      <c r="WTP4" s="244"/>
      <c r="WUC4" s="244"/>
      <c r="WUP4" s="244"/>
      <c r="WVC4" s="244"/>
      <c r="WVP4" s="244"/>
      <c r="WWC4" s="244"/>
      <c r="WWP4" s="244"/>
      <c r="WXC4" s="244"/>
      <c r="WXP4" s="244"/>
      <c r="WYC4" s="244"/>
      <c r="WYP4" s="244"/>
      <c r="WZC4" s="244"/>
      <c r="WZP4" s="244"/>
      <c r="XAC4" s="244"/>
      <c r="XAP4" s="244"/>
      <c r="XBC4" s="244"/>
      <c r="XBP4" s="244"/>
      <c r="XCC4" s="244"/>
      <c r="XCP4" s="244"/>
      <c r="XDC4" s="244"/>
      <c r="XDP4" s="244"/>
      <c r="XEC4" s="244"/>
      <c r="XEP4" s="244"/>
      <c r="XFC4" s="244"/>
    </row>
    <row r="5" spans="1:1017 1030:2044 2057:3071 3084:4085 4098:5112 5125:6139 6152:7166 7179:8180 8193:9207 9220:10234 10247:11261 11274:12288 12301:13302 13315:14329 14342:15356 15369:16383" ht="13" customHeight="1">
      <c r="A5" s="242"/>
      <c r="B5" s="314" t="str">
        <f>IF('Summary | Sumário'!D$6=Names!B$3,Names!S4,Names!T4)</f>
        <v>Interchange</v>
      </c>
      <c r="C5" s="348">
        <v>58152</v>
      </c>
      <c r="D5" s="348">
        <v>137863</v>
      </c>
      <c r="E5" s="348">
        <v>369340</v>
      </c>
      <c r="F5" s="348">
        <v>617552</v>
      </c>
      <c r="G5" s="348">
        <v>820630</v>
      </c>
      <c r="H5" s="348">
        <v>1131024.4148299999</v>
      </c>
      <c r="I5" s="246"/>
      <c r="J5" s="348">
        <v>61188</v>
      </c>
      <c r="K5" s="348">
        <v>78212</v>
      </c>
      <c r="L5" s="348">
        <v>99723</v>
      </c>
      <c r="M5" s="348">
        <v>130217</v>
      </c>
      <c r="N5" s="348">
        <v>127049</v>
      </c>
      <c r="O5" s="348">
        <v>149403</v>
      </c>
      <c r="P5" s="348">
        <v>161418</v>
      </c>
      <c r="Q5" s="348">
        <v>179682</v>
      </c>
      <c r="R5" s="348">
        <v>174929</v>
      </c>
      <c r="S5" s="348">
        <v>185608</v>
      </c>
      <c r="T5" s="348">
        <v>214415</v>
      </c>
      <c r="U5" s="348">
        <v>245678</v>
      </c>
      <c r="V5" s="348">
        <v>241890.53451</v>
      </c>
      <c r="W5" s="348">
        <v>254700.68423000001</v>
      </c>
      <c r="X5" s="348">
        <v>294983.18956000003</v>
      </c>
      <c r="Y5" s="348">
        <v>339450.0065299999</v>
      </c>
      <c r="Z5" s="246"/>
      <c r="AA5" s="439">
        <f>Y5/X5-1</f>
        <v>0.15074356283260415</v>
      </c>
      <c r="AB5" s="439">
        <f>Y5/U5-1</f>
        <v>0.38168662448408042</v>
      </c>
      <c r="AC5" s="246"/>
    </row>
    <row r="6" spans="1:1017 1030:2044 2057:3071 3084:4085 4098:5112 5125:6139 6152:7166 7179:8180 8193:9207 9220:10234 10247:11261 11274:12288 12301:13302 13315:14329 14342:15356 15369:16383" ht="13" customHeight="1">
      <c r="A6" s="242"/>
      <c r="B6" s="16" t="str">
        <f>IF('Summary | Sumário'!D$6=Names!B$3,Names!S40,Names!T40)</f>
        <v>Commission and brokerage fees</v>
      </c>
      <c r="C6" s="246">
        <v>18870</v>
      </c>
      <c r="D6" s="246">
        <v>110640</v>
      </c>
      <c r="E6" s="246">
        <v>314586</v>
      </c>
      <c r="F6" s="246">
        <v>523889</v>
      </c>
      <c r="G6" s="246">
        <v>536580</v>
      </c>
      <c r="H6" s="246">
        <v>785975.55267</v>
      </c>
      <c r="I6" s="246"/>
      <c r="J6" s="246">
        <v>57439.66</v>
      </c>
      <c r="K6" s="246">
        <v>71617</v>
      </c>
      <c r="L6" s="246">
        <v>78731</v>
      </c>
      <c r="M6" s="246">
        <v>106798.34</v>
      </c>
      <c r="N6" s="246">
        <v>120069</v>
      </c>
      <c r="O6" s="246">
        <v>134103</v>
      </c>
      <c r="P6" s="246">
        <v>122675</v>
      </c>
      <c r="Q6" s="246">
        <v>147042</v>
      </c>
      <c r="R6" s="246">
        <v>132652</v>
      </c>
      <c r="S6" s="246">
        <v>116633</v>
      </c>
      <c r="T6" s="246">
        <v>142831</v>
      </c>
      <c r="U6" s="246">
        <v>144464</v>
      </c>
      <c r="V6" s="246">
        <v>146067.27165041512</v>
      </c>
      <c r="W6" s="246">
        <v>189250.16493492996</v>
      </c>
      <c r="X6" s="246">
        <v>221396.29507507</v>
      </c>
      <c r="Y6" s="246">
        <v>229261.82100958494</v>
      </c>
      <c r="Z6" s="246"/>
      <c r="AA6" s="440">
        <f t="shared" ref="AA6:AA13" si="0">Y6/X6-1</f>
        <v>3.5526908577435456E-2</v>
      </c>
      <c r="AB6" s="440">
        <f t="shared" ref="AB6:AB13" si="1">Y6/U6-1</f>
        <v>0.5869823693763494</v>
      </c>
      <c r="AC6" s="246"/>
    </row>
    <row r="7" spans="1:1017 1030:2044 2057:3071 3084:4085 4098:5112 5125:6139 6152:7166 7179:8180 8193:9207 9220:10234 10247:11261 11274:12288 12301:13302 13315:14329 14342:15356 15369:16383" ht="13" customHeight="1">
      <c r="A7" s="242"/>
      <c r="B7" s="22" t="str">
        <f>IF('Summary | Sumário'!D$6=Names!B$3,Names!S39,Names!T39)</f>
        <v>Banking and credit operations</v>
      </c>
      <c r="C7" s="245">
        <v>29397</v>
      </c>
      <c r="D7" s="245">
        <v>40436</v>
      </c>
      <c r="E7" s="245">
        <v>50992</v>
      </c>
      <c r="F7" s="245">
        <v>62544</v>
      </c>
      <c r="G7" s="245">
        <v>89507</v>
      </c>
      <c r="H7" s="245">
        <v>108135</v>
      </c>
      <c r="I7" s="246"/>
      <c r="J7" s="245">
        <v>11035</v>
      </c>
      <c r="K7" s="245">
        <v>11281</v>
      </c>
      <c r="L7" s="245">
        <v>13664</v>
      </c>
      <c r="M7" s="245">
        <v>15012</v>
      </c>
      <c r="N7" s="245">
        <v>12254</v>
      </c>
      <c r="O7" s="245">
        <v>16155</v>
      </c>
      <c r="P7" s="245">
        <v>16837</v>
      </c>
      <c r="Q7" s="245">
        <v>17298</v>
      </c>
      <c r="R7" s="245">
        <v>14541</v>
      </c>
      <c r="S7" s="245">
        <v>21875.4</v>
      </c>
      <c r="T7" s="245">
        <v>24030</v>
      </c>
      <c r="U7" s="245">
        <v>29060.6</v>
      </c>
      <c r="V7" s="245">
        <v>25837.612680000002</v>
      </c>
      <c r="W7" s="245">
        <v>27809.559130000001</v>
      </c>
      <c r="X7" s="245">
        <v>26119.440870000002</v>
      </c>
      <c r="Y7" s="245">
        <v>28368.387319999994</v>
      </c>
      <c r="Z7" s="246"/>
      <c r="AA7" s="441">
        <f t="shared" si="0"/>
        <v>8.6102396341227294E-2</v>
      </c>
      <c r="AB7" s="441">
        <f t="shared" si="1"/>
        <v>-2.381962794987047E-2</v>
      </c>
      <c r="AC7" s="246"/>
    </row>
    <row r="8" spans="1:1017 1030:2044 2057:3071 3084:4085 4098:5112 5125:6139 6152:7166 7179:8180 8193:9207 9220:10234 10247:11261 11274:12288 12301:13302 13315:14329 14342:15356 15369:16383" ht="13" customHeight="1">
      <c r="A8" s="242"/>
      <c r="B8" s="16" t="str">
        <f>IF('Summary | Sumário'!D$6=Names!B$3,Names!S8,Names!T8)</f>
        <v>Other</v>
      </c>
      <c r="C8" s="246">
        <v>4271</v>
      </c>
      <c r="D8" s="246">
        <v>6005</v>
      </c>
      <c r="E8" s="246">
        <v>9780</v>
      </c>
      <c r="F8" s="246">
        <v>18059</v>
      </c>
      <c r="G8" s="246">
        <v>69945</v>
      </c>
      <c r="H8" s="246">
        <v>90813.390399400101</v>
      </c>
      <c r="I8" s="246"/>
      <c r="J8" s="246">
        <v>1891</v>
      </c>
      <c r="K8" s="246">
        <v>2826</v>
      </c>
      <c r="L8" s="246">
        <v>2715</v>
      </c>
      <c r="M8" s="246">
        <v>2348</v>
      </c>
      <c r="N8" s="246">
        <v>5875</v>
      </c>
      <c r="O8" s="246">
        <v>5182</v>
      </c>
      <c r="P8" s="246">
        <v>3516</v>
      </c>
      <c r="Q8" s="246">
        <v>3486</v>
      </c>
      <c r="R8" s="246">
        <v>7279</v>
      </c>
      <c r="S8" s="246">
        <v>20925</v>
      </c>
      <c r="T8" s="246">
        <v>20957</v>
      </c>
      <c r="U8" s="246">
        <v>20784</v>
      </c>
      <c r="V8" s="246">
        <v>25279.820079759389</v>
      </c>
      <c r="W8" s="246">
        <v>17465.699248099983</v>
      </c>
      <c r="X8" s="246">
        <v>24324.045841900101</v>
      </c>
      <c r="Y8" s="246">
        <v>23743.825229640628</v>
      </c>
      <c r="Z8" s="246"/>
      <c r="AA8" s="440">
        <f t="shared" si="0"/>
        <v>-2.3853787154931139E-2</v>
      </c>
      <c r="AB8" s="440">
        <f t="shared" si="1"/>
        <v>0.14240883514437197</v>
      </c>
      <c r="AC8" s="246"/>
    </row>
    <row r="9" spans="1:1017 1030:2044 2057:3071 3084:4085 4098:5112 5125:6139 6152:7166 7179:8180 8193:9207 9220:10234 10247:11261 11274:12288 12301:13302 13315:14329 14342:15356 15369:16383" ht="13" customHeight="1">
      <c r="A9" s="242"/>
      <c r="B9" s="22" t="str">
        <f>IF('Summary | Sumário'!D$6=Names!B$3,Names!S38,Names!T38)</f>
        <v>Investments</v>
      </c>
      <c r="C9" s="245">
        <v>19767</v>
      </c>
      <c r="D9" s="245">
        <v>22177</v>
      </c>
      <c r="E9" s="245">
        <v>49234</v>
      </c>
      <c r="F9" s="245">
        <v>67433</v>
      </c>
      <c r="G9" s="245">
        <v>90772</v>
      </c>
      <c r="H9" s="245">
        <v>124127.8705302</v>
      </c>
      <c r="I9" s="246"/>
      <c r="J9" s="245">
        <v>7894</v>
      </c>
      <c r="K9" s="245">
        <v>7159</v>
      </c>
      <c r="L9" s="245">
        <v>20258</v>
      </c>
      <c r="M9" s="245">
        <v>13923</v>
      </c>
      <c r="N9" s="245">
        <v>23514</v>
      </c>
      <c r="O9" s="245">
        <v>18922</v>
      </c>
      <c r="P9" s="245">
        <v>22407</v>
      </c>
      <c r="Q9" s="245">
        <v>2590</v>
      </c>
      <c r="R9" s="245">
        <v>20220</v>
      </c>
      <c r="S9" s="245">
        <v>18062</v>
      </c>
      <c r="T9" s="245">
        <v>20848</v>
      </c>
      <c r="U9" s="245">
        <v>31642</v>
      </c>
      <c r="V9" s="245">
        <v>28732</v>
      </c>
      <c r="W9" s="245">
        <v>27595.525853990002</v>
      </c>
      <c r="X9" s="245">
        <v>35583.665756010007</v>
      </c>
      <c r="Y9" s="245">
        <v>32216.678920199993</v>
      </c>
      <c r="Z9" s="246"/>
      <c r="AA9" s="441">
        <f t="shared" si="0"/>
        <v>-9.4621696901515451E-2</v>
      </c>
      <c r="AB9" s="441">
        <f t="shared" si="1"/>
        <v>1.8161902540926311E-2</v>
      </c>
      <c r="AC9" s="246"/>
    </row>
    <row r="10" spans="1:1017 1030:2044 2057:3071 3084:4085 4098:5112 5125:6139 6152:7166 7179:8180 8193:9207 9220:10234 10247:11261 11274:12288 12301:13302 13315:14329 14342:15356 15369:16383" ht="13" customHeight="1">
      <c r="A10" s="242"/>
      <c r="B10" s="16" t="str">
        <f>IF('Summary | Sumário'!D$6=Names!B$3,Names!S10,Names!T10)</f>
        <v>Cashback expenses</v>
      </c>
      <c r="C10" s="246">
        <v>0</v>
      </c>
      <c r="D10" s="246">
        <v>-59976</v>
      </c>
      <c r="E10" s="246">
        <v>-251363</v>
      </c>
      <c r="F10" s="246">
        <v>-321438</v>
      </c>
      <c r="G10" s="246">
        <v>-236482</v>
      </c>
      <c r="H10" s="246">
        <v>-360561.95250999997</v>
      </c>
      <c r="I10" s="246"/>
      <c r="J10" s="246">
        <v>-38482.660000000003</v>
      </c>
      <c r="K10" s="246">
        <v>-60184</v>
      </c>
      <c r="L10" s="246">
        <v>-65808</v>
      </c>
      <c r="M10" s="246">
        <v>-86888.34</v>
      </c>
      <c r="N10" s="246">
        <v>-82542</v>
      </c>
      <c r="O10" s="246">
        <v>-85250</v>
      </c>
      <c r="P10" s="246">
        <v>-76420</v>
      </c>
      <c r="Q10" s="246">
        <v>-77226</v>
      </c>
      <c r="R10" s="246">
        <v>-67268</v>
      </c>
      <c r="S10" s="246">
        <v>-58005</v>
      </c>
      <c r="T10" s="246">
        <v>-48391</v>
      </c>
      <c r="U10" s="246">
        <v>-62818</v>
      </c>
      <c r="V10" s="246">
        <v>-63381.686999999998</v>
      </c>
      <c r="W10" s="246">
        <v>-91044.550029999999</v>
      </c>
      <c r="X10" s="246">
        <v>-104280.54006</v>
      </c>
      <c r="Y10" s="246">
        <v>-101855.17541999999</v>
      </c>
      <c r="Z10" s="246"/>
      <c r="AA10" s="440">
        <f t="shared" si="0"/>
        <v>-2.3258075174951487E-2</v>
      </c>
      <c r="AB10" s="440">
        <f t="shared" si="1"/>
        <v>0.62143295584068237</v>
      </c>
      <c r="AC10" s="246"/>
    </row>
    <row r="11" spans="1:1017 1030:2044 2057:3071 3084:4085 4098:5112 5125:6139 6152:7166 7179:8180 8193:9207 9220:10234 10247:11261 11274:12288 12301:13302 13315:14329 14342:15356 15369:16383" ht="13" customHeight="1">
      <c r="A11" s="242"/>
      <c r="B11" s="22" t="str">
        <f>IF('Summary | Sumário'!D$6=Names!B$3,Names!S11,Names!T11)</f>
        <v>Inter rewards</v>
      </c>
      <c r="C11" s="245">
        <v>0</v>
      </c>
      <c r="D11" s="245">
        <v>0</v>
      </c>
      <c r="E11" s="245">
        <v>0</v>
      </c>
      <c r="F11" s="245">
        <v>0</v>
      </c>
      <c r="G11" s="245">
        <v>-66571</v>
      </c>
      <c r="H11" s="245">
        <v>-126233.79137000001</v>
      </c>
      <c r="I11" s="246"/>
      <c r="J11" s="245">
        <v>0</v>
      </c>
      <c r="K11" s="245">
        <v>0</v>
      </c>
      <c r="L11" s="245">
        <v>0</v>
      </c>
      <c r="M11" s="245">
        <v>0</v>
      </c>
      <c r="N11" s="245">
        <v>0</v>
      </c>
      <c r="O11" s="245">
        <v>0</v>
      </c>
      <c r="P11" s="245">
        <v>0</v>
      </c>
      <c r="Q11" s="245">
        <v>0</v>
      </c>
      <c r="R11" s="245">
        <v>0</v>
      </c>
      <c r="S11" s="245">
        <v>-6574</v>
      </c>
      <c r="T11" s="245">
        <v>-26910</v>
      </c>
      <c r="U11" s="245">
        <v>-33087</v>
      </c>
      <c r="V11" s="245">
        <v>-30086.383590000005</v>
      </c>
      <c r="W11" s="245">
        <v>-28632.017450000003</v>
      </c>
      <c r="X11" s="245">
        <v>-30458.598399999999</v>
      </c>
      <c r="Y11" s="245">
        <v>-37056.791929999992</v>
      </c>
      <c r="Z11" s="246"/>
      <c r="AA11" s="441">
        <f t="shared" si="0"/>
        <v>0.21662827170668475</v>
      </c>
      <c r="AB11" s="441">
        <f t="shared" si="1"/>
        <v>0.11998041315320185</v>
      </c>
      <c r="AC11" s="246"/>
    </row>
    <row r="12" spans="1:1017 1030:2044 2057:3071 3084:4085 4098:5112 5125:6139 6152:7166 7179:8180 8193:9207 9220:10234 10247:11261 11274:12288 12301:13302 13315:14329 14342:15356 15369:16383" ht="13" customHeight="1">
      <c r="A12" s="242"/>
      <c r="B12" s="16" t="str">
        <f>IF('Summary | Sumário'!D$6=Names!B$3,Names!S12,Names!T12)</f>
        <v>Expenses from services and commissions</v>
      </c>
      <c r="C12" s="246">
        <v>-56627.339</v>
      </c>
      <c r="D12" s="246">
        <v>-71611</v>
      </c>
      <c r="E12" s="246">
        <v>-100297</v>
      </c>
      <c r="F12" s="246">
        <v>-129233</v>
      </c>
      <c r="G12" s="246">
        <v>-135582</v>
      </c>
      <c r="H12" s="246">
        <v>-143430.21100000001</v>
      </c>
      <c r="I12" s="246"/>
      <c r="J12" s="246">
        <v>-23279</v>
      </c>
      <c r="K12" s="246">
        <v>-21841</v>
      </c>
      <c r="L12" s="246">
        <v>-26430</v>
      </c>
      <c r="M12" s="246">
        <v>-28747</v>
      </c>
      <c r="N12" s="246">
        <v>-28516</v>
      </c>
      <c r="O12" s="246">
        <v>-33954</v>
      </c>
      <c r="P12" s="246">
        <v>-33404</v>
      </c>
      <c r="Q12" s="246">
        <v>-33359</v>
      </c>
      <c r="R12" s="246">
        <v>-35678</v>
      </c>
      <c r="S12" s="246">
        <v>-31723</v>
      </c>
      <c r="T12" s="246">
        <v>-32271</v>
      </c>
      <c r="U12" s="246">
        <v>-35910</v>
      </c>
      <c r="V12" s="246">
        <v>-34021.773478642281</v>
      </c>
      <c r="W12" s="246">
        <v>-32942.008999999998</v>
      </c>
      <c r="X12" s="246">
        <v>-37676.508000000002</v>
      </c>
      <c r="Y12" s="246">
        <v>-38789.920521357737</v>
      </c>
      <c r="Z12" s="246"/>
      <c r="AA12" s="440">
        <f t="shared" si="0"/>
        <v>2.9551903306902494E-2</v>
      </c>
      <c r="AB12" s="440">
        <f t="shared" si="1"/>
        <v>8.0198287979886818E-2</v>
      </c>
      <c r="AC12" s="246"/>
      <c r="AD12" s="217"/>
    </row>
    <row r="13" spans="1:1017 1030:2044 2057:3071 3084:4085 4098:5112 5125:6139 6152:7166 7179:8180 8193:9207 9220:10234 10247:11261 11274:12288 12301:13302 13315:14329 14342:15356 15369:16383" ht="13" customHeight="1">
      <c r="A13" s="242"/>
      <c r="B13" s="353" t="str">
        <f>IF('Summary | Sumário'!D$6=Names!B$3,Names!S13,Names!T13)</f>
        <v>Net result from services and commissions</v>
      </c>
      <c r="C13" s="337">
        <f>SUM(C5:C12)</f>
        <v>73829.660999999993</v>
      </c>
      <c r="D13" s="337">
        <f>SUM(D5:D12)</f>
        <v>185534</v>
      </c>
      <c r="E13" s="337">
        <f>SUM(E5:E12)</f>
        <v>442272</v>
      </c>
      <c r="F13" s="337">
        <f>SUM(F5:F12)</f>
        <v>838806</v>
      </c>
      <c r="G13" s="337">
        <f t="shared" ref="G13" si="2">SUM(R13:U13)</f>
        <v>1168799</v>
      </c>
      <c r="H13" s="337">
        <f>SUM(V13:Y13)</f>
        <v>1609850.2735495998</v>
      </c>
      <c r="I13" s="258"/>
      <c r="J13" s="337">
        <f t="shared" ref="J13:V13" si="3">SUM(J5:J12)</f>
        <v>77686</v>
      </c>
      <c r="K13" s="337">
        <f t="shared" si="3"/>
        <v>89070</v>
      </c>
      <c r="L13" s="337">
        <f t="shared" si="3"/>
        <v>122853</v>
      </c>
      <c r="M13" s="337">
        <f t="shared" si="3"/>
        <v>152662.99999999997</v>
      </c>
      <c r="N13" s="337">
        <f t="shared" si="3"/>
        <v>177703</v>
      </c>
      <c r="O13" s="337">
        <f t="shared" si="3"/>
        <v>204561</v>
      </c>
      <c r="P13" s="337">
        <f t="shared" si="3"/>
        <v>217029</v>
      </c>
      <c r="Q13" s="337">
        <f t="shared" si="3"/>
        <v>239513</v>
      </c>
      <c r="R13" s="337">
        <f t="shared" si="3"/>
        <v>246675</v>
      </c>
      <c r="S13" s="337">
        <f t="shared" si="3"/>
        <v>266801.40000000002</v>
      </c>
      <c r="T13" s="337">
        <f t="shared" si="3"/>
        <v>315509</v>
      </c>
      <c r="U13" s="337">
        <f t="shared" si="3"/>
        <v>339813.6</v>
      </c>
      <c r="V13" s="337">
        <f t="shared" si="3"/>
        <v>340317.3948515323</v>
      </c>
      <c r="W13" s="337">
        <f t="shared" ref="W13:X13" si="4">SUM(W5:W12)</f>
        <v>364203.05691701995</v>
      </c>
      <c r="X13" s="337">
        <f t="shared" si="4"/>
        <v>429990.99064297997</v>
      </c>
      <c r="Y13" s="337">
        <f t="shared" ref="Y13" si="5">SUM(Y5:Y12)</f>
        <v>475338.83113806765</v>
      </c>
      <c r="Z13" s="258"/>
      <c r="AA13" s="442">
        <f t="shared" si="0"/>
        <v>0.10546230382008126</v>
      </c>
      <c r="AB13" s="442">
        <f t="shared" si="1"/>
        <v>0.39882226943850307</v>
      </c>
      <c r="AC13" s="246"/>
    </row>
    <row r="14" spans="1:1017 1030:2044 2057:3071 3084:4085 4098:5112 5125:6139 6152:7166 7179:8180 8193:9207 9220:10234 10247:11261 11274:12288 12301:13302 13315:14329 14342:15356 15369:16383" ht="13" customHeight="1">
      <c r="A14" s="242"/>
      <c r="B14" s="654"/>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row>
    <row r="15" spans="1:1017 1030:2044 2057:3071 3084:4085 4098:5112 5125:6139 6152:7166 7179:8180 8193:9207 9220:10234 10247:11261 11274:12288 12301:13302 13315:14329 14342:15356 15369:16383" ht="13" customHeight="1">
      <c r="A15" s="242"/>
      <c r="B15" s="317" t="str">
        <f>IF('Summary | Sumário'!D$6=Names!B$3,Names!S15,Names!T15)</f>
        <v>Other revenues + foreign exchange</v>
      </c>
      <c r="C15" s="201"/>
      <c r="D15" s="201"/>
      <c r="E15" s="201"/>
      <c r="F15" s="201"/>
      <c r="G15" s="201"/>
      <c r="H15" s="201"/>
      <c r="I15" s="206"/>
      <c r="J15" s="201"/>
      <c r="K15" s="201"/>
      <c r="L15" s="201"/>
      <c r="M15" s="201"/>
      <c r="N15" s="201"/>
      <c r="O15" s="201"/>
      <c r="P15" s="201"/>
      <c r="Q15" s="201"/>
      <c r="R15" s="201"/>
      <c r="S15" s="201"/>
      <c r="T15" s="201"/>
      <c r="U15" s="201"/>
      <c r="V15" s="201"/>
      <c r="W15" s="201"/>
      <c r="X15" s="201"/>
      <c r="Y15" s="201"/>
      <c r="Z15" s="206"/>
      <c r="AA15" s="201"/>
      <c r="AB15" s="201"/>
      <c r="AC15" s="246"/>
    </row>
    <row r="16" spans="1:1017 1030:2044 2057:3071 3084:4085 4098:5112 5125:6139 6152:7166 7179:8180 8193:9207 9220:10234 10247:11261 11274:12288 12301:13302 13315:14329 14342:15356 15369:16383" ht="13" customHeight="1">
      <c r="A16" s="242"/>
      <c r="B16" s="322" t="str">
        <f>IF('Summary | Sumário'!D$6=Names!B$3,Names!S21,Names!T21)</f>
        <v>Other revenues</v>
      </c>
      <c r="C16" s="354">
        <f t="shared" ref="C16" si="6">SUM(C17:C20)</f>
        <v>46867</v>
      </c>
      <c r="D16" s="354">
        <f t="shared" ref="D16" si="7">SUM(D17:D20)</f>
        <v>92564</v>
      </c>
      <c r="E16" s="354">
        <f t="shared" ref="E16" si="8">SUM(E17:E20)</f>
        <v>165415</v>
      </c>
      <c r="F16" s="354">
        <f t="shared" ref="F16" si="9">SUM(F17:F20)</f>
        <v>288682</v>
      </c>
      <c r="G16" s="354">
        <f t="shared" ref="G16" si="10">SUM(G17:G20)</f>
        <v>286980</v>
      </c>
      <c r="H16" s="354">
        <f t="shared" ref="H16:X16" si="11">SUM(H17:H20)</f>
        <v>333570.52926939994</v>
      </c>
      <c r="I16" s="246"/>
      <c r="J16" s="354">
        <f t="shared" si="11"/>
        <v>41623</v>
      </c>
      <c r="K16" s="354">
        <f t="shared" si="11"/>
        <v>69359</v>
      </c>
      <c r="L16" s="354">
        <f t="shared" si="11"/>
        <v>30496</v>
      </c>
      <c r="M16" s="354">
        <f t="shared" si="11"/>
        <v>23937</v>
      </c>
      <c r="N16" s="354">
        <f t="shared" si="11"/>
        <v>95374</v>
      </c>
      <c r="O16" s="354">
        <f t="shared" si="11"/>
        <v>85809</v>
      </c>
      <c r="P16" s="354">
        <f t="shared" si="11"/>
        <v>46550</v>
      </c>
      <c r="Q16" s="354">
        <f t="shared" si="11"/>
        <v>60949</v>
      </c>
      <c r="R16" s="354">
        <f t="shared" si="11"/>
        <v>50958</v>
      </c>
      <c r="S16" s="354">
        <f t="shared" si="11"/>
        <v>54967</v>
      </c>
      <c r="T16" s="354">
        <f t="shared" si="11"/>
        <v>104770.50028000001</v>
      </c>
      <c r="U16" s="354">
        <f t="shared" si="11"/>
        <v>76284.499719999993</v>
      </c>
      <c r="V16" s="354">
        <f t="shared" si="11"/>
        <v>68201</v>
      </c>
      <c r="W16" s="354">
        <f t="shared" si="11"/>
        <v>72531.218238679983</v>
      </c>
      <c r="X16" s="354">
        <f t="shared" si="11"/>
        <v>81802.620979938802</v>
      </c>
      <c r="Y16" s="354">
        <f>SUM(Y17:Y20)</f>
        <v>111035.69005078121</v>
      </c>
      <c r="Z16" s="246"/>
      <c r="AA16" s="443">
        <f>Y16/X16-1</f>
        <v>0.35736103220960969</v>
      </c>
      <c r="AB16" s="443">
        <f>Y16/U16-1</f>
        <v>0.4555472010478463</v>
      </c>
      <c r="AC16" s="246"/>
    </row>
    <row r="17" spans="1:29" ht="13" customHeight="1">
      <c r="A17" s="242"/>
      <c r="B17" s="107" t="str">
        <f>IF('Summary | Sumário'!D$6=Names!B$3,Names!S42,Names!T42)</f>
        <v>Credits from payables with credit card networks</v>
      </c>
      <c r="C17" s="245"/>
      <c r="D17" s="245"/>
      <c r="E17" s="245">
        <f>SUM(J17:M17)</f>
        <v>0</v>
      </c>
      <c r="F17" s="245">
        <f>SUM(N17:Q17)</f>
        <v>0</v>
      </c>
      <c r="G17" s="245">
        <f>SUM(R17:U17)</f>
        <v>52316.985379999998</v>
      </c>
      <c r="H17" s="245">
        <f>SUM(V17:Y17)</f>
        <v>81740</v>
      </c>
      <c r="I17" s="246"/>
      <c r="J17" s="245">
        <v>0</v>
      </c>
      <c r="K17" s="245">
        <v>0</v>
      </c>
      <c r="L17" s="245">
        <v>0</v>
      </c>
      <c r="M17" s="245">
        <v>0</v>
      </c>
      <c r="N17" s="245">
        <v>0</v>
      </c>
      <c r="O17" s="245">
        <v>0</v>
      </c>
      <c r="P17" s="245">
        <v>0</v>
      </c>
      <c r="Q17" s="245">
        <v>0</v>
      </c>
      <c r="R17" s="245">
        <v>0</v>
      </c>
      <c r="S17" s="245">
        <v>13028.933999999999</v>
      </c>
      <c r="T17" s="245">
        <v>14002.33604</v>
      </c>
      <c r="U17" s="245">
        <v>25285.715339999995</v>
      </c>
      <c r="V17" s="245">
        <v>17461.62442</v>
      </c>
      <c r="W17" s="245">
        <v>25175.659950000001</v>
      </c>
      <c r="X17" s="245">
        <v>16552.843199999996</v>
      </c>
      <c r="Y17" s="245">
        <v>22549.872430000003</v>
      </c>
      <c r="Z17" s="246"/>
      <c r="AA17" s="441">
        <f>Y17/X17-1</f>
        <v>0.36229602114517756</v>
      </c>
      <c r="AB17" s="441">
        <f>Y17/U17-1</f>
        <v>-0.10819717272036622</v>
      </c>
      <c r="AC17" s="246"/>
    </row>
    <row r="18" spans="1:29" ht="13" customHeight="1">
      <c r="A18" s="242"/>
      <c r="B18" s="632" t="str">
        <f>IF('Summary | Sumário'!D$6=Names!B$3,Names!S16,Names!T16)</f>
        <v>Performance fees</v>
      </c>
      <c r="C18" s="246">
        <v>24610</v>
      </c>
      <c r="D18" s="246">
        <v>75230</v>
      </c>
      <c r="E18" s="246">
        <f>SUM(J18:M18)</f>
        <v>102863</v>
      </c>
      <c r="F18" s="246">
        <f>SUM(N18:Q18)</f>
        <v>150401</v>
      </c>
      <c r="G18" s="246">
        <f>SUM(R18:U18)</f>
        <v>135260</v>
      </c>
      <c r="H18" s="246">
        <f>SUM(V18:Y18)</f>
        <v>73649.78379999999</v>
      </c>
      <c r="I18" s="246"/>
      <c r="J18" s="246">
        <v>29089</v>
      </c>
      <c r="K18" s="246">
        <v>45719</v>
      </c>
      <c r="L18" s="246">
        <v>18654</v>
      </c>
      <c r="M18" s="246">
        <v>9401</v>
      </c>
      <c r="N18" s="246">
        <v>40734</v>
      </c>
      <c r="O18" s="246">
        <v>52204</v>
      </c>
      <c r="P18" s="246">
        <v>30764</v>
      </c>
      <c r="Q18" s="246">
        <v>26699</v>
      </c>
      <c r="R18" s="246">
        <v>28285</v>
      </c>
      <c r="S18" s="246">
        <v>27910</v>
      </c>
      <c r="T18" s="246">
        <v>48644.500280000007</v>
      </c>
      <c r="U18" s="246">
        <v>30420.499719999993</v>
      </c>
      <c r="V18" s="246">
        <v>24264</v>
      </c>
      <c r="W18" s="246">
        <v>16726.843239999995</v>
      </c>
      <c r="X18" s="246">
        <v>14306.74461</v>
      </c>
      <c r="Y18" s="246">
        <v>18352.195949999994</v>
      </c>
      <c r="Z18" s="246"/>
      <c r="AA18" s="440">
        <f>Y18/X18-1</f>
        <v>0.28276532854108138</v>
      </c>
      <c r="AB18" s="440">
        <f>Y18/U18-1</f>
        <v>-0.39671615788959835</v>
      </c>
      <c r="AC18" s="246"/>
    </row>
    <row r="19" spans="1:29" ht="13" customHeight="1">
      <c r="A19" s="242"/>
      <c r="B19" s="107" t="str">
        <f>IF('Summary | Sumário'!D$6=Names!B$3,Names!S17,Names!T17)</f>
        <v>Capital gains (losses)</v>
      </c>
      <c r="C19" s="245">
        <v>0</v>
      </c>
      <c r="D19" s="245">
        <v>0</v>
      </c>
      <c r="E19" s="245">
        <f t="shared" ref="E19" si="12">SUM(J19:M19)</f>
        <v>29330</v>
      </c>
      <c r="F19" s="245">
        <f t="shared" ref="F19" si="13">SUM(N19:Q19)</f>
        <v>66363</v>
      </c>
      <c r="G19" s="245">
        <f t="shared" ref="G19" si="14">SUM(R19:U19)</f>
        <v>41785</v>
      </c>
      <c r="H19" s="245">
        <f t="shared" ref="H19:H21" si="15">SUM(V19:Y19)</f>
        <v>55538.273229999999</v>
      </c>
      <c r="I19" s="246"/>
      <c r="J19" s="245">
        <v>6837</v>
      </c>
      <c r="K19" s="245">
        <v>13917</v>
      </c>
      <c r="L19" s="245">
        <v>4248</v>
      </c>
      <c r="M19" s="245">
        <v>4328</v>
      </c>
      <c r="N19" s="245">
        <v>38486</v>
      </c>
      <c r="O19" s="245">
        <v>22428</v>
      </c>
      <c r="P19" s="245">
        <v>2651</v>
      </c>
      <c r="Q19" s="245">
        <v>2798</v>
      </c>
      <c r="R19" s="245">
        <v>2938</v>
      </c>
      <c r="S19" s="245">
        <v>6149</v>
      </c>
      <c r="T19" s="245">
        <v>25341</v>
      </c>
      <c r="U19" s="245">
        <v>7357</v>
      </c>
      <c r="V19" s="245">
        <v>3255</v>
      </c>
      <c r="W19" s="245">
        <v>5533.7366399999992</v>
      </c>
      <c r="X19" s="245">
        <v>7716.9919500000005</v>
      </c>
      <c r="Y19" s="245">
        <v>39032.54464</v>
      </c>
      <c r="Z19" s="246"/>
      <c r="AA19" s="441">
        <f t="shared" ref="AA19:AA22" si="16">Y19/X19-1</f>
        <v>4.0579999166644196</v>
      </c>
      <c r="AB19" s="441">
        <f t="shared" ref="AB19:AB22" si="17">Y19/U19-1</f>
        <v>4.3054974364550764</v>
      </c>
      <c r="AC19" s="246"/>
    </row>
    <row r="20" spans="1:29" ht="13" customHeight="1">
      <c r="B20" s="632" t="str">
        <f>IF('Summary | Sumário'!D$6=Names!B$3,Names!S19,Names!T19)</f>
        <v>Other revenue</v>
      </c>
      <c r="C20" s="246">
        <v>22257</v>
      </c>
      <c r="D20" s="246">
        <v>17334</v>
      </c>
      <c r="E20" s="246">
        <v>33222</v>
      </c>
      <c r="F20" s="246">
        <v>71918</v>
      </c>
      <c r="G20" s="246">
        <f>SUM(R20:U20)</f>
        <v>57618.014620000009</v>
      </c>
      <c r="H20" s="246">
        <f t="shared" si="15"/>
        <v>122642.4722394</v>
      </c>
      <c r="I20" s="246"/>
      <c r="J20" s="246">
        <v>5697</v>
      </c>
      <c r="K20" s="246">
        <v>9723</v>
      </c>
      <c r="L20" s="246">
        <v>7594</v>
      </c>
      <c r="M20" s="246">
        <v>10208</v>
      </c>
      <c r="N20" s="246">
        <v>16154</v>
      </c>
      <c r="O20" s="246">
        <v>11177</v>
      </c>
      <c r="P20" s="246">
        <v>13135</v>
      </c>
      <c r="Q20" s="246">
        <v>31452</v>
      </c>
      <c r="R20" s="246">
        <v>19735</v>
      </c>
      <c r="S20" s="246">
        <v>7879.0659999999989</v>
      </c>
      <c r="T20" s="246">
        <v>16782.663960000005</v>
      </c>
      <c r="U20" s="246">
        <v>13221.284660000005</v>
      </c>
      <c r="V20" s="246">
        <v>23220.37558</v>
      </c>
      <c r="W20" s="246">
        <v>25094.978408679988</v>
      </c>
      <c r="X20" s="246">
        <v>43226.041219938801</v>
      </c>
      <c r="Y20" s="246">
        <v>31101.07703078122</v>
      </c>
      <c r="Z20" s="246"/>
      <c r="AA20" s="440">
        <f>Y20/X20-1</f>
        <v>-0.28050137942228959</v>
      </c>
      <c r="AB20" s="440">
        <f>Y20/U20-1</f>
        <v>1.3523490969735468</v>
      </c>
    </row>
    <row r="21" spans="1:29" ht="13" customHeight="1">
      <c r="B21" s="22" t="str">
        <f>_xlfn.CONCAT("(+) ",IF('Summary | Sumário'!D$6=Names!B$3,Names!S18,Names!T18))</f>
        <v>(+) Foreign exchange</v>
      </c>
      <c r="C21" s="245">
        <v>5976</v>
      </c>
      <c r="D21" s="245">
        <v>17318</v>
      </c>
      <c r="E21" s="245">
        <f>SUM(J21:M21)</f>
        <v>24667</v>
      </c>
      <c r="F21" s="245">
        <f>SUM(N21:Q21)</f>
        <v>99780</v>
      </c>
      <c r="G21" s="245">
        <f>SUM(R21:U21)</f>
        <v>88708</v>
      </c>
      <c r="H21" s="245">
        <f t="shared" si="15"/>
        <v>74587.800272134002</v>
      </c>
      <c r="I21" s="246"/>
      <c r="J21" s="245">
        <v>5876</v>
      </c>
      <c r="K21" s="245">
        <v>6689</v>
      </c>
      <c r="L21" s="245">
        <v>5791</v>
      </c>
      <c r="M21" s="245">
        <v>6311</v>
      </c>
      <c r="N21" s="245">
        <v>17033</v>
      </c>
      <c r="O21" s="245">
        <v>25563</v>
      </c>
      <c r="P21" s="245">
        <v>31137</v>
      </c>
      <c r="Q21" s="245">
        <v>26047</v>
      </c>
      <c r="R21" s="245">
        <v>14919</v>
      </c>
      <c r="S21" s="245">
        <v>26191</v>
      </c>
      <c r="T21" s="245">
        <v>26659</v>
      </c>
      <c r="U21" s="245">
        <v>20939</v>
      </c>
      <c r="V21" s="245">
        <v>21756</v>
      </c>
      <c r="W21" s="245">
        <v>12197</v>
      </c>
      <c r="X21" s="245">
        <v>29585</v>
      </c>
      <c r="Y21" s="245">
        <v>11049.800272134002</v>
      </c>
      <c r="Z21" s="246"/>
      <c r="AA21" s="441">
        <f>Y21/X21-1</f>
        <v>-0.6265066664818657</v>
      </c>
      <c r="AB21" s="441">
        <f>Y21/U21-1</f>
        <v>-0.47228615157677056</v>
      </c>
    </row>
    <row r="22" spans="1:29" ht="13" customHeight="1">
      <c r="B22" s="655" t="str">
        <f>IF('Summary | Sumário'!D$6=Names!B$3,Names!S15,Names!T15)</f>
        <v>Other revenues + foreign exchange</v>
      </c>
      <c r="C22" s="339">
        <f t="shared" ref="C22" si="18">C16+C21</f>
        <v>52843</v>
      </c>
      <c r="D22" s="339">
        <f t="shared" ref="D22" si="19">D16+D21</f>
        <v>109882</v>
      </c>
      <c r="E22" s="339">
        <f t="shared" ref="E22" si="20">E16+E21</f>
        <v>190082</v>
      </c>
      <c r="F22" s="339">
        <f t="shared" ref="F22" si="21">F16+F21</f>
        <v>388462</v>
      </c>
      <c r="G22" s="339">
        <f t="shared" ref="G22" si="22">G16+G21</f>
        <v>375688</v>
      </c>
      <c r="H22" s="339">
        <f t="shared" ref="H22" si="23">H16+H21</f>
        <v>408158.32954153395</v>
      </c>
      <c r="I22" s="258"/>
      <c r="J22" s="339">
        <f t="shared" ref="J22:X22" si="24">J16+J21</f>
        <v>47499</v>
      </c>
      <c r="K22" s="339">
        <f t="shared" si="24"/>
        <v>76048</v>
      </c>
      <c r="L22" s="339">
        <f t="shared" si="24"/>
        <v>36287</v>
      </c>
      <c r="M22" s="339">
        <f t="shared" si="24"/>
        <v>30248</v>
      </c>
      <c r="N22" s="339">
        <f t="shared" si="24"/>
        <v>112407</v>
      </c>
      <c r="O22" s="339">
        <f t="shared" si="24"/>
        <v>111372</v>
      </c>
      <c r="P22" s="339">
        <f t="shared" si="24"/>
        <v>77687</v>
      </c>
      <c r="Q22" s="339">
        <f t="shared" si="24"/>
        <v>86996</v>
      </c>
      <c r="R22" s="339">
        <f t="shared" si="24"/>
        <v>65877</v>
      </c>
      <c r="S22" s="339">
        <f t="shared" si="24"/>
        <v>81158</v>
      </c>
      <c r="T22" s="339">
        <f t="shared" si="24"/>
        <v>131429.50028000001</v>
      </c>
      <c r="U22" s="339">
        <f t="shared" si="24"/>
        <v>97223.499719999993</v>
      </c>
      <c r="V22" s="339">
        <f t="shared" si="24"/>
        <v>89957</v>
      </c>
      <c r="W22" s="339">
        <f t="shared" si="24"/>
        <v>84728.218238679983</v>
      </c>
      <c r="X22" s="339">
        <f t="shared" si="24"/>
        <v>111387.6209799388</v>
      </c>
      <c r="Y22" s="339">
        <f>Y16+Y21</f>
        <v>122085.49032291521</v>
      </c>
      <c r="Z22" s="258"/>
      <c r="AA22" s="444">
        <f t="shared" si="16"/>
        <v>9.6041815498538519E-2</v>
      </c>
      <c r="AB22" s="444">
        <f t="shared" si="17"/>
        <v>0.25571997176111561</v>
      </c>
    </row>
    <row r="23" spans="1:29" ht="13" customHeight="1">
      <c r="B23" s="8"/>
      <c r="C23" s="204"/>
      <c r="D23" s="204"/>
      <c r="E23" s="204"/>
      <c r="F23" s="204"/>
      <c r="G23" s="204"/>
      <c r="H23" s="204"/>
      <c r="J23" s="204"/>
      <c r="K23" s="204"/>
      <c r="L23" s="204"/>
      <c r="M23" s="204"/>
      <c r="N23" s="204"/>
      <c r="O23" s="204"/>
      <c r="P23" s="204"/>
      <c r="Q23" s="204"/>
      <c r="R23" s="204"/>
      <c r="S23" s="204"/>
      <c r="T23" s="204"/>
      <c r="U23" s="204"/>
      <c r="V23" s="204"/>
      <c r="W23" s="204"/>
      <c r="X23" s="204"/>
      <c r="Y23" s="204"/>
      <c r="AA23" s="204"/>
      <c r="AB23" s="204"/>
    </row>
    <row r="24" spans="1:29" ht="13" customHeight="1">
      <c r="B24" s="313" t="str">
        <f>IF('Summary | Sumário'!D$6=Names!B$3,Names!S23,Names!T23)</f>
        <v>Fee revenues</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row>
    <row r="25" spans="1:29" ht="13" customHeight="1">
      <c r="B25" s="314" t="str">
        <f>IF('Summary | Sumário'!D$6=Names!B$3,Names!S24,Names!T24)</f>
        <v>Net result from services and commissions</v>
      </c>
      <c r="C25" s="348">
        <v>73829.660999999993</v>
      </c>
      <c r="D25" s="348">
        <v>185534</v>
      </c>
      <c r="E25" s="348">
        <f>SUM(J25:M25)</f>
        <v>442272</v>
      </c>
      <c r="F25" s="348">
        <f>SUM(N25:Q25)</f>
        <v>838806</v>
      </c>
      <c r="G25" s="348">
        <f t="shared" ref="G25:G27" si="25">SUM(R25:U25)</f>
        <v>1168800.6000000001</v>
      </c>
      <c r="H25" s="348">
        <f t="shared" ref="H25:H27" si="26">SUM(V25:Y25)</f>
        <v>1609850.2739999997</v>
      </c>
      <c r="I25" s="246"/>
      <c r="J25" s="348">
        <v>77686</v>
      </c>
      <c r="K25" s="348">
        <v>89070</v>
      </c>
      <c r="L25" s="348">
        <v>122853</v>
      </c>
      <c r="M25" s="348">
        <v>152663</v>
      </c>
      <c r="N25" s="348">
        <v>177703</v>
      </c>
      <c r="O25" s="348">
        <v>204561</v>
      </c>
      <c r="P25" s="348">
        <v>217029</v>
      </c>
      <c r="Q25" s="348">
        <v>239513</v>
      </c>
      <c r="R25" s="348">
        <v>246675</v>
      </c>
      <c r="S25" s="348">
        <v>266801</v>
      </c>
      <c r="T25" s="348">
        <v>315509</v>
      </c>
      <c r="U25" s="348">
        <v>339815.6</v>
      </c>
      <c r="V25" s="348">
        <v>340317.39485153224</v>
      </c>
      <c r="W25" s="348">
        <v>364200.86699999997</v>
      </c>
      <c r="X25" s="348">
        <v>429990.49199999997</v>
      </c>
      <c r="Y25" s="348">
        <v>475341.5201484678</v>
      </c>
      <c r="Z25" s="246"/>
      <c r="AA25" s="439">
        <f>Y25/X25-1</f>
        <v>0.10546983943186317</v>
      </c>
      <c r="AB25" s="439">
        <f>Y25/U25-1</f>
        <v>0.39882194975294794</v>
      </c>
    </row>
    <row r="26" spans="1:29" ht="13" customHeight="1">
      <c r="A26" s="242"/>
      <c r="B26" s="16" t="str">
        <f>IF('Summary | Sumário'!D$6=Names!B$3,Names!S15,Names!T15)</f>
        <v>Other revenues + foreign exchange</v>
      </c>
      <c r="C26" s="246">
        <f>C22</f>
        <v>52843</v>
      </c>
      <c r="D26" s="246">
        <f t="shared" ref="D26:R26" si="27">D22</f>
        <v>109882</v>
      </c>
      <c r="E26" s="246">
        <f t="shared" si="27"/>
        <v>190082</v>
      </c>
      <c r="F26" s="246">
        <f t="shared" si="27"/>
        <v>388462</v>
      </c>
      <c r="G26" s="246">
        <f t="shared" si="25"/>
        <v>375688</v>
      </c>
      <c r="H26" s="246">
        <f t="shared" si="26"/>
        <v>408158.32954153401</v>
      </c>
      <c r="I26" s="246"/>
      <c r="J26" s="246">
        <f t="shared" si="27"/>
        <v>47499</v>
      </c>
      <c r="K26" s="246">
        <f t="shared" si="27"/>
        <v>76048</v>
      </c>
      <c r="L26" s="246">
        <f t="shared" si="27"/>
        <v>36287</v>
      </c>
      <c r="M26" s="246">
        <f t="shared" si="27"/>
        <v>30248</v>
      </c>
      <c r="N26" s="246">
        <f t="shared" si="27"/>
        <v>112407</v>
      </c>
      <c r="O26" s="246">
        <f t="shared" si="27"/>
        <v>111372</v>
      </c>
      <c r="P26" s="246">
        <f t="shared" si="27"/>
        <v>77687</v>
      </c>
      <c r="Q26" s="246">
        <f t="shared" si="27"/>
        <v>86996</v>
      </c>
      <c r="R26" s="246">
        <f t="shared" si="27"/>
        <v>65877</v>
      </c>
      <c r="S26" s="246">
        <f t="shared" ref="S26:T26" si="28">S22</f>
        <v>81158</v>
      </c>
      <c r="T26" s="246">
        <f t="shared" si="28"/>
        <v>131429.50028000001</v>
      </c>
      <c r="U26" s="246">
        <f t="shared" ref="U26:V26" si="29">U22</f>
        <v>97223.499719999993</v>
      </c>
      <c r="V26" s="246">
        <f t="shared" si="29"/>
        <v>89957</v>
      </c>
      <c r="W26" s="246">
        <f t="shared" ref="W26:X26" si="30">W22</f>
        <v>84728.218238679983</v>
      </c>
      <c r="X26" s="246">
        <f t="shared" si="30"/>
        <v>111387.6209799388</v>
      </c>
      <c r="Y26" s="246">
        <f t="shared" ref="Y26" si="31">Y22</f>
        <v>122085.49032291521</v>
      </c>
      <c r="Z26" s="246"/>
      <c r="AA26" s="440">
        <f t="shared" ref="AA26:AA27" si="32">Y26/X26-1</f>
        <v>9.6041815498538519E-2</v>
      </c>
      <c r="AB26" s="440">
        <f t="shared" ref="AB26:AB27" si="33">Y26/U26-1</f>
        <v>0.25571997176111561</v>
      </c>
      <c r="AC26" s="246"/>
    </row>
    <row r="27" spans="1:29" ht="13" customHeight="1">
      <c r="B27" s="353" t="str">
        <f>IF('Summary | Sumário'!D$6=Names!B$3,Names!S26,Names!T26)</f>
        <v>Net fee revenues</v>
      </c>
      <c r="C27" s="337">
        <f>SUM(C25:C26)</f>
        <v>126672.66099999999</v>
      </c>
      <c r="D27" s="337">
        <f t="shared" ref="D27:R27" si="34">SUM(D25:D26)</f>
        <v>295416</v>
      </c>
      <c r="E27" s="337">
        <f t="shared" si="34"/>
        <v>632354</v>
      </c>
      <c r="F27" s="337">
        <f t="shared" si="34"/>
        <v>1227268</v>
      </c>
      <c r="G27" s="337">
        <f t="shared" si="25"/>
        <v>1544488.6</v>
      </c>
      <c r="H27" s="337">
        <f t="shared" si="26"/>
        <v>2018008.6035415339</v>
      </c>
      <c r="I27" s="258"/>
      <c r="J27" s="337">
        <f t="shared" si="34"/>
        <v>125185</v>
      </c>
      <c r="K27" s="337">
        <f t="shared" si="34"/>
        <v>165118</v>
      </c>
      <c r="L27" s="337">
        <f t="shared" si="34"/>
        <v>159140</v>
      </c>
      <c r="M27" s="337">
        <f t="shared" si="34"/>
        <v>182911</v>
      </c>
      <c r="N27" s="337">
        <f t="shared" si="34"/>
        <v>290110</v>
      </c>
      <c r="O27" s="337">
        <f t="shared" si="34"/>
        <v>315933</v>
      </c>
      <c r="P27" s="337">
        <f t="shared" si="34"/>
        <v>294716</v>
      </c>
      <c r="Q27" s="337">
        <f t="shared" si="34"/>
        <v>326509</v>
      </c>
      <c r="R27" s="337">
        <f t="shared" si="34"/>
        <v>312552</v>
      </c>
      <c r="S27" s="337">
        <f t="shared" ref="S27:T27" si="35">SUM(S25:S26)</f>
        <v>347959</v>
      </c>
      <c r="T27" s="337">
        <f t="shared" si="35"/>
        <v>446938.50028000004</v>
      </c>
      <c r="U27" s="337">
        <f t="shared" ref="U27:V27" si="36">SUM(U25:U26)</f>
        <v>437039.09971999994</v>
      </c>
      <c r="V27" s="337">
        <f t="shared" si="36"/>
        <v>430274.39485153224</v>
      </c>
      <c r="W27" s="337">
        <f t="shared" ref="W27:X27" si="37">SUM(W25:W26)</f>
        <v>448929.08523867995</v>
      </c>
      <c r="X27" s="337">
        <f t="shared" si="37"/>
        <v>541378.11297993874</v>
      </c>
      <c r="Y27" s="337">
        <f t="shared" ref="Y27" si="38">SUM(Y25:Y26)</f>
        <v>597427.01047138299</v>
      </c>
      <c r="Z27" s="258"/>
      <c r="AA27" s="442">
        <f t="shared" si="32"/>
        <v>0.10353003962966123</v>
      </c>
      <c r="AB27" s="442">
        <f t="shared" si="33"/>
        <v>0.36698755524194415</v>
      </c>
    </row>
    <row r="29" spans="1:29" ht="13" customHeight="1">
      <c r="B29" s="317" t="str">
        <f>IF('Summary | Sumário'!D$6=Names!B$3,Names!S28,Names!T28)</f>
        <v>Fee income ratio</v>
      </c>
      <c r="C29" s="201"/>
      <c r="D29" s="201"/>
      <c r="E29" s="201"/>
      <c r="F29" s="201"/>
      <c r="G29" s="201"/>
      <c r="H29" s="201"/>
      <c r="I29" s="206"/>
      <c r="J29" s="201"/>
      <c r="K29" s="201"/>
      <c r="L29" s="201"/>
      <c r="M29" s="201"/>
      <c r="N29" s="201"/>
      <c r="O29" s="201"/>
      <c r="P29" s="201"/>
      <c r="Q29" s="201"/>
      <c r="R29" s="201"/>
      <c r="S29" s="201"/>
      <c r="T29" s="201"/>
      <c r="U29" s="201"/>
      <c r="V29" s="201"/>
      <c r="W29" s="201"/>
      <c r="X29" s="201"/>
      <c r="Y29" s="201"/>
      <c r="Z29" s="206"/>
      <c r="AA29" s="201"/>
      <c r="AB29" s="201"/>
    </row>
    <row r="30" spans="1:29" ht="13" customHeight="1">
      <c r="B30" s="656" t="str">
        <f>IF('Summary | Sumário'!D$6=Names!B$3,Names!S29,Names!T29)</f>
        <v>Net fee revenues</v>
      </c>
      <c r="C30" s="657">
        <f>C27</f>
        <v>126672.66099999999</v>
      </c>
      <c r="D30" s="657">
        <f t="shared" ref="D30:R30" si="39">D27</f>
        <v>295416</v>
      </c>
      <c r="E30" s="657">
        <f t="shared" si="39"/>
        <v>632354</v>
      </c>
      <c r="F30" s="657">
        <f t="shared" si="39"/>
        <v>1227268</v>
      </c>
      <c r="G30" s="657">
        <f t="shared" ref="G30:H30" si="40">G27</f>
        <v>1544488.6</v>
      </c>
      <c r="H30" s="657">
        <f t="shared" si="40"/>
        <v>2018008.6035415339</v>
      </c>
      <c r="I30" s="217"/>
      <c r="J30" s="657">
        <f t="shared" si="39"/>
        <v>125185</v>
      </c>
      <c r="K30" s="657">
        <f t="shared" si="39"/>
        <v>165118</v>
      </c>
      <c r="L30" s="657">
        <f t="shared" si="39"/>
        <v>159140</v>
      </c>
      <c r="M30" s="657">
        <f t="shared" si="39"/>
        <v>182911</v>
      </c>
      <c r="N30" s="657">
        <f t="shared" si="39"/>
        <v>290110</v>
      </c>
      <c r="O30" s="657">
        <f t="shared" si="39"/>
        <v>315933</v>
      </c>
      <c r="P30" s="657">
        <f t="shared" si="39"/>
        <v>294716</v>
      </c>
      <c r="Q30" s="657">
        <f t="shared" si="39"/>
        <v>326509</v>
      </c>
      <c r="R30" s="657">
        <f t="shared" si="39"/>
        <v>312552</v>
      </c>
      <c r="S30" s="657">
        <f t="shared" ref="S30:T30" si="41">S27</f>
        <v>347959</v>
      </c>
      <c r="T30" s="657">
        <f t="shared" si="41"/>
        <v>446938.50028000004</v>
      </c>
      <c r="U30" s="657">
        <f t="shared" ref="U30:V30" si="42">U27</f>
        <v>437039.09971999994</v>
      </c>
      <c r="V30" s="657">
        <f t="shared" si="42"/>
        <v>430274.39485153224</v>
      </c>
      <c r="W30" s="657">
        <f t="shared" ref="W30:X30" si="43">W27</f>
        <v>448929.08523867995</v>
      </c>
      <c r="X30" s="657">
        <f t="shared" si="43"/>
        <v>541378.11297993874</v>
      </c>
      <c r="Y30" s="657">
        <f t="shared" ref="Y30" si="44">Y27</f>
        <v>597427.01047138299</v>
      </c>
      <c r="Z30" s="217"/>
      <c r="AA30" s="658">
        <f>Y30/X30-1</f>
        <v>0.10353003962966123</v>
      </c>
      <c r="AB30" s="658">
        <f>Y30/U30-1</f>
        <v>0.36698755524194415</v>
      </c>
    </row>
    <row r="31" spans="1:29" ht="13" customHeight="1">
      <c r="B31" s="80" t="str">
        <f>IF('Summary | Sumário'!D$6=Names!B$3,Names!S30,Names!T30)</f>
        <v>(÷) Total net revenues</v>
      </c>
      <c r="C31" s="247">
        <f t="shared" ref="C31:U31" si="45">C32+C37</f>
        <v>712223.66099999996</v>
      </c>
      <c r="D31" s="247">
        <f t="shared" si="45"/>
        <v>1011378.89518</v>
      </c>
      <c r="E31" s="247">
        <f t="shared" si="45"/>
        <v>2221821.912</v>
      </c>
      <c r="F31" s="247">
        <f t="shared" si="45"/>
        <v>3562697.1850000001</v>
      </c>
      <c r="G31" s="247">
        <f t="shared" si="45"/>
        <v>4752577.5950000007</v>
      </c>
      <c r="H31" s="247">
        <f t="shared" si="45"/>
        <v>6400165.1976135336</v>
      </c>
      <c r="I31" s="217"/>
      <c r="J31" s="247">
        <f t="shared" si="45"/>
        <v>416766.33899999998</v>
      </c>
      <c r="K31" s="247">
        <f t="shared" si="45"/>
        <v>467413.34700000007</v>
      </c>
      <c r="L31" s="247">
        <f t="shared" si="45"/>
        <v>606509.88</v>
      </c>
      <c r="M31" s="247">
        <f t="shared" si="45"/>
        <v>731132.3459999999</v>
      </c>
      <c r="N31" s="247">
        <f t="shared" si="45"/>
        <v>833521.01500000001</v>
      </c>
      <c r="O31" s="247">
        <f t="shared" si="45"/>
        <v>877020.3110000001</v>
      </c>
      <c r="P31" s="247">
        <f t="shared" si="45"/>
        <v>850303.46700000006</v>
      </c>
      <c r="Q31" s="247">
        <f t="shared" si="45"/>
        <v>1001852.392</v>
      </c>
      <c r="R31" s="247">
        <f t="shared" si="45"/>
        <v>1024114.1240000001</v>
      </c>
      <c r="S31" s="247">
        <f t="shared" si="45"/>
        <v>1150034</v>
      </c>
      <c r="T31" s="247">
        <f t="shared" si="45"/>
        <v>1265495.60824</v>
      </c>
      <c r="U31" s="247">
        <f t="shared" si="45"/>
        <v>1312933.8627599999</v>
      </c>
      <c r="V31" s="247">
        <f t="shared" ref="V31:W31" si="46">V32+V37</f>
        <v>1400939.115371532</v>
      </c>
      <c r="W31" s="247">
        <f t="shared" si="46"/>
        <v>1478597.81104253</v>
      </c>
      <c r="X31" s="247">
        <f t="shared" ref="X31:Y31" si="47">X32+X37</f>
        <v>1676143.2445535718</v>
      </c>
      <c r="Y31" s="247">
        <f t="shared" si="47"/>
        <v>1844485.0266459007</v>
      </c>
      <c r="Z31" s="217"/>
      <c r="AA31" s="445">
        <f t="shared" ref="AA31:AA37" si="48">Y31/X31-1</f>
        <v>0.10043400684239567</v>
      </c>
      <c r="AB31" s="445">
        <f t="shared" ref="AB31:AB37" si="49">Y31/U31-1</f>
        <v>0.40485753240341738</v>
      </c>
    </row>
    <row r="32" spans="1:29" ht="13" customHeight="1">
      <c r="B32" s="54" t="str">
        <f>IF('Summary | Sumário'!D$6=Names!B$3,Names!S31,Names!T31)</f>
        <v>NII</v>
      </c>
      <c r="C32" s="206">
        <f t="shared" ref="C32" si="50">SUM(C33:C36)</f>
        <v>585551</v>
      </c>
      <c r="D32" s="206">
        <f t="shared" ref="D32" si="51">SUM(D33:D36)</f>
        <v>715962.89517999999</v>
      </c>
      <c r="E32" s="206">
        <f t="shared" ref="E32" si="52">SUM(E33:E36)</f>
        <v>1589467.912</v>
      </c>
      <c r="F32" s="206">
        <f t="shared" ref="F32" si="53">SUM(F33:F36)</f>
        <v>2335429.1850000001</v>
      </c>
      <c r="G32" s="206">
        <f t="shared" ref="G32" si="54">SUM(G33:G36)</f>
        <v>3208088.9950000001</v>
      </c>
      <c r="H32" s="206">
        <f t="shared" ref="H32" si="55">SUM(H33:H36)</f>
        <v>4382156.5940720001</v>
      </c>
      <c r="I32" s="206"/>
      <c r="J32" s="206">
        <f t="shared" ref="J32" si="56">SUM(J33:J36)</f>
        <v>291581.33899999998</v>
      </c>
      <c r="K32" s="206">
        <f t="shared" ref="K32" si="57">SUM(K33:K36)</f>
        <v>302295.34700000007</v>
      </c>
      <c r="L32" s="206">
        <f t="shared" ref="L32" si="58">SUM(L33:L36)</f>
        <v>447369.88</v>
      </c>
      <c r="M32" s="206">
        <f t="shared" ref="M32" si="59">SUM(M33:M36)</f>
        <v>548221.3459999999</v>
      </c>
      <c r="N32" s="206">
        <f t="shared" ref="N32" si="60">SUM(N33:N36)</f>
        <v>543411.01500000001</v>
      </c>
      <c r="O32" s="206">
        <f t="shared" ref="O32" si="61">SUM(O33:O36)</f>
        <v>561087.3110000001</v>
      </c>
      <c r="P32" s="206">
        <f t="shared" ref="P32" si="62">SUM(P33:P36)</f>
        <v>555587.46700000006</v>
      </c>
      <c r="Q32" s="206">
        <f t="shared" ref="Q32" si="63">SUM(Q33:Q36)</f>
        <v>675343.39199999999</v>
      </c>
      <c r="R32" s="206">
        <f t="shared" ref="R32" si="64">SUM(R33:R36)</f>
        <v>711562.12400000007</v>
      </c>
      <c r="S32" s="206">
        <f t="shared" ref="S32" si="65">SUM(S33:S36)</f>
        <v>802075</v>
      </c>
      <c r="T32" s="206">
        <f t="shared" ref="T32" si="66">SUM(T33:T36)</f>
        <v>818557.10796000005</v>
      </c>
      <c r="U32" s="206">
        <f t="shared" ref="U32" si="67">SUM(U33:U36)</f>
        <v>875894.76303999987</v>
      </c>
      <c r="V32" s="206">
        <f t="shared" ref="V32" si="68">SUM(V33:V36)</f>
        <v>970664.72051999974</v>
      </c>
      <c r="W32" s="206">
        <f t="shared" ref="W32" si="69">SUM(W33:W36)</f>
        <v>1029668.72580385</v>
      </c>
      <c r="X32" s="206">
        <f t="shared" ref="X32" si="70">SUM(X33:X36)</f>
        <v>1134765.1315736331</v>
      </c>
      <c r="Y32" s="206">
        <f t="shared" ref="Y32" si="71">SUM(Y33:Y36)</f>
        <v>1247058.0161745176</v>
      </c>
      <c r="Z32" s="206"/>
      <c r="AA32" s="430">
        <f t="shared" si="48"/>
        <v>9.8956939613717765E-2</v>
      </c>
      <c r="AB32" s="430">
        <f t="shared" si="49"/>
        <v>0.42375325072878378</v>
      </c>
    </row>
    <row r="33" spans="2:28" ht="13" customHeight="1">
      <c r="B33" s="68" t="str">
        <f>IF('Summary | Sumário'!D$6=Names!B$3,Names!O32,Names!P32)</f>
        <v>Interest income</v>
      </c>
      <c r="C33" s="219">
        <f>'4. Credit | Crédito'!C42</f>
        <v>775515</v>
      </c>
      <c r="D33" s="219">
        <f>'4. Credit | Crédito'!D42</f>
        <v>942655.89517999999</v>
      </c>
      <c r="E33" s="219">
        <f>'4. Credit | Crédito'!E42</f>
        <v>1435427.246</v>
      </c>
      <c r="F33" s="219">
        <f>'4. Credit | Crédito'!F42</f>
        <v>2802658.0819999999</v>
      </c>
      <c r="G33" s="219">
        <f>'4. Credit | Crédito'!G42</f>
        <v>4549827</v>
      </c>
      <c r="H33" s="219">
        <f>'4. Credit | Crédito'!H42</f>
        <v>5139213</v>
      </c>
      <c r="I33" s="220"/>
      <c r="J33" s="219">
        <f>'4. Credit | Crédito'!J42</f>
        <v>289003.935</v>
      </c>
      <c r="K33" s="219">
        <f>'4. Credit | Crédito'!K42</f>
        <v>305659.75100000005</v>
      </c>
      <c r="L33" s="219">
        <f>'4. Credit | Crédito'!L42</f>
        <v>367405.88</v>
      </c>
      <c r="M33" s="219">
        <f>'4. Credit | Crédito'!M42</f>
        <v>473357.68</v>
      </c>
      <c r="N33" s="219">
        <f>'4. Credit | Crédito'!N42</f>
        <v>521159.63199999993</v>
      </c>
      <c r="O33" s="219">
        <f>'4. Credit | Crédito'!O42</f>
        <v>622312.6370000001</v>
      </c>
      <c r="P33" s="219">
        <f>'4. Credit | Crédito'!P42</f>
        <v>788342.73100000003</v>
      </c>
      <c r="Q33" s="219">
        <f>'4. Credit | Crédito'!Q42</f>
        <v>870843.08199999994</v>
      </c>
      <c r="R33" s="219">
        <f>'4. Credit | Crédito'!R42</f>
        <v>1012926.822</v>
      </c>
      <c r="S33" s="219">
        <f>'4. Credit | Crédito'!S42</f>
        <v>1151105</v>
      </c>
      <c r="T33" s="219">
        <f>'4. Credit | Crédito'!T42</f>
        <v>1106935.08874</v>
      </c>
      <c r="U33" s="219">
        <f>'4. Credit | Crédito'!U42</f>
        <v>1278860.08926</v>
      </c>
      <c r="V33" s="219">
        <f>'4. Credit | Crédito'!V42</f>
        <v>1217530.9999999998</v>
      </c>
      <c r="W33" s="219">
        <f>'4. Credit | Crédito'!W42</f>
        <v>1172415.139</v>
      </c>
      <c r="X33" s="219">
        <f>'4. Credit | Crédito'!X42</f>
        <v>1412226.140133633</v>
      </c>
      <c r="Y33" s="219">
        <f>'4. Credit | Crédito'!Y42</f>
        <v>1337040.7208663672</v>
      </c>
      <c r="Z33" s="220"/>
      <c r="AA33" s="446">
        <f t="shared" si="48"/>
        <v>-5.3238937540238007E-2</v>
      </c>
      <c r="AB33" s="446">
        <f t="shared" si="49"/>
        <v>4.549413348260245E-2</v>
      </c>
    </row>
    <row r="34" spans="2:28" ht="13" customHeight="1">
      <c r="B34" s="63" t="str">
        <f>IF('Summary | Sumário'!D$6=Names!B$3,Names!O42,Names!P42)</f>
        <v>Interest expenses</v>
      </c>
      <c r="C34" s="220">
        <f>'4. Credit | Crédito'!C51</f>
        <v>-256717</v>
      </c>
      <c r="D34" s="220">
        <f>'4. Credit | Crédito'!D51</f>
        <v>-184335</v>
      </c>
      <c r="E34" s="220">
        <f>'4. Credit | Crédito'!E51</f>
        <v>-543242</v>
      </c>
      <c r="F34" s="220">
        <f>'4. Credit | Crédito'!F51</f>
        <v>-1972850</v>
      </c>
      <c r="G34" s="220">
        <f>'4. Credit | Crédito'!G51</f>
        <v>-2887573.0049999999</v>
      </c>
      <c r="H34" s="220">
        <f>'4. Credit | Crédito'!H51</f>
        <v>-3311638.4190579997</v>
      </c>
      <c r="I34" s="220"/>
      <c r="J34" s="220">
        <f>'4. Credit | Crédito'!J51</f>
        <v>-65559</v>
      </c>
      <c r="K34" s="220">
        <f>'4. Credit | Crédito'!K51</f>
        <v>-86261</v>
      </c>
      <c r="L34" s="220">
        <f>'4. Credit | Crédito'!L51</f>
        <v>-138587</v>
      </c>
      <c r="M34" s="220">
        <f>'4. Credit | Crédito'!M51</f>
        <v>-252835</v>
      </c>
      <c r="N34" s="220">
        <f>'4. Credit | Crédito'!N51</f>
        <v>-336771</v>
      </c>
      <c r="O34" s="220">
        <f>'4. Credit | Crédito'!O51</f>
        <v>-465041</v>
      </c>
      <c r="P34" s="220">
        <f>'4. Credit | Crédito'!P51</f>
        <v>-579678</v>
      </c>
      <c r="Q34" s="220">
        <f>'4. Credit | Crédito'!Q51</f>
        <v>-591360</v>
      </c>
      <c r="R34" s="220">
        <f>'4. Credit | Crédito'!R51</f>
        <v>-672771</v>
      </c>
      <c r="S34" s="220">
        <f>'4. Credit | Crédito'!S51</f>
        <v>-692206</v>
      </c>
      <c r="T34" s="220">
        <f>'4. Credit | Crédito'!T51</f>
        <v>-770398</v>
      </c>
      <c r="U34" s="220">
        <f>'4. Credit | Crédito'!U51</f>
        <v>-752198.00500000012</v>
      </c>
      <c r="V34" s="220">
        <f>'4. Credit | Crédito'!V51</f>
        <v>-762246.89030000009</v>
      </c>
      <c r="W34" s="220">
        <f>'4. Credit | Crédito'!W51</f>
        <v>-772642.60900000005</v>
      </c>
      <c r="X34" s="220">
        <f>'4. Credit | Crédito'!X51</f>
        <v>-835616.71799999999</v>
      </c>
      <c r="Y34" s="220">
        <f>'4. Credit | Crédito'!Y51</f>
        <v>-941132.20175799984</v>
      </c>
      <c r="Z34" s="220"/>
      <c r="AA34" s="452">
        <f t="shared" ref="AA34:AA36" si="72">Y34/X34-1</f>
        <v>0.12627258584599055</v>
      </c>
      <c r="AB34" s="452">
        <f t="shared" ref="AB34:AB36" si="73">Y34/U34-1</f>
        <v>0.25117614710770164</v>
      </c>
    </row>
    <row r="35" spans="2:28" ht="13" customHeight="1">
      <c r="B35" s="68" t="str">
        <f>IF('Summary | Sumário'!D$6=Names!B$3,Names!O57,Names!P57)</f>
        <v>Income from securities</v>
      </c>
      <c r="C35" s="219">
        <f>'4. Credit | Crédito'!C58</f>
        <v>62518</v>
      </c>
      <c r="D35" s="219">
        <f>'4. Credit | Crédito'!D58</f>
        <v>12060</v>
      </c>
      <c r="E35" s="219">
        <f>'4. Credit | Crédito'!E58</f>
        <v>745613</v>
      </c>
      <c r="F35" s="219">
        <f>'4. Credit | Crédito'!F58</f>
        <v>1471737</v>
      </c>
      <c r="G35" s="219">
        <f>'4. Credit | Crédito'!G58</f>
        <v>1615108</v>
      </c>
      <c r="H35" s="219">
        <f>'4. Credit | Crédito'!H58</f>
        <v>2007869.4701800002</v>
      </c>
      <c r="I35" s="220"/>
      <c r="J35" s="219">
        <f>'4. Credit | Crédito'!J58</f>
        <v>88068</v>
      </c>
      <c r="K35" s="219">
        <f>'4. Credit | Crédito'!K58</f>
        <v>106662</v>
      </c>
      <c r="L35" s="219">
        <f>'4. Credit | Crédito'!L58</f>
        <v>228420</v>
      </c>
      <c r="M35" s="219">
        <f>'4. Credit | Crédito'!M58</f>
        <v>322463</v>
      </c>
      <c r="N35" s="219">
        <f>'4. Credit | Crédito'!N58</f>
        <v>348013</v>
      </c>
      <c r="O35" s="219">
        <f>'4. Credit | Crédito'!O58</f>
        <v>406846</v>
      </c>
      <c r="P35" s="219">
        <f>'4. Credit | Crédito'!P58</f>
        <v>340982</v>
      </c>
      <c r="Q35" s="219">
        <f>'4. Credit | Crédito'!Q58</f>
        <v>375896</v>
      </c>
      <c r="R35" s="219">
        <f>'4. Credit | Crédito'!R58</f>
        <v>370924</v>
      </c>
      <c r="S35" s="219">
        <f>'4. Credit | Crédito'!S58</f>
        <v>402038</v>
      </c>
      <c r="T35" s="219">
        <f>'4. Credit | Crédito'!T58</f>
        <v>417887</v>
      </c>
      <c r="U35" s="219">
        <f>'4. Credit | Crédito'!U58</f>
        <v>424259</v>
      </c>
      <c r="V35" s="219">
        <f>'4. Credit | Crédito'!V58</f>
        <v>446719</v>
      </c>
      <c r="W35" s="219">
        <f>'4. Credit | Crédito'!W58</f>
        <v>456585.37339384999</v>
      </c>
      <c r="X35" s="219">
        <f>'4. Credit | Crédito'!X58</f>
        <v>513731</v>
      </c>
      <c r="Y35" s="219">
        <f>'4. Credit | Crédito'!Y58</f>
        <v>590834.09678615024</v>
      </c>
      <c r="Z35" s="220"/>
      <c r="AA35" s="446">
        <f t="shared" si="72"/>
        <v>0.15008457108126683</v>
      </c>
      <c r="AB35" s="446">
        <f t="shared" si="73"/>
        <v>0.39262595911023745</v>
      </c>
    </row>
    <row r="36" spans="2:28" ht="13" customHeight="1">
      <c r="B36" s="63" t="str">
        <f>IF('Summary | Sumário'!D$6=Names!B$3,Names!O61,Names!P61)</f>
        <v>Income from derivatives</v>
      </c>
      <c r="C36" s="220">
        <f>'4. Credit | Crédito'!C62</f>
        <v>4235</v>
      </c>
      <c r="D36" s="220">
        <f>'4. Credit | Crédito'!D62</f>
        <v>-54418</v>
      </c>
      <c r="E36" s="220">
        <f>'4. Credit | Crédito'!E62</f>
        <v>-48330.334000000003</v>
      </c>
      <c r="F36" s="220">
        <f>'4. Credit | Crédito'!F62</f>
        <v>33884.103000000003</v>
      </c>
      <c r="G36" s="220">
        <f>'4. Credit | Crédito'!G62</f>
        <v>-69273</v>
      </c>
      <c r="H36" s="220">
        <f>'4. Credit | Crédito'!H62</f>
        <v>546712.54295000003</v>
      </c>
      <c r="I36" s="220"/>
      <c r="J36" s="220">
        <f>'4. Credit | Crédito'!J62</f>
        <v>-19931.596000000001</v>
      </c>
      <c r="K36" s="220">
        <f>'4. Credit | Crédito'!K62</f>
        <v>-23765.403999999999</v>
      </c>
      <c r="L36" s="220">
        <f>'4. Credit | Crédito'!L62</f>
        <v>-9869</v>
      </c>
      <c r="M36" s="220">
        <f>'4. Credit | Crédito'!M62</f>
        <v>5235.6660000000011</v>
      </c>
      <c r="N36" s="220">
        <f>'4. Credit | Crédito'!N62</f>
        <v>11009.383000000002</v>
      </c>
      <c r="O36" s="220">
        <f>'4. Credit | Crédito'!O62</f>
        <v>-3030.3259999999991</v>
      </c>
      <c r="P36" s="220">
        <f>'4. Credit | Crédito'!P62</f>
        <v>5940.7360000000008</v>
      </c>
      <c r="Q36" s="220">
        <f>'4. Credit | Crédito'!Q62</f>
        <v>19964.310000000001</v>
      </c>
      <c r="R36" s="220">
        <f>'4. Credit | Crédito'!R62</f>
        <v>482.30199999999968</v>
      </c>
      <c r="S36" s="220">
        <f>'4. Credit | Crédito'!S62</f>
        <v>-58862</v>
      </c>
      <c r="T36" s="220">
        <f>'4. Credit | Crédito'!T62</f>
        <v>64133.019220000024</v>
      </c>
      <c r="U36" s="220">
        <f>'4. Credit | Crédito'!U62</f>
        <v>-75026.321220000013</v>
      </c>
      <c r="V36" s="220">
        <f>'4. Credit | Crédito'!V62</f>
        <v>68661.610820000031</v>
      </c>
      <c r="W36" s="220">
        <f>'4. Credit | Crédito'!W62</f>
        <v>173310.82241000002</v>
      </c>
      <c r="X36" s="220">
        <f>'4. Credit | Crédito'!X62</f>
        <v>44424.709440000101</v>
      </c>
      <c r="Y36" s="220">
        <f>'4. Credit | Crédito'!Y62</f>
        <v>260315.40027999989</v>
      </c>
      <c r="Z36" s="220"/>
      <c r="AA36" s="452">
        <f t="shared" si="72"/>
        <v>4.8596984327287771</v>
      </c>
      <c r="AB36" s="452">
        <f t="shared" si="73"/>
        <v>-4.4696543299341025</v>
      </c>
    </row>
    <row r="37" spans="2:28" ht="13" customHeight="1">
      <c r="B37" s="59" t="str">
        <f>IF('Summary | Sumário'!D$6=Names!B$3,Names!S34,Names!T34)</f>
        <v>Net fee revenues</v>
      </c>
      <c r="C37" s="247">
        <f>C27</f>
        <v>126672.66099999999</v>
      </c>
      <c r="D37" s="247">
        <f t="shared" ref="D37:R37" si="74">D27</f>
        <v>295416</v>
      </c>
      <c r="E37" s="247">
        <f t="shared" si="74"/>
        <v>632354</v>
      </c>
      <c r="F37" s="247">
        <f t="shared" si="74"/>
        <v>1227268</v>
      </c>
      <c r="G37" s="247">
        <f t="shared" ref="G37:H37" si="75">G27</f>
        <v>1544488.6</v>
      </c>
      <c r="H37" s="247">
        <f t="shared" si="75"/>
        <v>2018008.6035415339</v>
      </c>
      <c r="I37" s="217"/>
      <c r="J37" s="247">
        <f t="shared" si="74"/>
        <v>125185</v>
      </c>
      <c r="K37" s="247">
        <f t="shared" si="74"/>
        <v>165118</v>
      </c>
      <c r="L37" s="247">
        <f t="shared" si="74"/>
        <v>159140</v>
      </c>
      <c r="M37" s="247">
        <f t="shared" si="74"/>
        <v>182911</v>
      </c>
      <c r="N37" s="247">
        <f t="shared" si="74"/>
        <v>290110</v>
      </c>
      <c r="O37" s="247">
        <f t="shared" si="74"/>
        <v>315933</v>
      </c>
      <c r="P37" s="247">
        <f t="shared" si="74"/>
        <v>294716</v>
      </c>
      <c r="Q37" s="247">
        <f t="shared" si="74"/>
        <v>326509</v>
      </c>
      <c r="R37" s="247">
        <f t="shared" si="74"/>
        <v>312552</v>
      </c>
      <c r="S37" s="247">
        <f t="shared" ref="S37:T37" si="76">S27</f>
        <v>347959</v>
      </c>
      <c r="T37" s="247">
        <f t="shared" si="76"/>
        <v>446938.50028000004</v>
      </c>
      <c r="U37" s="247">
        <f t="shared" ref="U37:V37" si="77">U27</f>
        <v>437039.09971999994</v>
      </c>
      <c r="V37" s="247">
        <f t="shared" si="77"/>
        <v>430274.39485153224</v>
      </c>
      <c r="W37" s="247">
        <f t="shared" ref="W37:Y37" si="78">W27</f>
        <v>448929.08523867995</v>
      </c>
      <c r="X37" s="247">
        <f t="shared" si="78"/>
        <v>541378.11297993874</v>
      </c>
      <c r="Y37" s="247">
        <f t="shared" si="78"/>
        <v>597427.01047138299</v>
      </c>
      <c r="Z37" s="217"/>
      <c r="AA37" s="445">
        <f t="shared" si="48"/>
        <v>0.10353003962966123</v>
      </c>
      <c r="AB37" s="445">
        <f t="shared" si="49"/>
        <v>0.36698755524194415</v>
      </c>
    </row>
    <row r="38" spans="2:28" ht="13" customHeight="1">
      <c r="B38" s="655" t="str">
        <f>IF('Summary | Sumário'!D$6=Names!B$3,Names!S35,Names!T35)</f>
        <v>(=) Fee income ratio (%)</v>
      </c>
      <c r="C38" s="411">
        <f>C30/C31</f>
        <v>0.17785517097556802</v>
      </c>
      <c r="D38" s="411">
        <f t="shared" ref="D38:R38" si="79">D30/D31</f>
        <v>0.29209231219663073</v>
      </c>
      <c r="E38" s="411">
        <f t="shared" si="79"/>
        <v>0.2846105696341697</v>
      </c>
      <c r="F38" s="411">
        <f t="shared" si="79"/>
        <v>0.34447721382753443</v>
      </c>
      <c r="G38" s="411">
        <f t="shared" ref="G38:H38" si="80">G30/G31</f>
        <v>0.32497914429106756</v>
      </c>
      <c r="H38" s="411">
        <f t="shared" si="80"/>
        <v>0.31530570559241194</v>
      </c>
      <c r="I38" s="407"/>
      <c r="J38" s="411">
        <f t="shared" si="79"/>
        <v>0.30037214689740094</v>
      </c>
      <c r="K38" s="411">
        <f t="shared" si="79"/>
        <v>0.35325906087144743</v>
      </c>
      <c r="L38" s="411">
        <f t="shared" si="79"/>
        <v>0.26238649236843431</v>
      </c>
      <c r="M38" s="411">
        <f t="shared" si="79"/>
        <v>0.25017495259332984</v>
      </c>
      <c r="N38" s="411">
        <f t="shared" si="79"/>
        <v>0.34805361206159868</v>
      </c>
      <c r="O38" s="411">
        <f t="shared" si="79"/>
        <v>0.36023453053187038</v>
      </c>
      <c r="P38" s="411">
        <f t="shared" si="79"/>
        <v>0.34660096240675448</v>
      </c>
      <c r="Q38" s="411">
        <f t="shared" si="79"/>
        <v>0.32590529563760329</v>
      </c>
      <c r="R38" s="411">
        <f t="shared" si="79"/>
        <v>0.30519254902884241</v>
      </c>
      <c r="S38" s="411">
        <f t="shared" ref="S38:T38" si="81">S30/S31</f>
        <v>0.30256409810492557</v>
      </c>
      <c r="T38" s="411">
        <f t="shared" si="81"/>
        <v>0.35317269958888597</v>
      </c>
      <c r="U38" s="411">
        <f t="shared" ref="U38:V38" si="82">U30/U31</f>
        <v>0.33287213630187956</v>
      </c>
      <c r="V38" s="411">
        <f t="shared" si="82"/>
        <v>0.30713282977856077</v>
      </c>
      <c r="W38" s="411">
        <f t="shared" ref="W38:Y38" si="83">W30/W31</f>
        <v>0.30361811838619518</v>
      </c>
      <c r="X38" s="411">
        <f t="shared" si="83"/>
        <v>0.32299036179579671</v>
      </c>
      <c r="Y38" s="411">
        <f t="shared" si="83"/>
        <v>0.32389908393985323</v>
      </c>
      <c r="Z38" s="407"/>
      <c r="AA38" s="659">
        <f>(Y38-X38)*100</f>
        <v>9.0872214405651741E-2</v>
      </c>
      <c r="AB38" s="659">
        <f>(Y38-U38)*100</f>
        <v>-0.89730523620263347</v>
      </c>
    </row>
    <row r="39" spans="2:28" ht="13" customHeight="1">
      <c r="AA39" s="206"/>
      <c r="AB39" s="206"/>
    </row>
    <row r="40" spans="2:28" ht="13" customHeight="1">
      <c r="B40" s="25" t="str">
        <f>IF('Summary | Sumário'!D$6=Names!B$3,Names!K43,Names!L43)</f>
        <v>Note: Revenue from foreign exchange was reallocated from Other Revenues to Income from Securities, Derivatives, and Foreign Exchange in Q4 2024. To ensure better comparability between quarters and years, this adjustment has been applied historically in this material.</v>
      </c>
      <c r="C40" s="133" t="s">
        <v>976</v>
      </c>
    </row>
    <row r="43" spans="2:28" ht="13" customHeight="1">
      <c r="E43" s="212"/>
    </row>
  </sheetData>
  <sheetProtection algorithmName="SHA-512" hashValue="Gp4jZdg3Hq6X5yM1ml4n+96NroG22GLasf0ecNxp8R7uZPFQN8d8YzMNQPG4mOEPLqacnA6GRGWdpBBHQ1wXFg==" saltValue="ewQ6ykHr+sp+CYEq2ss5L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EE35-A6A6-F947-816E-CF45E782FE5A}">
  <sheetPr codeName="Sheet6">
    <tabColor rgb="FFEB7100"/>
  </sheetPr>
  <dimension ref="B1:AF2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4" customWidth="1"/>
    <col min="9" max="9" width="2.83203125" style="674" customWidth="1"/>
    <col min="10" max="25" width="10.83203125" style="134" customWidth="1"/>
    <col min="26" max="26" width="5.83203125" style="134" customWidth="1"/>
    <col min="27" max="28" width="10.83203125" style="134" customWidth="1"/>
    <col min="29" max="16384" width="10.83203125" style="133"/>
  </cols>
  <sheetData>
    <row r="1" spans="2:32" ht="13" customHeight="1">
      <c r="AC1" s="134"/>
    </row>
    <row r="2" spans="2:32" s="10" customFormat="1" ht="13" customHeight="1">
      <c r="B2" s="310" t="str">
        <f>IF('Summary | Sumário'!D$6=Names!B$3,Names!V1,Names!W1)</f>
        <v>Financials KPIs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670"/>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2:32" ht="13" customHeight="1">
      <c r="B3" s="47"/>
      <c r="C3" s="173"/>
      <c r="D3" s="173"/>
      <c r="E3" s="173"/>
      <c r="F3" s="173"/>
      <c r="G3" s="173"/>
      <c r="H3" s="173"/>
      <c r="I3" s="671"/>
      <c r="J3" s="173"/>
      <c r="K3" s="173"/>
      <c r="L3" s="173"/>
      <c r="M3" s="173"/>
      <c r="N3" s="173"/>
      <c r="O3" s="173"/>
      <c r="P3" s="173"/>
      <c r="Q3" s="173"/>
      <c r="R3" s="173"/>
      <c r="S3" s="173"/>
      <c r="T3" s="173"/>
      <c r="U3" s="173"/>
      <c r="V3" s="173"/>
      <c r="W3" s="173"/>
      <c r="X3" s="173"/>
      <c r="Y3" s="173"/>
      <c r="Z3" s="173"/>
      <c r="AA3" s="173"/>
      <c r="AB3" s="173"/>
      <c r="AC3" s="145"/>
    </row>
    <row r="4" spans="2:32" ht="13" customHeight="1">
      <c r="B4" s="313" t="str">
        <f>IF('Summary | Sumário'!D$6=Names!B$3,Names!V2,Names!W2)</f>
        <v>Financials KPIs</v>
      </c>
      <c r="C4" s="306"/>
      <c r="D4" s="306"/>
      <c r="E4" s="306"/>
      <c r="F4" s="306"/>
      <c r="G4" s="306"/>
      <c r="H4" s="306"/>
      <c r="I4" s="675"/>
      <c r="J4" s="306"/>
      <c r="K4" s="306"/>
      <c r="L4" s="306"/>
      <c r="M4" s="306"/>
      <c r="N4" s="306"/>
      <c r="O4" s="306"/>
      <c r="P4" s="306"/>
      <c r="Q4" s="306"/>
      <c r="R4" s="306"/>
      <c r="S4" s="306"/>
      <c r="T4" s="306"/>
      <c r="U4" s="306"/>
      <c r="V4" s="306"/>
      <c r="W4" s="306"/>
      <c r="X4" s="306"/>
      <c r="Y4" s="306"/>
      <c r="Z4" s="306"/>
      <c r="AA4" s="306"/>
      <c r="AB4" s="306"/>
    </row>
    <row r="5" spans="2:32" ht="13" customHeight="1">
      <c r="B5" s="355" t="str">
        <f>IF('Summary | Sumário'!D$6=Names!B$3,Names!V3,Names!W3)</f>
        <v>Tier I ratio (%)</v>
      </c>
      <c r="C5" s="356">
        <v>0.39400000000000002</v>
      </c>
      <c r="D5" s="356">
        <v>0.31828739525522021</v>
      </c>
      <c r="E5" s="356">
        <f>M5</f>
        <v>0.443</v>
      </c>
      <c r="F5" s="356">
        <f>Q5</f>
        <v>0.24099999999999999</v>
      </c>
      <c r="G5" s="356">
        <f>R5</f>
        <v>0.23</v>
      </c>
      <c r="H5" s="356">
        <f>S5</f>
        <v>0.22800000000000001</v>
      </c>
      <c r="I5" s="672"/>
      <c r="J5" s="356">
        <v>0.24099999999999999</v>
      </c>
      <c r="K5" s="356">
        <v>0.19600000000000001</v>
      </c>
      <c r="L5" s="356">
        <v>0.49740000000000001</v>
      </c>
      <c r="M5" s="356">
        <v>0.443</v>
      </c>
      <c r="N5" s="356">
        <v>0.35699999999999998</v>
      </c>
      <c r="O5" s="356">
        <v>0.32900000000000001</v>
      </c>
      <c r="P5" s="356">
        <v>0.29799999999999999</v>
      </c>
      <c r="Q5" s="356">
        <v>0.24099999999999999</v>
      </c>
      <c r="R5" s="356">
        <v>0.23</v>
      </c>
      <c r="S5" s="356">
        <f>'7.1. Tier I Ratio | Basileia'!S22</f>
        <v>0.22800000000000001</v>
      </c>
      <c r="T5" s="356">
        <f>'7.1. Tier I Ratio | Basileia'!T22</f>
        <v>0.2374</v>
      </c>
      <c r="U5" s="356">
        <f>'7.1. Tier I Ratio | Basileia'!U22</f>
        <v>0.229501027251763</v>
      </c>
      <c r="V5" s="356">
        <f>'7.1. Tier I Ratio | Basileia'!V22</f>
        <v>0.20276529979036845</v>
      </c>
      <c r="W5" s="356">
        <f>'7.1. Tier I Ratio | Basileia'!W22</f>
        <v>0.19289246116070838</v>
      </c>
      <c r="X5" s="356">
        <f>'7.1. Tier I Ratio | Basileia'!X22</f>
        <v>0.17004172684835503</v>
      </c>
      <c r="Y5" s="356">
        <f>'7.1. Tier I Ratio | Basileia'!Y22</f>
        <v>0.15185433300000001</v>
      </c>
      <c r="Z5" s="237"/>
      <c r="AA5" s="449">
        <f>(Y5-X5)*100</f>
        <v>-1.818739384835502</v>
      </c>
      <c r="AB5" s="449">
        <f>(Y5-U5)*100</f>
        <v>-7.7646694251762991</v>
      </c>
    </row>
    <row r="6" spans="2:32" ht="13" customHeight="1">
      <c r="B6" s="109" t="str">
        <f>SUBSTITUTE('7.2. NIMs'!B13,"(=) ","")</f>
        <v>NIM 1.0 - IEP + non-interest credit card receivables (%)</v>
      </c>
      <c r="C6" s="237">
        <f>'7.2. NIMs'!C13</f>
        <v>9.803273556152127E-2</v>
      </c>
      <c r="D6" s="237">
        <f>'7.2. NIMs'!D13</f>
        <v>6.8765813012030511E-2</v>
      </c>
      <c r="E6" s="237">
        <f>'7.2. NIMs'!E13</f>
        <v>6.8686025238162099E-2</v>
      </c>
      <c r="F6" s="237">
        <f>'7.2. NIMs'!F13</f>
        <v>6.7187972099359394E-2</v>
      </c>
      <c r="G6" s="237">
        <f>'7.2. NIMs'!G13</f>
        <v>7.4108011985746847E-2</v>
      </c>
      <c r="H6" s="237">
        <f>'7.2. NIMs'!H13</f>
        <v>7.8313049847868174E-2</v>
      </c>
      <c r="I6" s="237"/>
      <c r="J6" s="237">
        <f>'7.2. NIMs'!J13</f>
        <v>7.2951975119432563E-2</v>
      </c>
      <c r="K6" s="237">
        <f>'7.2. NIMs'!K13</f>
        <v>6.3549979961634515E-2</v>
      </c>
      <c r="L6" s="237">
        <f>'7.2. NIMs'!L13</f>
        <v>7.1739740077472594E-2</v>
      </c>
      <c r="M6" s="237">
        <f>'7.2. NIMs'!M13</f>
        <v>7.2623557458651997E-2</v>
      </c>
      <c r="N6" s="237">
        <f>'7.2. NIMs'!N13</f>
        <v>6.9048821571817423E-2</v>
      </c>
      <c r="O6" s="237">
        <f>'7.2. NIMs'!O13</f>
        <v>6.9509845215690286E-2</v>
      </c>
      <c r="P6" s="237">
        <f>'7.2. NIMs'!P13</f>
        <v>6.3804533571706151E-2</v>
      </c>
      <c r="Q6" s="237">
        <f>'7.2. NIMs'!Q13</f>
        <v>7.2326139408217319E-2</v>
      </c>
      <c r="R6" s="237">
        <f>'7.2. NIMs'!R13</f>
        <v>7.4154799845049288E-2</v>
      </c>
      <c r="S6" s="237">
        <f>'7.2. NIMs'!S13</f>
        <v>8.1292947827274115E-2</v>
      </c>
      <c r="T6" s="237">
        <f>'7.2. NIMs'!T13</f>
        <v>7.801107965136754E-2</v>
      </c>
      <c r="U6" s="237">
        <f>'7.2. NIMs'!U13</f>
        <v>7.6016077708297214E-2</v>
      </c>
      <c r="V6" s="237">
        <f>'7.2. NIMs'!V13</f>
        <v>7.8008641104081178E-2</v>
      </c>
      <c r="W6" s="237">
        <f>'7.2. NIMs'!W13</f>
        <v>7.8135807176650154E-2</v>
      </c>
      <c r="X6" s="237">
        <f>'7.2. NIMs'!X13</f>
        <v>8.1287401216105656E-2</v>
      </c>
      <c r="Y6" s="237">
        <f>'7.2. NIMs'!Y13</f>
        <v>8.2633702563661024E-2</v>
      </c>
      <c r="Z6" s="237"/>
      <c r="AA6" s="448">
        <f t="shared" ref="AA6:AA8" si="0">(Y6-X6)*100</f>
        <v>0.13463013475553676</v>
      </c>
      <c r="AB6" s="448">
        <f t="shared" ref="AB6:AB7" si="1">(Y6-U6)*100</f>
        <v>0.66176248553638106</v>
      </c>
    </row>
    <row r="7" spans="2:32" ht="13" customHeight="1">
      <c r="B7" s="108" t="str">
        <f>IF('Summary | Sumário'!D$6=Names!B$3,Names!V5,Names!W5)</f>
        <v>NIM 2.0 - IEP only (%)</v>
      </c>
      <c r="C7" s="236">
        <v>0.10015396785338168</v>
      </c>
      <c r="D7" s="236">
        <v>7.6855957776781919E-2</v>
      </c>
      <c r="E7" s="236">
        <v>7.9739178953572548E-2</v>
      </c>
      <c r="F7" s="236">
        <v>8.1193730888708404E-2</v>
      </c>
      <c r="G7" s="236">
        <v>8.9493335991406561E-2</v>
      </c>
      <c r="H7" s="236">
        <v>9.3951022540927714E-2</v>
      </c>
      <c r="I7" s="672"/>
      <c r="J7" s="236">
        <v>8.2699019711135066E-2</v>
      </c>
      <c r="K7" s="236">
        <v>7.260152792783664E-2</v>
      </c>
      <c r="L7" s="236">
        <v>8.1419665829301657E-2</v>
      </c>
      <c r="M7" s="236">
        <v>8.2770378552919258E-2</v>
      </c>
      <c r="N7" s="236">
        <v>7.997508739693264E-2</v>
      </c>
      <c r="O7" s="236">
        <v>8.1316950034542562E-2</v>
      </c>
      <c r="P7" s="236">
        <v>7.449783867924259E-2</v>
      </c>
      <c r="Q7" s="236">
        <v>8.4173231101979815E-2</v>
      </c>
      <c r="R7" s="236">
        <v>8.6679432114480065E-2</v>
      </c>
      <c r="S7" s="236">
        <v>9.5275870614249816E-2</v>
      </c>
      <c r="T7" s="236">
        <v>9.1881397604864121E-2</v>
      </c>
      <c r="U7" s="236">
        <v>8.9925280362379637E-2</v>
      </c>
      <c r="V7" s="236">
        <v>9.2313222374359544E-2</v>
      </c>
      <c r="W7" s="236">
        <v>9.2300981449644992E-2</v>
      </c>
      <c r="X7" s="236">
        <v>9.5687619743265756E-2</v>
      </c>
      <c r="Y7" s="236">
        <v>9.7219181251807743E-2</v>
      </c>
      <c r="Z7" s="237"/>
      <c r="AA7" s="447">
        <f t="shared" si="0"/>
        <v>0.1531561508541987</v>
      </c>
      <c r="AB7" s="447">
        <f t="shared" si="1"/>
        <v>0.72939008894281065</v>
      </c>
      <c r="AC7" s="238"/>
    </row>
    <row r="8" spans="2:32" ht="13" customHeight="1">
      <c r="B8" s="109" t="str">
        <f>IF('Summary | Sumário'!D$6=Names!B$3,Names!V6,Names!W6)</f>
        <v>Efficiency ratio (%)</v>
      </c>
      <c r="C8" s="237">
        <v>0.80448043413149117</v>
      </c>
      <c r="D8" s="237">
        <v>0.89667983853718281</v>
      </c>
      <c r="E8" s="237">
        <v>0.82011320489086004</v>
      </c>
      <c r="F8" s="237">
        <v>0.72178098742996011</v>
      </c>
      <c r="G8" s="237">
        <f>'7.3. Efficiency | Eficiência'!G14</f>
        <v>0.54508152181894554</v>
      </c>
      <c r="H8" s="237">
        <f>'7.3. Efficiency | Eficiência'!H14</f>
        <v>0.49224764091763995</v>
      </c>
      <c r="I8" s="672"/>
      <c r="J8" s="237">
        <v>0.8224467649408943</v>
      </c>
      <c r="K8" s="237">
        <v>0.8949860183046211</v>
      </c>
      <c r="L8" s="237">
        <v>0.68477256272790943</v>
      </c>
      <c r="M8" s="237">
        <v>0.88300737159708209</v>
      </c>
      <c r="N8" s="237">
        <v>0.71882577509772239</v>
      </c>
      <c r="O8" s="237">
        <v>0.68258662740128873</v>
      </c>
      <c r="P8" s="237">
        <v>0.75028956831525428</v>
      </c>
      <c r="Q8" s="237">
        <v>0.73439393175827561</v>
      </c>
      <c r="R8" s="237">
        <v>0.62351037661067732</v>
      </c>
      <c r="S8" s="237">
        <v>0.53383674950420901</v>
      </c>
      <c r="T8" s="237">
        <v>0.5242586846296321</v>
      </c>
      <c r="U8" s="237">
        <v>0.51364353479126668</v>
      </c>
      <c r="V8" s="237">
        <v>0.47740995408553893</v>
      </c>
      <c r="W8" s="237">
        <v>0.47859484625533177</v>
      </c>
      <c r="X8" s="237">
        <v>0.50700442145484104</v>
      </c>
      <c r="Y8" s="237">
        <v>0.50144676598069915</v>
      </c>
      <c r="Z8" s="237"/>
      <c r="AA8" s="448">
        <f t="shared" si="0"/>
        <v>-0.55576554741418871</v>
      </c>
      <c r="AB8" s="448">
        <f>(Y8-U8)*100</f>
        <v>-1.2196768810567526</v>
      </c>
    </row>
    <row r="9" spans="2:32" ht="13" customHeight="1">
      <c r="B9" s="108" t="str">
        <f>IF('Summary | Sumário'!D$6=Names!B$3,Names!V7,Names!W7)</f>
        <v>Cost-to-serve (R$)</v>
      </c>
      <c r="C9" s="239">
        <v>18.74712515371165</v>
      </c>
      <c r="D9" s="239">
        <v>17.830909204132052</v>
      </c>
      <c r="E9" s="239">
        <v>17.409937868948457</v>
      </c>
      <c r="F9" s="239">
        <v>16.574093350746622</v>
      </c>
      <c r="G9" s="239">
        <f>'7.4. CTS | Custo de servir'!G14</f>
        <v>12.852293711960394</v>
      </c>
      <c r="H9" s="239">
        <f>'7.4. CTS | Custo de servir'!H14</f>
        <v>13.584665350400515</v>
      </c>
      <c r="I9" s="673"/>
      <c r="J9" s="239">
        <v>15.873373059532792</v>
      </c>
      <c r="K9" s="239">
        <v>17.183325533777968</v>
      </c>
      <c r="L9" s="239">
        <v>14.438974922927862</v>
      </c>
      <c r="M9" s="239">
        <v>21.197166973408052</v>
      </c>
      <c r="N9" s="239">
        <v>17.504516477667526</v>
      </c>
      <c r="O9" s="239">
        <v>15.659009047475481</v>
      </c>
      <c r="P9" s="239">
        <v>15.811985206549455</v>
      </c>
      <c r="Q9" s="239">
        <v>17.144369708964522</v>
      </c>
      <c r="R9" s="239">
        <v>13.841844617734582</v>
      </c>
      <c r="S9" s="239">
        <v>12.525885414818191</v>
      </c>
      <c r="T9" s="239">
        <v>12.654836511248545</v>
      </c>
      <c r="U9" s="239">
        <v>12.494674203389398</v>
      </c>
      <c r="V9" s="239">
        <v>11.676346720405142</v>
      </c>
      <c r="W9" s="239">
        <v>11.126182837386366</v>
      </c>
      <c r="X9" s="239">
        <v>12.609271003761952</v>
      </c>
      <c r="Y9" s="239">
        <v>13.008036068612059</v>
      </c>
      <c r="Z9" s="240"/>
      <c r="AA9" s="236">
        <f>Y9/X9-1</f>
        <v>3.1624751718885014E-2</v>
      </c>
      <c r="AB9" s="236">
        <f>Y9/U9-1</f>
        <v>4.1086454665893113E-2</v>
      </c>
    </row>
    <row r="10" spans="2:32" ht="13" customHeight="1">
      <c r="B10" s="109" t="str">
        <f>IF('Summary | Sumário'!D$6=Names!B$3,Names!V8,Names!W8)</f>
        <v>ARPAC gross of cost of funding (R$)</v>
      </c>
      <c r="C10" s="240">
        <v>37.439906636795584</v>
      </c>
      <c r="D10" s="240">
        <v>29.358654512771416</v>
      </c>
      <c r="E10" s="240">
        <v>36.896683850892757</v>
      </c>
      <c r="F10" s="240">
        <v>46.59826596470721</v>
      </c>
      <c r="G10" s="240">
        <v>46.446135982044439</v>
      </c>
      <c r="H10" s="240">
        <v>46.627141333167238</v>
      </c>
      <c r="I10" s="673"/>
      <c r="J10" s="240">
        <v>31.860069934553835</v>
      </c>
      <c r="K10" s="240">
        <v>32.116674790571992</v>
      </c>
      <c r="L10" s="240">
        <v>37.142020815254909</v>
      </c>
      <c r="M10" s="240">
        <v>43.653785357728026</v>
      </c>
      <c r="N10" s="240">
        <v>45.637615645372996</v>
      </c>
      <c r="O10" s="240">
        <v>47.27263716487105</v>
      </c>
      <c r="P10" s="240">
        <v>45.898270026182765</v>
      </c>
      <c r="Q10" s="240">
        <v>46.871338638732432</v>
      </c>
      <c r="R10" s="240">
        <v>45.928754143736505</v>
      </c>
      <c r="S10" s="240">
        <v>46.097358198258931</v>
      </c>
      <c r="T10" s="240">
        <v>47.683229324275089</v>
      </c>
      <c r="U10" s="240">
        <v>45.943985472726851</v>
      </c>
      <c r="V10" s="240">
        <v>45.155471724025873</v>
      </c>
      <c r="W10" s="240">
        <v>44.744988009538986</v>
      </c>
      <c r="X10" s="240">
        <v>47.164658772595487</v>
      </c>
      <c r="Y10" s="240">
        <v>49.265193356666927</v>
      </c>
      <c r="Z10" s="240"/>
      <c r="AA10" s="237">
        <f t="shared" ref="AA10:AA11" si="2">Y10/X10-1</f>
        <v>4.4536198050306508E-2</v>
      </c>
      <c r="AB10" s="237">
        <f t="shared" ref="AB10:AB11" si="3">Y10/U10-1</f>
        <v>7.228819724208746E-2</v>
      </c>
    </row>
    <row r="11" spans="2:32" ht="13" customHeight="1">
      <c r="B11" s="108" t="str">
        <f>IF('Summary | Sumário'!D$6=Names!B$3,Names!V9,Names!W9)</f>
        <v>ARPAC net of cost of of funding (R$)</v>
      </c>
      <c r="C11" s="239">
        <v>28.068065362420551</v>
      </c>
      <c r="D11" s="239">
        <v>25.281336702420809</v>
      </c>
      <c r="E11" s="239">
        <v>30.465627108473576</v>
      </c>
      <c r="F11" s="239">
        <v>31.241092843481823</v>
      </c>
      <c r="G11" s="239">
        <v>29.845048678849022</v>
      </c>
      <c r="H11" s="239">
        <v>31.696587175739637</v>
      </c>
      <c r="I11" s="673"/>
      <c r="J11" s="239">
        <v>28.021135483485626</v>
      </c>
      <c r="K11" s="239">
        <v>27.758613865728019</v>
      </c>
      <c r="L11" s="239">
        <v>30.994658079423658</v>
      </c>
      <c r="M11" s="239">
        <v>33.616337321773365</v>
      </c>
      <c r="N11" s="239">
        <v>33.642902820159577</v>
      </c>
      <c r="O11" s="239">
        <v>32.228336657426247</v>
      </c>
      <c r="P11" s="239">
        <v>28.619322819900653</v>
      </c>
      <c r="Q11" s="239">
        <v>30.603069331861221</v>
      </c>
      <c r="R11" s="239">
        <v>28.760735743563671</v>
      </c>
      <c r="S11" s="239">
        <v>29.637117497266111</v>
      </c>
      <c r="T11" s="239">
        <v>30.545065612319828</v>
      </c>
      <c r="U11" s="239">
        <v>30.213523142505512</v>
      </c>
      <c r="V11" s="239">
        <v>30.12950552039543</v>
      </c>
      <c r="W11" s="239">
        <v>30.363160986666056</v>
      </c>
      <c r="X11" s="239">
        <v>32.481723260924618</v>
      </c>
      <c r="Y11" s="239">
        <v>33.618866356163522</v>
      </c>
      <c r="Z11" s="240"/>
      <c r="AA11" s="236">
        <f t="shared" si="2"/>
        <v>3.5008705852958233E-2</v>
      </c>
      <c r="AB11" s="236">
        <f t="shared" si="3"/>
        <v>0.11270923942223887</v>
      </c>
    </row>
    <row r="12" spans="2:32" ht="13" customHeight="1">
      <c r="B12" s="109" t="str">
        <f>IF('Summary | Sumário'!D$6=Names!B$3,Names!V10,Names!W10)</f>
        <v>ROAA (%)</v>
      </c>
      <c r="C12" s="237">
        <v>3.0137344267975844E-3</v>
      </c>
      <c r="D12" s="237">
        <v>2.03568129271206E-3</v>
      </c>
      <c r="E12" s="237">
        <v>-1.9476721466506826E-3</v>
      </c>
      <c r="F12" s="237">
        <v>-3.3937351960746374E-4</v>
      </c>
      <c r="G12" s="237">
        <v>8.16235850035049E-3</v>
      </c>
      <c r="H12" s="237">
        <v>1.4083273887730858E-2</v>
      </c>
      <c r="I12" s="672"/>
      <c r="J12" s="237">
        <v>-5.2092398426627066E-4</v>
      </c>
      <c r="K12" s="237">
        <v>-4.7150550114909654E-3</v>
      </c>
      <c r="L12" s="237">
        <v>4.2886875256527663E-3</v>
      </c>
      <c r="M12" s="237">
        <v>-6.3902394101949785E-3</v>
      </c>
      <c r="N12" s="237">
        <v>-3.0645983596684439E-3</v>
      </c>
      <c r="O12" s="237">
        <v>1.5613925295753291E-3</v>
      </c>
      <c r="P12" s="237">
        <v>-2.7927610239118416E-3</v>
      </c>
      <c r="Q12" s="237">
        <v>2.555875116911003E-3</v>
      </c>
      <c r="R12" s="237">
        <v>2.0599676786001273E-3</v>
      </c>
      <c r="S12" s="237">
        <v>5.2543782997418655E-3</v>
      </c>
      <c r="T12" s="237">
        <v>7.9298705758538354E-3</v>
      </c>
      <c r="U12" s="237">
        <v>1.0941491880112446E-2</v>
      </c>
      <c r="V12" s="237">
        <v>1.2570138054780456E-2</v>
      </c>
      <c r="W12" s="237">
        <v>1.3795800898751617E-2</v>
      </c>
      <c r="X12" s="237">
        <v>1.5238514392808147E-2</v>
      </c>
      <c r="Y12" s="237">
        <v>1.6118793982575472E-2</v>
      </c>
      <c r="Z12" s="237"/>
      <c r="AA12" s="448">
        <f>(Y12-X12)*100</f>
        <v>8.8027958976732462E-2</v>
      </c>
      <c r="AB12" s="448">
        <f>(Y12-U12)*100</f>
        <v>0.51773021024630261</v>
      </c>
    </row>
    <row r="13" spans="2:32" ht="13" customHeight="1">
      <c r="B13" s="638" t="str">
        <f>IF('Summary | Sumário'!D$6=Names!B$3,Names!V14,Names!W14)</f>
        <v>ROAA (%) - Excluding Minority Interest</v>
      </c>
      <c r="C13" s="236">
        <v>2.7471235236059314E-3</v>
      </c>
      <c r="D13" s="236">
        <v>1.1941184516035179E-3</v>
      </c>
      <c r="E13" s="236">
        <v>-2.5699958866494247E-3</v>
      </c>
      <c r="F13" s="236">
        <v>-2.6732735194309059E-4</v>
      </c>
      <c r="G13" s="236">
        <v>7.0057115655239553E-3</v>
      </c>
      <c r="H13" s="236">
        <v>1.3132040280580477E-2</v>
      </c>
      <c r="I13" s="672"/>
      <c r="J13" s="236">
        <v>-1.6749245858386761E-3</v>
      </c>
      <c r="K13" s="236">
        <v>-1.8596935428399485E-3</v>
      </c>
      <c r="L13" s="236">
        <v>3.9317693632322985E-4</v>
      </c>
      <c r="M13" s="236">
        <v>-6.265184952183144E-3</v>
      </c>
      <c r="N13" s="236">
        <v>3.479068437803681E-4</v>
      </c>
      <c r="O13" s="236">
        <v>-1.6684691253949461E-3</v>
      </c>
      <c r="P13" s="236">
        <v>-2.8316831734554802E-3</v>
      </c>
      <c r="Q13" s="236">
        <v>2.8594755615286151E-3</v>
      </c>
      <c r="R13" s="236">
        <v>9.7018216775827753E-4</v>
      </c>
      <c r="S13" s="236">
        <v>3.9913034438573986E-3</v>
      </c>
      <c r="T13" s="236">
        <v>6.9500659050918522E-3</v>
      </c>
      <c r="U13" s="236">
        <v>1.0337814380105765E-2</v>
      </c>
      <c r="V13" s="236">
        <v>1.176996847376029E-2</v>
      </c>
      <c r="W13" s="236">
        <v>1.2792996491737632E-2</v>
      </c>
      <c r="X13" s="236">
        <v>1.4222315961552197E-2</v>
      </c>
      <c r="Y13" s="236">
        <v>1.5039036272704802E-2</v>
      </c>
      <c r="Z13" s="237"/>
      <c r="AA13" s="447">
        <f t="shared" ref="AA13:AA16" si="4">(Y13-X13)*100</f>
        <v>8.1672031115260529E-2</v>
      </c>
      <c r="AB13" s="447">
        <f t="shared" ref="AB13:AB16" si="5">(Y13-U13)*100</f>
        <v>0.47012218925990368</v>
      </c>
    </row>
    <row r="14" spans="2:32" ht="13" customHeight="1">
      <c r="B14" s="109" t="str">
        <f>IF('Summary | Sumário'!D$6=Names!B$3,Names!V11,Names!W11)</f>
        <v>ROAE (%)</v>
      </c>
      <c r="C14" s="237">
        <v>1.4047424579243236E-2</v>
      </c>
      <c r="D14" s="237">
        <v>1.1131259073525654E-2</v>
      </c>
      <c r="E14" s="237">
        <v>-9.3542450497108506E-3</v>
      </c>
      <c r="F14" s="237">
        <v>-1.8120750177201507E-3</v>
      </c>
      <c r="G14" s="237">
        <v>4.7972888086753221E-2</v>
      </c>
      <c r="H14" s="237">
        <v>0.11672460361685819</v>
      </c>
      <c r="I14" s="672"/>
      <c r="J14" s="237">
        <v>-3.2768173052661002E-3</v>
      </c>
      <c r="K14" s="237">
        <v>-2.0428791131351785E-2</v>
      </c>
      <c r="L14" s="237">
        <v>1.5947182749384788E-2</v>
      </c>
      <c r="M14" s="237">
        <v>-2.6477465454938745E-2</v>
      </c>
      <c r="N14" s="237">
        <v>-1.3721365595023884E-2</v>
      </c>
      <c r="O14" s="237">
        <v>8.0287342772962494E-3</v>
      </c>
      <c r="P14" s="237">
        <v>-1.660830417088487E-2</v>
      </c>
      <c r="Q14" s="237">
        <v>1.6199244681769691E-2</v>
      </c>
      <c r="R14" s="237">
        <v>1.3615002027547946E-2</v>
      </c>
      <c r="S14" s="237">
        <v>3.5509163231094806E-2</v>
      </c>
      <c r="T14" s="237">
        <v>5.6740741194691365E-2</v>
      </c>
      <c r="U14" s="237">
        <v>8.5379887013079483E-2</v>
      </c>
      <c r="V14" s="237">
        <v>9.6792448626721359E-2</v>
      </c>
      <c r="W14" s="237">
        <v>0.10389101948573262</v>
      </c>
      <c r="X14" s="237">
        <v>0.11903265801658322</v>
      </c>
      <c r="Y14" s="237">
        <v>0.13152846449147851</v>
      </c>
      <c r="Z14" s="237"/>
      <c r="AA14" s="448">
        <f t="shared" si="4"/>
        <v>1.2495806474895288</v>
      </c>
      <c r="AB14" s="448">
        <f t="shared" si="5"/>
        <v>4.6148577478399027</v>
      </c>
    </row>
    <row r="15" spans="2:32" ht="13" customHeight="1">
      <c r="B15" s="638" t="str">
        <f>IF('Summary | Sumário'!D$6=Names!B$3,Names!V15,Names!W15)</f>
        <v>ROAE (%) - Excluding Minority Interest</v>
      </c>
      <c r="C15" s="236">
        <v>3.9372968095706907E-3</v>
      </c>
      <c r="D15" s="236">
        <v>6.5929313072213601E-3</v>
      </c>
      <c r="E15" s="236">
        <v>-2.4499984502511288E-2</v>
      </c>
      <c r="F15" s="236">
        <v>-2.2988012896933527E-3</v>
      </c>
      <c r="G15" s="236">
        <v>4.180572271164542E-2</v>
      </c>
      <c r="H15" s="236">
        <v>0.11084900487169751</v>
      </c>
      <c r="I15" s="672"/>
      <c r="J15" s="236">
        <v>-1.0695727159522619E-2</v>
      </c>
      <c r="K15" s="236">
        <v>-1.623743177526633E-2</v>
      </c>
      <c r="L15" s="236">
        <v>4.6564729195060989E-3</v>
      </c>
      <c r="M15" s="236">
        <v>-8.2575321316311887E-2</v>
      </c>
      <c r="N15" s="236">
        <v>4.9651364433768719E-3</v>
      </c>
      <c r="O15" s="236">
        <v>-1.3753518950570856E-2</v>
      </c>
      <c r="P15" s="236">
        <v>-1.7051854146924641E-2</v>
      </c>
      <c r="Q15" s="236">
        <v>1.8372289052940301E-2</v>
      </c>
      <c r="R15" s="236">
        <v>6.506292220659432E-3</v>
      </c>
      <c r="S15" s="236">
        <v>2.7395160479617629E-2</v>
      </c>
      <c r="T15" s="236">
        <v>5.0491675207795732E-2</v>
      </c>
      <c r="U15" s="236">
        <v>8.194362028479428E-2</v>
      </c>
      <c r="V15" s="236">
        <v>9.2178380059035961E-2</v>
      </c>
      <c r="W15" s="236">
        <v>9.8005602972595141E-2</v>
      </c>
      <c r="X15" s="236">
        <v>0.11307244193222282</v>
      </c>
      <c r="Y15" s="236">
        <v>0.12506867661700022</v>
      </c>
      <c r="Z15" s="237"/>
      <c r="AA15" s="447">
        <f t="shared" si="4"/>
        <v>1.1996234684777396</v>
      </c>
      <c r="AB15" s="447">
        <f>(Y15-U15)*100</f>
        <v>4.312505633220594</v>
      </c>
    </row>
    <row r="16" spans="2:32" ht="13" customHeight="1">
      <c r="B16" s="27" t="str">
        <f>IF('Summary | Sumário'!D$6=Names!B$3,Names!V12,Names!W12)</f>
        <v>Cost of risk (%)</v>
      </c>
      <c r="C16" s="176">
        <f>'7.6. Cost of Risk'!C10</f>
        <v>2.9005395627358637E-2</v>
      </c>
      <c r="D16" s="176">
        <f>'7.6. Cost of Risk'!D10</f>
        <v>3.1500109268915409E-2</v>
      </c>
      <c r="E16" s="176">
        <f>'7.6. Cost of Risk'!E10</f>
        <v>4.5283541340645432E-2</v>
      </c>
      <c r="F16" s="176">
        <f>'7.6. Cost of Risk'!F10</f>
        <v>5.1511017082199802E-2</v>
      </c>
      <c r="G16" s="176">
        <f>'7.6. Cost of Risk'!G10</f>
        <v>5.5487760873199829E-2</v>
      </c>
      <c r="H16" s="176">
        <f>'7.6. Cost of Risk'!H10</f>
        <v>4.984380508173291E-2</v>
      </c>
      <c r="I16" s="676"/>
      <c r="J16" s="176">
        <f>'7.6. Cost of Risk'!J10</f>
        <v>4.4634313670387712E-2</v>
      </c>
      <c r="K16" s="176">
        <f>'7.6. Cost of Risk'!K10</f>
        <v>5.8424647902114324E-2</v>
      </c>
      <c r="L16" s="176">
        <f>'7.6. Cost of Risk'!L10</f>
        <v>4.0064739961695038E-2</v>
      </c>
      <c r="M16" s="176">
        <f>'7.6. Cost of Risk'!M10</f>
        <v>4.5199656846193884E-2</v>
      </c>
      <c r="N16" s="176">
        <f>'7.6. Cost of Risk'!N10</f>
        <v>6.9469987637552258E-2</v>
      </c>
      <c r="O16" s="176">
        <f>'7.6. Cost of Risk'!O10</f>
        <v>5.052883253163383E-2</v>
      </c>
      <c r="P16" s="176">
        <f>'7.6. Cost of Risk'!P10</f>
        <v>5.0236830789062659E-2</v>
      </c>
      <c r="Q16" s="176">
        <f>'7.6. Cost of Risk'!Q10</f>
        <v>4.8197537246536262E-2</v>
      </c>
      <c r="R16" s="176">
        <f>'7.6. Cost of Risk'!R10</f>
        <v>6.4267080254692757E-2</v>
      </c>
      <c r="S16" s="176">
        <f>'7.6. Cost of Risk'!S10</f>
        <v>6.1787867829059713E-2</v>
      </c>
      <c r="T16" s="176">
        <f>'7.6. Cost of Risk'!T10</f>
        <v>5.8999999999999997E-2</v>
      </c>
      <c r="U16" s="176">
        <f>'7.6. Cost of Risk'!U10</f>
        <v>5.1882148962593862E-2</v>
      </c>
      <c r="V16" s="176">
        <f>'7.6. Cost of Risk'!V10</f>
        <v>5.2060667855093147E-2</v>
      </c>
      <c r="W16" s="176">
        <f>'7.6. Cost of Risk'!W10</f>
        <v>4.9691550016446435E-2</v>
      </c>
      <c r="X16" s="176">
        <f>'7.6. Cost of Risk'!X10</f>
        <v>5.1148723687789818E-2</v>
      </c>
      <c r="Y16" s="176">
        <f>'7.6. Cost of Risk'!Y10</f>
        <v>5.0046757550972369E-2</v>
      </c>
      <c r="Z16" s="176"/>
      <c r="AA16" s="448">
        <f t="shared" si="4"/>
        <v>-0.11019661368174491</v>
      </c>
      <c r="AB16" s="448">
        <f t="shared" si="5"/>
        <v>-0.18353914116214926</v>
      </c>
    </row>
    <row r="19" spans="8:28" ht="13" customHeight="1">
      <c r="Y19" s="381"/>
      <c r="Z19" s="381"/>
      <c r="AA19" s="381"/>
      <c r="AB19" s="381"/>
    </row>
    <row r="23" spans="8:28" ht="13" customHeight="1">
      <c r="H23" s="381"/>
      <c r="I23" s="677"/>
    </row>
  </sheetData>
  <sheetProtection algorithmName="SHA-512" hashValue="SZ73f/pmuup4mzmq9qWhSdECFfShueRPgL1BzT9A1nuOeSik2LJ21c7yUX9Mx22x5GrguhtWZWi/wEmbckhveQ==" saltValue="tLQSDKLoKGO0R48KmAMV1Q=="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8D7F-C60A-0B4C-967F-49226D28353A}">
  <sheetPr>
    <tabColor theme="5" tint="0.59999389629810485"/>
  </sheetPr>
  <dimension ref="A1:AF3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223" customWidth="1"/>
    <col min="2" max="2" width="68.33203125" style="116" customWidth="1"/>
    <col min="3" max="8" width="10.83203125" style="224" customWidth="1"/>
    <col min="9" max="9" width="2.83203125" style="224" customWidth="1"/>
    <col min="10" max="25" width="10.83203125" style="224" customWidth="1"/>
    <col min="26" max="26" width="5.83203125" style="224" customWidth="1"/>
    <col min="27" max="28" width="10.83203125" style="224" customWidth="1"/>
    <col min="29" max="29" width="10.83203125" style="223" customWidth="1"/>
    <col min="30" max="16384" width="10.83203125" style="223"/>
  </cols>
  <sheetData>
    <row r="1" spans="1:32" ht="13" customHeight="1">
      <c r="AC1" s="224"/>
    </row>
    <row r="2" spans="1:32" s="10" customFormat="1" ht="13" customHeight="1">
      <c r="B2" s="310" t="str">
        <f>IF('Summary | Sumário'!D$6=Names!B$3,Names!X1,Names!Y1)</f>
        <v>Tier I Ratio (Banco Inter S.A.,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562" t="str">
        <f>IF('Summary | Sumário'!D6=Names!B3,Names!C22,Names!D22)</f>
        <v>4Q24</v>
      </c>
      <c r="Z2" s="403"/>
      <c r="AA2" s="114" t="str">
        <f>IF('Summary | Sumário'!$D$6=Names!$B$3,Names!$I$24,Names!$J$24)</f>
        <v>QoQ Variation</v>
      </c>
      <c r="AB2" s="114" t="str">
        <f>IF('Summary | Sumário'!$D$6=Names!$B$3,Names!$I$25,Names!$J$25)</f>
        <v>YoY Variation</v>
      </c>
      <c r="AC2" s="11"/>
      <c r="AE2" s="12"/>
      <c r="AF2" s="13"/>
    </row>
    <row r="3" spans="1:32" ht="13" customHeight="1">
      <c r="B3" s="117"/>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6"/>
    </row>
    <row r="4" spans="1:32" s="228" customFormat="1" ht="13" customHeight="1">
      <c r="A4" s="227"/>
      <c r="B4" s="3" t="str">
        <f>IF('Summary | Sumário'!D$6=Names!B$3,Names!X3,Names!Y3)</f>
        <v>Tier 1 ratio</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row>
    <row r="5" spans="1:32" ht="13" customHeight="1">
      <c r="B5" s="343" t="str">
        <f>IF('Summary | Sumário'!D$6=Names!B$3,Names!X4,Names!Y4)</f>
        <v>Referential equity (RE)</v>
      </c>
      <c r="C5" s="344">
        <v>2123127</v>
      </c>
      <c r="D5" s="344">
        <v>3077952</v>
      </c>
      <c r="E5" s="344">
        <f>M5</f>
        <v>7955237.9140799996</v>
      </c>
      <c r="F5" s="344">
        <f>Q5</f>
        <v>5913329</v>
      </c>
      <c r="G5" s="344">
        <f>U5</f>
        <v>6138173.4993100008</v>
      </c>
      <c r="H5" s="344">
        <v>5262320.5900600003</v>
      </c>
      <c r="I5" s="206"/>
      <c r="J5" s="344">
        <v>2815602.88809</v>
      </c>
      <c r="K5" s="344">
        <v>2682250.3591399998</v>
      </c>
      <c r="L5" s="344">
        <v>7955022.5986299999</v>
      </c>
      <c r="M5" s="344">
        <v>7955237.9140799996</v>
      </c>
      <c r="N5" s="344">
        <v>7042015</v>
      </c>
      <c r="O5" s="344">
        <v>7080872</v>
      </c>
      <c r="P5" s="344">
        <v>7162093</v>
      </c>
      <c r="Q5" s="344">
        <v>5913329</v>
      </c>
      <c r="R5" s="344">
        <v>5829384</v>
      </c>
      <c r="S5" s="344">
        <v>5959738</v>
      </c>
      <c r="T5" s="344">
        <v>5964109</v>
      </c>
      <c r="U5" s="344">
        <v>6138173.4993100008</v>
      </c>
      <c r="V5" s="344">
        <v>5852972.8847599998</v>
      </c>
      <c r="W5" s="344">
        <v>5895210.8120200001</v>
      </c>
      <c r="X5" s="344">
        <v>5557930.4372699996</v>
      </c>
      <c r="Y5" s="344">
        <v>5262320.5900600003</v>
      </c>
      <c r="Z5" s="206"/>
      <c r="AA5" s="415">
        <f>Y5/X5-1</f>
        <v>-5.3187036172262725E-2</v>
      </c>
      <c r="AB5" s="415">
        <f>Y5/U5-1</f>
        <v>-0.14268950028024718</v>
      </c>
    </row>
    <row r="6" spans="1:32" ht="13" customHeight="1">
      <c r="B6" s="51" t="str">
        <f>IF('Summary | Sumário'!D$6=Names!B$3,Names!X5,Names!Y5)</f>
        <v>Tier I referential equity</v>
      </c>
      <c r="C6" s="206">
        <v>2123127</v>
      </c>
      <c r="D6" s="206">
        <v>3077952</v>
      </c>
      <c r="E6" s="206">
        <f t="shared" ref="E6:E22" si="0">M6</f>
        <v>7955237.9140799996</v>
      </c>
      <c r="F6" s="206">
        <f t="shared" ref="F6:F7" si="1">Q6</f>
        <v>5913329</v>
      </c>
      <c r="G6" s="206">
        <f t="shared" ref="G6:G11" si="2">U6</f>
        <v>6138173.4993100008</v>
      </c>
      <c r="H6" s="206">
        <v>5262320.5900600003</v>
      </c>
      <c r="I6" s="206"/>
      <c r="J6" s="206">
        <v>2815602.88809</v>
      </c>
      <c r="K6" s="206">
        <v>2682250.3591399998</v>
      </c>
      <c r="L6" s="206">
        <v>7955022.5986299999</v>
      </c>
      <c r="M6" s="206">
        <v>7955237.9140799996</v>
      </c>
      <c r="N6" s="206">
        <v>7042015</v>
      </c>
      <c r="O6" s="206">
        <v>7080872</v>
      </c>
      <c r="P6" s="206">
        <v>7162093</v>
      </c>
      <c r="Q6" s="206">
        <v>5913329</v>
      </c>
      <c r="R6" s="206">
        <v>5829384</v>
      </c>
      <c r="S6" s="206">
        <v>5959738</v>
      </c>
      <c r="T6" s="206">
        <v>5964109</v>
      </c>
      <c r="U6" s="206">
        <v>6138173.4993100008</v>
      </c>
      <c r="V6" s="206">
        <v>5852972.8847599998</v>
      </c>
      <c r="W6" s="206">
        <v>5895210.8120200001</v>
      </c>
      <c r="X6" s="206">
        <v>5557930.4372699996</v>
      </c>
      <c r="Y6" s="206">
        <v>5262320.5900600003</v>
      </c>
      <c r="Z6" s="206"/>
      <c r="AA6" s="233">
        <f t="shared" ref="AA6:AA11" si="3">Y6/X6-1</f>
        <v>-5.3187036172262725E-2</v>
      </c>
      <c r="AB6" s="233">
        <f t="shared" ref="AB6:AB11" si="4">Y6/U6-1</f>
        <v>-0.14268950028024718</v>
      </c>
    </row>
    <row r="7" spans="1:32" ht="13" customHeight="1">
      <c r="B7" s="53" t="str">
        <f>IF('Summary | Sumário'!D$6=Names!B$3,Names!X6,Names!Y6)</f>
        <v>Core capital (CC)</v>
      </c>
      <c r="C7" s="201">
        <v>2123127</v>
      </c>
      <c r="D7" s="201">
        <v>3077952</v>
      </c>
      <c r="E7" s="201">
        <f t="shared" si="0"/>
        <v>7955237.9140799996</v>
      </c>
      <c r="F7" s="201">
        <f t="shared" si="1"/>
        <v>5913329</v>
      </c>
      <c r="G7" s="201">
        <f t="shared" si="2"/>
        <v>6138173.4993100008</v>
      </c>
      <c r="H7" s="201">
        <v>5262320.5900600003</v>
      </c>
      <c r="I7" s="206"/>
      <c r="J7" s="201">
        <v>2815602.88809</v>
      </c>
      <c r="K7" s="201">
        <v>2682250.3591399998</v>
      </c>
      <c r="L7" s="201">
        <v>7955022.5986299999</v>
      </c>
      <c r="M7" s="201">
        <v>7955237.9140799996</v>
      </c>
      <c r="N7" s="201">
        <v>7042015</v>
      </c>
      <c r="O7" s="201">
        <v>7080872</v>
      </c>
      <c r="P7" s="201">
        <v>7162093</v>
      </c>
      <c r="Q7" s="201">
        <v>5913329</v>
      </c>
      <c r="R7" s="201">
        <v>5829384</v>
      </c>
      <c r="S7" s="201">
        <v>5959738</v>
      </c>
      <c r="T7" s="201">
        <v>5964109</v>
      </c>
      <c r="U7" s="201">
        <v>6138173.4993100008</v>
      </c>
      <c r="V7" s="201">
        <v>5852972.8847599998</v>
      </c>
      <c r="W7" s="201">
        <v>5895210.8120200001</v>
      </c>
      <c r="X7" s="201">
        <v>5557930.4372699996</v>
      </c>
      <c r="Y7" s="201">
        <v>5262320.5900600003</v>
      </c>
      <c r="Z7" s="206"/>
      <c r="AA7" s="232">
        <f t="shared" si="3"/>
        <v>-5.3187036172262725E-2</v>
      </c>
      <c r="AB7" s="232">
        <f t="shared" si="4"/>
        <v>-0.14268950028024718</v>
      </c>
    </row>
    <row r="8" spans="1:32" ht="13" customHeight="1">
      <c r="B8" s="51" t="str">
        <f>IF('Summary | Sumário'!D$6=Names!B$3,Names!X7,Names!Y7)</f>
        <v>Risk weighted assets - RWA</v>
      </c>
      <c r="C8" s="206">
        <v>5388262</v>
      </c>
      <c r="D8" s="206">
        <v>9643109</v>
      </c>
      <c r="E8" s="206">
        <f t="shared" si="0"/>
        <v>17953262.630789999</v>
      </c>
      <c r="F8" s="206">
        <v>24950460</v>
      </c>
      <c r="G8" s="206">
        <f t="shared" si="2"/>
        <v>26745734.312450003</v>
      </c>
      <c r="H8" s="206">
        <v>34641697.876420006</v>
      </c>
      <c r="I8" s="206"/>
      <c r="J8" s="206">
        <v>11661845.75979</v>
      </c>
      <c r="K8" s="206">
        <v>13664902.02272</v>
      </c>
      <c r="L8" s="206">
        <v>15993381.634679999</v>
      </c>
      <c r="M8" s="206">
        <v>17953262.630789999</v>
      </c>
      <c r="N8" s="206">
        <v>19739307</v>
      </c>
      <c r="O8" s="206">
        <v>21531298</v>
      </c>
      <c r="P8" s="206">
        <v>24039291</v>
      </c>
      <c r="Q8" s="206">
        <v>24550461</v>
      </c>
      <c r="R8" s="206">
        <v>25344975</v>
      </c>
      <c r="S8" s="206">
        <v>26110963</v>
      </c>
      <c r="T8" s="206">
        <v>25122491</v>
      </c>
      <c r="U8" s="206">
        <v>26745734.312450003</v>
      </c>
      <c r="V8" s="206">
        <v>28865752.132199999</v>
      </c>
      <c r="W8" s="206">
        <v>30562162.857720003</v>
      </c>
      <c r="X8" s="206">
        <v>32685685.686000001</v>
      </c>
      <c r="Y8" s="206">
        <v>34653740.143590003</v>
      </c>
      <c r="Z8" s="206"/>
      <c r="AA8" s="233">
        <f t="shared" si="3"/>
        <v>6.0211508991930396E-2</v>
      </c>
      <c r="AB8" s="233">
        <f t="shared" si="4"/>
        <v>0.29567353577796007</v>
      </c>
      <c r="AC8" s="229"/>
    </row>
    <row r="9" spans="1:32" ht="13" customHeight="1">
      <c r="B9" s="59" t="str">
        <f>IF('Summary | Sumário'!D$6=Names!B$3,Names!X8,Names!Y8)</f>
        <v>RWA for credit risk by standardized approach - RWACPAD</v>
      </c>
      <c r="C9" s="201">
        <v>4102332</v>
      </c>
      <c r="D9" s="201">
        <v>8064303</v>
      </c>
      <c r="E9" s="201">
        <v>16198394</v>
      </c>
      <c r="F9" s="201">
        <v>21963629</v>
      </c>
      <c r="G9" s="201">
        <f t="shared" si="2"/>
        <v>22367940.18866</v>
      </c>
      <c r="H9" s="201">
        <v>27053372.237530001</v>
      </c>
      <c r="I9" s="206"/>
      <c r="J9" s="201">
        <v>9477754</v>
      </c>
      <c r="K9" s="201">
        <v>11657733</v>
      </c>
      <c r="L9" s="201">
        <v>14128834</v>
      </c>
      <c r="M9" s="201">
        <v>16198394</v>
      </c>
      <c r="N9" s="201">
        <v>17444892</v>
      </c>
      <c r="O9" s="201">
        <v>19128150</v>
      </c>
      <c r="P9" s="201">
        <v>20914461</v>
      </c>
      <c r="Q9" s="201">
        <v>20380664</v>
      </c>
      <c r="R9" s="201">
        <v>21964715</v>
      </c>
      <c r="S9" s="201">
        <v>22597089</v>
      </c>
      <c r="T9" s="201">
        <v>20745143</v>
      </c>
      <c r="U9" s="201">
        <v>22367940.18866</v>
      </c>
      <c r="V9" s="201">
        <v>23115890.775979999</v>
      </c>
      <c r="W9" s="201">
        <v>24972742.652060002</v>
      </c>
      <c r="X9" s="201">
        <v>25007291.648669999</v>
      </c>
      <c r="Y9" s="201">
        <v>27053372.237530001</v>
      </c>
      <c r="Z9" s="206"/>
      <c r="AA9" s="232">
        <f t="shared" si="3"/>
        <v>8.181935963340603E-2</v>
      </c>
      <c r="AB9" s="232">
        <f t="shared" si="4"/>
        <v>0.20947087703879852</v>
      </c>
    </row>
    <row r="10" spans="1:32" ht="13" customHeight="1">
      <c r="B10" s="54" t="str">
        <f>IF('Summary | Sumário'!D$6=Names!B$3,Names!X9,Names!Y9)</f>
        <v>RWA for market risk - RWAMPAD</v>
      </c>
      <c r="C10" s="206">
        <v>565751</v>
      </c>
      <c r="D10" s="206">
        <v>476759</v>
      </c>
      <c r="E10" s="206">
        <v>323581</v>
      </c>
      <c r="F10" s="206">
        <v>480765</v>
      </c>
      <c r="G10" s="206">
        <f t="shared" si="2"/>
        <v>342159.71365999995</v>
      </c>
      <c r="H10" s="206">
        <v>399016.59284</v>
      </c>
      <c r="I10" s="206"/>
      <c r="J10" s="206">
        <v>1043214</v>
      </c>
      <c r="K10" s="206">
        <v>866292</v>
      </c>
      <c r="L10" s="206">
        <v>433261</v>
      </c>
      <c r="M10" s="206">
        <v>323581</v>
      </c>
      <c r="N10" s="206">
        <v>356818</v>
      </c>
      <c r="O10" s="206">
        <v>465550</v>
      </c>
      <c r="P10" s="206">
        <v>618763</v>
      </c>
      <c r="Q10" s="206">
        <v>480765</v>
      </c>
      <c r="R10" s="206">
        <v>216277</v>
      </c>
      <c r="S10" s="206">
        <v>349892</v>
      </c>
      <c r="T10" s="206">
        <v>341714</v>
      </c>
      <c r="U10" s="206">
        <v>342159.71365999995</v>
      </c>
      <c r="V10" s="206">
        <v>754382.50448</v>
      </c>
      <c r="W10" s="206">
        <v>593941.35390999995</v>
      </c>
      <c r="X10" s="206">
        <v>1328691.41713</v>
      </c>
      <c r="Y10" s="206">
        <v>1262296.1807200001</v>
      </c>
      <c r="Z10" s="206"/>
      <c r="AA10" s="233">
        <f t="shared" si="3"/>
        <v>-4.9970396101011172E-2</v>
      </c>
      <c r="AB10" s="233">
        <f t="shared" si="4"/>
        <v>2.6892016515256052</v>
      </c>
    </row>
    <row r="11" spans="1:32" ht="13" customHeight="1">
      <c r="B11" s="59" t="str">
        <f>IF('Summary | Sumário'!D$6=Names!B$3,Names!X10,Names!Y10)</f>
        <v>RWA for operating risk by standard approach - RWAOPAD</v>
      </c>
      <c r="C11" s="201">
        <v>720179</v>
      </c>
      <c r="D11" s="201">
        <v>1102047</v>
      </c>
      <c r="E11" s="201">
        <v>1431287</v>
      </c>
      <c r="F11" s="201">
        <v>2506066</v>
      </c>
      <c r="G11" s="201">
        <f t="shared" si="2"/>
        <v>4035634.4101300002</v>
      </c>
      <c r="H11" s="201">
        <v>1250253.9135499999</v>
      </c>
      <c r="I11" s="206"/>
      <c r="J11" s="201">
        <v>1140877</v>
      </c>
      <c r="K11" s="201">
        <v>1140877</v>
      </c>
      <c r="L11" s="201">
        <v>1431287</v>
      </c>
      <c r="M11" s="201">
        <v>1431287</v>
      </c>
      <c r="N11" s="201">
        <v>1937597</v>
      </c>
      <c r="O11" s="201">
        <v>1937597</v>
      </c>
      <c r="P11" s="201">
        <v>2506066</v>
      </c>
      <c r="Q11" s="201">
        <v>2506066</v>
      </c>
      <c r="R11" s="201">
        <v>3163982</v>
      </c>
      <c r="S11" s="201">
        <v>3163982</v>
      </c>
      <c r="T11" s="201">
        <v>4035634</v>
      </c>
      <c r="U11" s="201">
        <v>4035634.4101300002</v>
      </c>
      <c r="V11" s="201">
        <v>4995478.8517500004</v>
      </c>
      <c r="W11" s="201">
        <v>4995478.8517500004</v>
      </c>
      <c r="X11" s="201">
        <v>5939055.1324999994</v>
      </c>
      <c r="Y11" s="201">
        <v>5939055.1325000003</v>
      </c>
      <c r="Z11" s="206"/>
      <c r="AA11" s="232">
        <f t="shared" si="3"/>
        <v>0</v>
      </c>
      <c r="AB11" s="232">
        <f t="shared" si="4"/>
        <v>0.47165340784887522</v>
      </c>
    </row>
    <row r="12" spans="1:32" ht="13" customHeight="1">
      <c r="B12" s="54" t="str">
        <f>IF('Summary | Sumário'!D$6=Names!B$3,Names!X21,Names!Y21)</f>
        <v>RWA for payments services - RWASP</v>
      </c>
      <c r="C12" s="206"/>
      <c r="D12" s="206"/>
      <c r="E12" s="206"/>
      <c r="F12" s="206"/>
      <c r="G12" s="206"/>
      <c r="H12" s="206">
        <v>5939055.1325000003</v>
      </c>
      <c r="I12" s="206"/>
      <c r="J12" s="206"/>
      <c r="K12" s="206"/>
      <c r="L12" s="206"/>
      <c r="M12" s="206"/>
      <c r="N12" s="206"/>
      <c r="O12" s="206"/>
      <c r="P12" s="206"/>
      <c r="Q12" s="206"/>
      <c r="R12" s="206"/>
      <c r="S12" s="206"/>
      <c r="T12" s="206"/>
      <c r="U12" s="206"/>
      <c r="V12" s="206"/>
      <c r="W12" s="206"/>
      <c r="X12" s="206">
        <v>410647.4877</v>
      </c>
      <c r="Y12" s="206">
        <v>399016.59284</v>
      </c>
      <c r="Z12" s="206"/>
      <c r="AA12" s="233">
        <f t="shared" ref="AA12" si="5">Y12/X12-1</f>
        <v>-2.8323306992923847E-2</v>
      </c>
      <c r="AB12" s="233" t="str">
        <f>IFERROR(Y12/U12-1,"n.m.")</f>
        <v>n.m.</v>
      </c>
    </row>
    <row r="13" spans="1:32" ht="13" customHeight="1">
      <c r="B13" s="53" t="str">
        <f>IF('Summary | Sumário'!D$6=Names!B$3,Names!X11,Names!Y11)</f>
        <v>Capital requirement</v>
      </c>
      <c r="C13" s="201"/>
      <c r="D13" s="201"/>
      <c r="E13" s="201"/>
      <c r="F13" s="201"/>
      <c r="G13" s="201"/>
      <c r="H13" s="201"/>
      <c r="I13" s="206"/>
      <c r="J13" s="201"/>
      <c r="K13" s="201"/>
      <c r="L13" s="201"/>
      <c r="M13" s="201"/>
      <c r="N13" s="201"/>
      <c r="O13" s="201"/>
      <c r="P13" s="201"/>
      <c r="Q13" s="201"/>
      <c r="R13" s="201"/>
      <c r="S13" s="201"/>
      <c r="T13" s="201"/>
      <c r="U13" s="201"/>
      <c r="V13" s="201"/>
      <c r="W13" s="201"/>
      <c r="X13" s="201"/>
      <c r="Y13" s="201"/>
      <c r="Z13" s="206"/>
      <c r="AA13" s="201"/>
      <c r="AB13" s="201"/>
    </row>
    <row r="14" spans="1:32" ht="13" customHeight="1">
      <c r="B14" s="54" t="str">
        <f>IF('Summary | Sumário'!D$6=Names!B$3,Names!X12,Names!Y12)</f>
        <v>Minimum principal capital required for RWA</v>
      </c>
      <c r="C14" s="206">
        <v>242472</v>
      </c>
      <c r="D14" s="206">
        <v>433940</v>
      </c>
      <c r="E14" s="206">
        <v>807897</v>
      </c>
      <c r="F14" s="206">
        <v>1104771</v>
      </c>
      <c r="G14" s="206">
        <f t="shared" ref="G14:G16" si="6">U14</f>
        <v>1203558.04406025</v>
      </c>
      <c r="H14" s="206">
        <v>1558876.4044389003</v>
      </c>
      <c r="I14" s="206"/>
      <c r="J14" s="206">
        <v>524783</v>
      </c>
      <c r="K14" s="206">
        <v>614921</v>
      </c>
      <c r="L14" s="206">
        <v>719702</v>
      </c>
      <c r="M14" s="206">
        <v>807897</v>
      </c>
      <c r="N14" s="206">
        <v>888269</v>
      </c>
      <c r="O14" s="206">
        <v>968908</v>
      </c>
      <c r="P14" s="206">
        <v>1081768</v>
      </c>
      <c r="Q14" s="206">
        <v>1104771</v>
      </c>
      <c r="R14" s="206">
        <v>1140524</v>
      </c>
      <c r="S14" s="206">
        <v>1174993</v>
      </c>
      <c r="T14" s="206">
        <v>1130512</v>
      </c>
      <c r="U14" s="206">
        <v>1203558.04406025</v>
      </c>
      <c r="V14" s="206">
        <v>1298958.845949</v>
      </c>
      <c r="W14" s="206">
        <v>1375297.3285974001</v>
      </c>
      <c r="X14" s="206">
        <v>1470855.8558700001</v>
      </c>
      <c r="Y14" s="206">
        <v>1559418.3060000001</v>
      </c>
      <c r="Z14" s="206"/>
      <c r="AA14" s="233">
        <f>Y14/X14-1</f>
        <v>6.0211508678133407E-2</v>
      </c>
      <c r="AB14" s="233">
        <f>Y14/U14-1</f>
        <v>0.29567353539447216</v>
      </c>
    </row>
    <row r="15" spans="1:32" ht="13" customHeight="1">
      <c r="B15" s="59" t="str">
        <f>IF('Summary | Sumário'!D$6=Names!B$3,Names!X13,Names!Y13)</f>
        <v>Tier I minimum reference equity required to RWA</v>
      </c>
      <c r="C15" s="201">
        <v>323296</v>
      </c>
      <c r="D15" s="201">
        <v>578587</v>
      </c>
      <c r="E15" s="201">
        <v>1077196</v>
      </c>
      <c r="F15" s="201">
        <v>1473028</v>
      </c>
      <c r="G15" s="201">
        <f t="shared" si="6"/>
        <v>1604744.0587470001</v>
      </c>
      <c r="H15" s="201">
        <v>2078501.8725852002</v>
      </c>
      <c r="I15" s="206"/>
      <c r="J15" s="201">
        <v>699711</v>
      </c>
      <c r="K15" s="201">
        <v>819894</v>
      </c>
      <c r="L15" s="201">
        <v>959603</v>
      </c>
      <c r="M15" s="201">
        <v>1077196</v>
      </c>
      <c r="N15" s="201">
        <v>1184358</v>
      </c>
      <c r="O15" s="201">
        <v>1291878</v>
      </c>
      <c r="P15" s="201">
        <v>1442357</v>
      </c>
      <c r="Q15" s="201">
        <v>1473028</v>
      </c>
      <c r="R15" s="201">
        <v>1520699</v>
      </c>
      <c r="S15" s="201">
        <v>1566658</v>
      </c>
      <c r="T15" s="201">
        <v>1507349</v>
      </c>
      <c r="U15" s="201">
        <v>1604744.0587470001</v>
      </c>
      <c r="V15" s="201">
        <v>1731945.127932</v>
      </c>
      <c r="W15" s="201">
        <v>1833729.7714632</v>
      </c>
      <c r="X15" s="201">
        <v>1961141.1411599999</v>
      </c>
      <c r="Y15" s="201">
        <v>2079224.409</v>
      </c>
      <c r="Z15" s="206"/>
      <c r="AA15" s="232">
        <f t="shared" ref="AA15:AA16" si="7">Y15/X15-1</f>
        <v>6.0211509188040857E-2</v>
      </c>
      <c r="AB15" s="232">
        <f t="shared" ref="AB15:AB16" si="8">Y15/U15-1</f>
        <v>0.29567353601762436</v>
      </c>
    </row>
    <row r="16" spans="1:32" ht="13" customHeight="1">
      <c r="B16" s="54" t="str">
        <f>IF('Summary | Sumário'!D$6=Names!B$3,Names!X14,Names!Y14)</f>
        <v>Minimum Reference Equity required to RWA</v>
      </c>
      <c r="C16" s="206">
        <v>431061</v>
      </c>
      <c r="D16" s="206">
        <v>771449</v>
      </c>
      <c r="E16" s="206">
        <v>1435261</v>
      </c>
      <c r="F16" s="206">
        <v>1964037</v>
      </c>
      <c r="G16" s="206">
        <f t="shared" si="6"/>
        <v>2139658.7449960001</v>
      </c>
      <c r="H16" s="206">
        <v>2771335.8301136005</v>
      </c>
      <c r="I16" s="206"/>
      <c r="J16" s="206">
        <v>932948</v>
      </c>
      <c r="K16" s="206">
        <v>1093192</v>
      </c>
      <c r="L16" s="206">
        <v>1279471</v>
      </c>
      <c r="M16" s="206">
        <v>1436261</v>
      </c>
      <c r="N16" s="206">
        <v>1579145</v>
      </c>
      <c r="O16" s="206">
        <v>1722504</v>
      </c>
      <c r="P16" s="206">
        <v>1923143</v>
      </c>
      <c r="Q16" s="206">
        <v>1964037</v>
      </c>
      <c r="R16" s="206">
        <v>2027598</v>
      </c>
      <c r="S16" s="206">
        <v>2088877</v>
      </c>
      <c r="T16" s="206">
        <v>2009799</v>
      </c>
      <c r="U16" s="206">
        <v>2139658.7449960001</v>
      </c>
      <c r="V16" s="206">
        <v>2309260.1705760001</v>
      </c>
      <c r="W16" s="206">
        <v>2444973.0286176004</v>
      </c>
      <c r="X16" s="206">
        <v>2614854.85488</v>
      </c>
      <c r="Y16" s="206">
        <v>2772299.2113702898</v>
      </c>
      <c r="Z16" s="206"/>
      <c r="AA16" s="233">
        <f t="shared" si="7"/>
        <v>6.0211508947220382E-2</v>
      </c>
      <c r="AB16" s="233">
        <f t="shared" si="8"/>
        <v>0.29567353572332045</v>
      </c>
    </row>
    <row r="17" spans="2:28" ht="13" customHeight="1">
      <c r="B17" s="53" t="str">
        <f>IF('Summary | Sumário'!D$6=Names!B$3,Names!X15,Names!Y15)</f>
        <v>Margin on capital requirements</v>
      </c>
      <c r="C17" s="201"/>
      <c r="D17" s="201"/>
      <c r="E17" s="201"/>
      <c r="F17" s="201"/>
      <c r="G17" s="201"/>
      <c r="H17" s="201"/>
      <c r="I17" s="206"/>
      <c r="J17" s="201"/>
      <c r="K17" s="201"/>
      <c r="L17" s="201"/>
      <c r="M17" s="201"/>
      <c r="N17" s="201"/>
      <c r="O17" s="201"/>
      <c r="P17" s="201"/>
      <c r="Q17" s="201"/>
      <c r="R17" s="201"/>
      <c r="S17" s="201"/>
      <c r="T17" s="201"/>
      <c r="U17" s="201"/>
      <c r="V17" s="201"/>
      <c r="W17" s="201"/>
      <c r="X17" s="201"/>
      <c r="Y17" s="201"/>
      <c r="Z17" s="206"/>
      <c r="AA17" s="201"/>
      <c r="AB17" s="201"/>
    </row>
    <row r="18" spans="2:28" ht="13" customHeight="1">
      <c r="B18" s="55" t="str">
        <f>IF('Summary | Sumário'!D$6=Names!B$3,Names!X16,Names!Y16)</f>
        <v>Margin on required principal capital</v>
      </c>
      <c r="C18" s="206">
        <v>1880665</v>
      </c>
      <c r="D18" s="206">
        <v>2644013</v>
      </c>
      <c r="E18" s="206">
        <v>7147341</v>
      </c>
      <c r="F18" s="206">
        <v>4808558</v>
      </c>
      <c r="G18" s="206">
        <f t="shared" ref="G18:G22" si="9">U18</f>
        <v>4934615.455249751</v>
      </c>
      <c r="H18" s="206">
        <v>3703444.1856211</v>
      </c>
      <c r="I18" s="206"/>
      <c r="J18" s="231">
        <v>2290820</v>
      </c>
      <c r="K18" s="231">
        <v>2067330</v>
      </c>
      <c r="L18" s="231">
        <v>7235320</v>
      </c>
      <c r="M18" s="231" t="s">
        <v>892</v>
      </c>
      <c r="N18" s="206">
        <v>6153746</v>
      </c>
      <c r="O18" s="206">
        <v>6111964</v>
      </c>
      <c r="P18" s="206">
        <v>6080324</v>
      </c>
      <c r="Q18" s="206">
        <v>4808558</v>
      </c>
      <c r="R18" s="206">
        <v>4688860</v>
      </c>
      <c r="S18" s="206">
        <v>4784744</v>
      </c>
      <c r="T18" s="206">
        <v>4833597</v>
      </c>
      <c r="U18" s="206">
        <v>4934615.455249751</v>
      </c>
      <c r="V18" s="206">
        <v>4554014.0388110001</v>
      </c>
      <c r="W18" s="206">
        <v>4519913.4834225997</v>
      </c>
      <c r="X18" s="206">
        <v>4087074.5813999996</v>
      </c>
      <c r="Y18" s="206">
        <v>3702902.284</v>
      </c>
      <c r="Z18" s="206"/>
      <c r="AA18" s="233">
        <f>Y18/X18-1</f>
        <v>-9.3996889400634331E-2</v>
      </c>
      <c r="AB18" s="233">
        <f>Y18/U18-1</f>
        <v>-0.24960671858216998</v>
      </c>
    </row>
    <row r="19" spans="2:28" ht="13" customHeight="1">
      <c r="B19" s="60" t="str">
        <f>IF('Summary | Sumário'!D$6=Names!B$3,Names!X17,Names!Y17)</f>
        <v>Margin on the tier I required reference equity</v>
      </c>
      <c r="C19" s="201">
        <v>1799831</v>
      </c>
      <c r="D19" s="201">
        <v>2499366</v>
      </c>
      <c r="E19" s="201">
        <v>6878042</v>
      </c>
      <c r="F19" s="201">
        <v>4440301</v>
      </c>
      <c r="G19" s="201">
        <f t="shared" si="9"/>
        <v>4533429.4405630007</v>
      </c>
      <c r="H19" s="201">
        <v>3183818.7174748001</v>
      </c>
      <c r="I19" s="206"/>
      <c r="J19" s="230">
        <v>2115982</v>
      </c>
      <c r="K19" s="230">
        <v>1862356</v>
      </c>
      <c r="L19" s="230">
        <v>6995420</v>
      </c>
      <c r="M19" s="230">
        <v>6878042</v>
      </c>
      <c r="N19" s="201">
        <v>5857656</v>
      </c>
      <c r="O19" s="201">
        <v>5788994</v>
      </c>
      <c r="P19" s="201">
        <v>5719735</v>
      </c>
      <c r="Q19" s="201">
        <v>4440301</v>
      </c>
      <c r="R19" s="201">
        <v>4308685</v>
      </c>
      <c r="S19" s="201">
        <v>4393080</v>
      </c>
      <c r="T19" s="201">
        <v>4456759</v>
      </c>
      <c r="U19" s="201">
        <v>4533429.4405630007</v>
      </c>
      <c r="V19" s="201">
        <v>4121027.7568279998</v>
      </c>
      <c r="W19" s="201">
        <v>4061481.0405568001</v>
      </c>
      <c r="X19" s="201">
        <v>3596789.2961099995</v>
      </c>
      <c r="Y19" s="201">
        <v>3183818.7174748001</v>
      </c>
      <c r="Z19" s="206"/>
      <c r="AA19" s="232">
        <f>Y19/X19-1</f>
        <v>-0.11481645007168906</v>
      </c>
      <c r="AB19" s="232">
        <f>Y19/U19-1</f>
        <v>-0.29770193642202014</v>
      </c>
    </row>
    <row r="20" spans="2:28" ht="13" customHeight="1">
      <c r="B20" s="51" t="str">
        <f>IF('Summary | Sumário'!D$6=Names!B$3,Names!X18,Names!Y18)</f>
        <v>Core capital ratio (CC/RWA)</v>
      </c>
      <c r="C20" s="233">
        <v>0.39400000000000002</v>
      </c>
      <c r="D20" s="233">
        <v>0.31900000000000001</v>
      </c>
      <c r="E20" s="233">
        <f t="shared" si="0"/>
        <v>0.44310820142722684</v>
      </c>
      <c r="F20" s="233">
        <f>Q20</f>
        <v>0.24099999999999999</v>
      </c>
      <c r="G20" s="233">
        <f t="shared" si="9"/>
        <v>0.229501027251763</v>
      </c>
      <c r="H20" s="233">
        <v>0.15190712097405507</v>
      </c>
      <c r="I20" s="233"/>
      <c r="J20" s="233">
        <v>0.24143715721212744</v>
      </c>
      <c r="K20" s="233">
        <v>0.19628756610770765</v>
      </c>
      <c r="L20" s="233">
        <v>0.4973946586368172</v>
      </c>
      <c r="M20" s="233">
        <v>0.44310820142722684</v>
      </c>
      <c r="N20" s="233">
        <v>0.35699999999999998</v>
      </c>
      <c r="O20" s="233">
        <v>0.32900000000000001</v>
      </c>
      <c r="P20" s="233">
        <v>0.29799999999999999</v>
      </c>
      <c r="Q20" s="233">
        <v>0.24099999999999999</v>
      </c>
      <c r="R20" s="233">
        <v>0.23</v>
      </c>
      <c r="S20" s="233">
        <v>0.22800000000000001</v>
      </c>
      <c r="T20" s="233">
        <v>0.2374</v>
      </c>
      <c r="U20" s="233">
        <v>0.229501027251763</v>
      </c>
      <c r="V20" s="233">
        <v>0.20276529979036845</v>
      </c>
      <c r="W20" s="233">
        <v>0.19289246116070838</v>
      </c>
      <c r="X20" s="233">
        <v>0.17004172684835503</v>
      </c>
      <c r="Y20" s="233">
        <v>0.15185433300000001</v>
      </c>
      <c r="Z20" s="233"/>
      <c r="AA20" s="451">
        <f>(Y20-X20)*100</f>
        <v>-1.818739384835502</v>
      </c>
      <c r="AB20" s="451">
        <f>(Y20-U20)*100</f>
        <v>-7.7646694251762991</v>
      </c>
    </row>
    <row r="21" spans="2:28" ht="13" customHeight="1">
      <c r="B21" s="53" t="str">
        <f>IF('Summary | Sumário'!D$6=Names!B$3,Names!X19,Names!Y19)</f>
        <v>Tier I capital ratio (tier I /RWA)</v>
      </c>
      <c r="C21" s="232">
        <v>0.39400000000000002</v>
      </c>
      <c r="D21" s="232">
        <v>0.31900000000000001</v>
      </c>
      <c r="E21" s="232">
        <f t="shared" si="0"/>
        <v>0.44310820142722684</v>
      </c>
      <c r="F21" s="232">
        <f t="shared" ref="F21:F22" si="10">Q21</f>
        <v>0.24099999999999999</v>
      </c>
      <c r="G21" s="232">
        <f t="shared" si="9"/>
        <v>0.229501027251763</v>
      </c>
      <c r="H21" s="232">
        <v>0.15190712097405507</v>
      </c>
      <c r="I21" s="233"/>
      <c r="J21" s="232">
        <v>0.24143715721212744</v>
      </c>
      <c r="K21" s="232">
        <v>0.19628756610770765</v>
      </c>
      <c r="L21" s="232">
        <v>0.4973946586368172</v>
      </c>
      <c r="M21" s="232">
        <v>0.44310820142722684</v>
      </c>
      <c r="N21" s="232">
        <v>0.35699999999999998</v>
      </c>
      <c r="O21" s="232">
        <v>0.32900000000000001</v>
      </c>
      <c r="P21" s="232">
        <v>0.29799999999999999</v>
      </c>
      <c r="Q21" s="232">
        <v>0.24099999999999999</v>
      </c>
      <c r="R21" s="232">
        <v>0.23</v>
      </c>
      <c r="S21" s="232">
        <v>0.22800000000000001</v>
      </c>
      <c r="T21" s="232">
        <v>0.2374</v>
      </c>
      <c r="U21" s="232">
        <v>0.229501027251763</v>
      </c>
      <c r="V21" s="232">
        <v>0.20276529979036845</v>
      </c>
      <c r="W21" s="232">
        <v>0.19289246116070838</v>
      </c>
      <c r="X21" s="232">
        <v>0.17004172684835503</v>
      </c>
      <c r="Y21" s="232">
        <v>0.15185433300000001</v>
      </c>
      <c r="Z21" s="233"/>
      <c r="AA21" s="450">
        <f t="shared" ref="AA21:AA22" si="11">(Y21-X21)*100</f>
        <v>-1.818739384835502</v>
      </c>
      <c r="AB21" s="450">
        <f t="shared" ref="AB21:AB22" si="12">(Y21-U21)*100</f>
        <v>-7.7646694251762991</v>
      </c>
    </row>
    <row r="22" spans="2:28" ht="13" customHeight="1">
      <c r="B22" s="51" t="str">
        <f>IF('Summary | Sumário'!D$6=Names!B$3,Names!X20,Names!Y20)</f>
        <v>Basel ratio (RE/RWA)</v>
      </c>
      <c r="C22" s="233">
        <v>0.39400000000000002</v>
      </c>
      <c r="D22" s="233">
        <v>0.31900000000000001</v>
      </c>
      <c r="E22" s="233">
        <f t="shared" si="0"/>
        <v>0.44310820142722684</v>
      </c>
      <c r="F22" s="233">
        <f t="shared" si="10"/>
        <v>0.24099999999999999</v>
      </c>
      <c r="G22" s="233">
        <f t="shared" si="9"/>
        <v>0.229501027251763</v>
      </c>
      <c r="H22" s="233">
        <v>0.15190712097405507</v>
      </c>
      <c r="I22" s="233"/>
      <c r="J22" s="233">
        <v>0.24143715721212744</v>
      </c>
      <c r="K22" s="233">
        <v>0.19628756610770765</v>
      </c>
      <c r="L22" s="233">
        <v>0.4973946586368172</v>
      </c>
      <c r="M22" s="233">
        <v>0.44310820142722684</v>
      </c>
      <c r="N22" s="233">
        <v>0.35699999999999998</v>
      </c>
      <c r="O22" s="233">
        <v>0.32900000000000001</v>
      </c>
      <c r="P22" s="233">
        <v>0.29799999999999999</v>
      </c>
      <c r="Q22" s="233">
        <v>0.24099999999999999</v>
      </c>
      <c r="R22" s="233">
        <v>0.23</v>
      </c>
      <c r="S22" s="233">
        <v>0.22800000000000001</v>
      </c>
      <c r="T22" s="233">
        <v>0.2374</v>
      </c>
      <c r="U22" s="233">
        <v>0.229501027251763</v>
      </c>
      <c r="V22" s="233">
        <v>0.20276529979036845</v>
      </c>
      <c r="W22" s="233">
        <v>0.19289246116070838</v>
      </c>
      <c r="X22" s="233">
        <v>0.17004172684835503</v>
      </c>
      <c r="Y22" s="233">
        <v>0.15185433300000001</v>
      </c>
      <c r="Z22" s="233"/>
      <c r="AA22" s="451">
        <f t="shared" si="11"/>
        <v>-1.818739384835502</v>
      </c>
      <c r="AB22" s="451">
        <f t="shared" si="12"/>
        <v>-7.7646694251762991</v>
      </c>
    </row>
    <row r="23" spans="2:28" ht="13" customHeight="1">
      <c r="B23" s="118"/>
      <c r="C23" s="234"/>
      <c r="D23" s="234"/>
      <c r="E23" s="234"/>
      <c r="F23" s="234"/>
      <c r="G23" s="234"/>
      <c r="H23" s="234"/>
      <c r="I23" s="234"/>
      <c r="J23" s="234"/>
      <c r="K23" s="234"/>
      <c r="L23" s="234"/>
      <c r="M23" s="234"/>
      <c r="N23" s="234"/>
      <c r="O23" s="234"/>
      <c r="P23" s="234"/>
      <c r="Q23" s="234"/>
      <c r="R23" s="234"/>
      <c r="S23" s="234"/>
      <c r="T23" s="379"/>
      <c r="U23" s="379"/>
      <c r="V23" s="379"/>
      <c r="W23" s="379"/>
      <c r="X23" s="379"/>
      <c r="Y23" s="234"/>
      <c r="Z23" s="234"/>
      <c r="AA23" s="234"/>
      <c r="AB23" s="234"/>
    </row>
    <row r="24" spans="2:28" ht="13" customHeight="1">
      <c r="B24" s="118"/>
      <c r="C24" s="234"/>
      <c r="D24" s="234"/>
      <c r="E24" s="234"/>
      <c r="F24" s="234"/>
      <c r="G24" s="234"/>
      <c r="H24" s="235"/>
      <c r="I24" s="235"/>
      <c r="J24" s="234"/>
      <c r="K24" s="234"/>
      <c r="L24" s="234"/>
      <c r="M24" s="234"/>
      <c r="N24" s="234"/>
      <c r="O24" s="234"/>
      <c r="P24" s="234"/>
      <c r="Q24" s="234"/>
      <c r="R24" s="234"/>
      <c r="S24" s="234"/>
      <c r="T24" s="234"/>
      <c r="U24" s="234"/>
      <c r="V24" s="234"/>
      <c r="W24" s="234"/>
      <c r="X24" s="234"/>
      <c r="Y24" s="235"/>
      <c r="Z24" s="235"/>
      <c r="AA24" s="235"/>
      <c r="AB24" s="235"/>
    </row>
    <row r="25" spans="2:28" ht="13" customHeight="1">
      <c r="B25" s="118"/>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row>
    <row r="26" spans="2:28" ht="13" customHeight="1">
      <c r="B26" s="118"/>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row>
    <row r="27" spans="2:28" ht="13" customHeight="1">
      <c r="B27" s="118"/>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row>
    <row r="28" spans="2:28" ht="13" customHeight="1">
      <c r="B28" s="118"/>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row>
    <row r="29" spans="2:28" ht="13" customHeight="1">
      <c r="B29" s="11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row>
    <row r="30" spans="2:28" ht="13" customHeight="1">
      <c r="B30" s="118"/>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row>
    <row r="31" spans="2:28" ht="13" customHeight="1">
      <c r="B31" s="118"/>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row>
    <row r="32" spans="2:28" ht="13" customHeight="1">
      <c r="B32" s="119"/>
      <c r="Q32" s="380"/>
      <c r="T32" s="380"/>
      <c r="U32" s="380"/>
      <c r="V32" s="380"/>
      <c r="W32" s="380"/>
      <c r="X32" s="380"/>
    </row>
    <row r="33" spans="2:24" ht="13" customHeight="1">
      <c r="B33" s="120"/>
    </row>
    <row r="34" spans="2:24" ht="13" customHeight="1">
      <c r="Q34" s="380"/>
      <c r="T34" s="380"/>
      <c r="U34" s="380"/>
      <c r="V34" s="380"/>
      <c r="W34" s="380"/>
      <c r="X34" s="380"/>
    </row>
  </sheetData>
  <sheetProtection algorithmName="SHA-512" hashValue="FD2p51LFtXGye3JKL+lPZ8Kt2l57ScDfOU6O+EiIiu6YWhWGPHxz17P5hNAk7zXdl/sU/gQ8l6Zx821xE/LZjA==" saltValue="CEZt034KhrxKRxpIH+2iK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1F96-96B0-404C-B04E-D3393ACCD1B8}">
  <sheetPr>
    <tabColor theme="5" tint="0.59999389629810485"/>
  </sheetPr>
  <dimension ref="B1:AF54"/>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4" customWidth="1"/>
    <col min="9" max="9" width="2.83203125" style="134" customWidth="1"/>
    <col min="10" max="25" width="10.83203125" style="134" customWidth="1"/>
    <col min="26" max="26" width="5.83203125" style="134" customWidth="1"/>
    <col min="27" max="28" width="10.83203125" style="134" customWidth="1"/>
    <col min="29" max="16384" width="10.83203125" style="133"/>
  </cols>
  <sheetData>
    <row r="1" spans="2:32" ht="13" customHeight="1">
      <c r="AC1" s="134"/>
    </row>
    <row r="2" spans="2:32" s="10" customFormat="1" ht="13" customHeight="1">
      <c r="B2" s="310" t="str">
        <f>IF('Summary | Sumário'!D$6=Names!B$3,Names!Z1,Names!AA1)</f>
        <v>NIMs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2:32" ht="13" customHeight="1">
      <c r="B3" s="47"/>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45"/>
    </row>
    <row r="4" spans="2:32" ht="13" customHeight="1">
      <c r="B4" s="3" t="str">
        <f>IF('Summary | Sumário'!D$6=Names!B$3,Names!Z3,Names!AA3)</f>
        <v>NIM 1.0 - IEP + non-interest credit card receivables</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row>
    <row r="5" spans="2:32" ht="13" customHeight="1">
      <c r="B5" s="343" t="str">
        <f>IF('Summary | Sumário'!D$6=Names!B$3,Names!Z4,Names!AA4)</f>
        <v>Annualized NII</v>
      </c>
      <c r="C5" s="344">
        <f>C6</f>
        <v>585551</v>
      </c>
      <c r="D5" s="344">
        <f>D6</f>
        <v>715962.89517999999</v>
      </c>
      <c r="E5" s="344">
        <f t="shared" ref="E5:H5" si="0">E6</f>
        <v>1589467.912</v>
      </c>
      <c r="F5" s="344">
        <f t="shared" si="0"/>
        <v>2335429.1850000001</v>
      </c>
      <c r="G5" s="344">
        <f t="shared" si="0"/>
        <v>3208088.9950000001</v>
      </c>
      <c r="H5" s="344">
        <f t="shared" si="0"/>
        <v>4382156.5940720001</v>
      </c>
      <c r="I5" s="206"/>
      <c r="J5" s="344">
        <f>J6*4</f>
        <v>1166325.3559999999</v>
      </c>
      <c r="K5" s="344">
        <f t="shared" ref="K5:Y5" si="1">K6*4</f>
        <v>1209181.3880000003</v>
      </c>
      <c r="L5" s="344">
        <f t="shared" si="1"/>
        <v>1789479.52</v>
      </c>
      <c r="M5" s="344">
        <f t="shared" si="1"/>
        <v>2192885.3839999996</v>
      </c>
      <c r="N5" s="344">
        <f t="shared" si="1"/>
        <v>2173644.06</v>
      </c>
      <c r="O5" s="344">
        <f t="shared" si="1"/>
        <v>2244349.2440000004</v>
      </c>
      <c r="P5" s="344">
        <f t="shared" si="1"/>
        <v>2222349.8680000002</v>
      </c>
      <c r="Q5" s="344">
        <f t="shared" si="1"/>
        <v>2701373.568</v>
      </c>
      <c r="R5" s="344">
        <f t="shared" si="1"/>
        <v>2846248.4960000003</v>
      </c>
      <c r="S5" s="344">
        <f t="shared" si="1"/>
        <v>3208300</v>
      </c>
      <c r="T5" s="344">
        <f t="shared" si="1"/>
        <v>3274228.4318400002</v>
      </c>
      <c r="U5" s="344">
        <f t="shared" si="1"/>
        <v>3503579.0521599995</v>
      </c>
      <c r="V5" s="344">
        <f t="shared" si="1"/>
        <v>3882658.882079999</v>
      </c>
      <c r="W5" s="344">
        <f t="shared" si="1"/>
        <v>4118674.9032153999</v>
      </c>
      <c r="X5" s="344">
        <f t="shared" si="1"/>
        <v>4539060.5262945322</v>
      </c>
      <c r="Y5" s="344">
        <f t="shared" si="1"/>
        <v>4988232.0646980703</v>
      </c>
      <c r="Z5" s="206"/>
      <c r="AA5" s="429">
        <f>Y5/X5-1</f>
        <v>9.8956939613717765E-2</v>
      </c>
      <c r="AB5" s="429">
        <f>Y5/U5-1</f>
        <v>0.42375325072878378</v>
      </c>
    </row>
    <row r="6" spans="2:32" ht="13" customHeight="1">
      <c r="B6" s="55" t="str">
        <f>IF('Summary | Sumário'!D$6=Names!B$3,Names!Z5,Names!AA5)</f>
        <v>NII</v>
      </c>
      <c r="C6" s="206">
        <f>'4. Credit | Crédito'!C77</f>
        <v>585551</v>
      </c>
      <c r="D6" s="206">
        <f>'4. Credit | Crédito'!D77</f>
        <v>715962.89517999999</v>
      </c>
      <c r="E6" s="206">
        <f>'4. Credit | Crédito'!E77</f>
        <v>1589467.912</v>
      </c>
      <c r="F6" s="206">
        <f>'4. Credit | Crédito'!F77</f>
        <v>2335429.1850000001</v>
      </c>
      <c r="G6" s="206">
        <f>'4. Credit | Crédito'!G77</f>
        <v>3208088.9950000001</v>
      </c>
      <c r="H6" s="206">
        <f>'4. Credit | Crédito'!H77</f>
        <v>4382156.5940720001</v>
      </c>
      <c r="I6" s="206"/>
      <c r="J6" s="206">
        <f>'4. Credit | Crédito'!J77</f>
        <v>291581.33899999998</v>
      </c>
      <c r="K6" s="206">
        <f>'4. Credit | Crédito'!K77</f>
        <v>302295.34700000007</v>
      </c>
      <c r="L6" s="206">
        <f>'4. Credit | Crédito'!L77</f>
        <v>447369.88</v>
      </c>
      <c r="M6" s="206">
        <f>'4. Credit | Crédito'!M77</f>
        <v>548221.3459999999</v>
      </c>
      <c r="N6" s="206">
        <f>'4. Credit | Crédito'!N77</f>
        <v>543411.01500000001</v>
      </c>
      <c r="O6" s="206">
        <f>'4. Credit | Crédito'!O77</f>
        <v>561087.3110000001</v>
      </c>
      <c r="P6" s="206">
        <f>'4. Credit | Crédito'!P77</f>
        <v>555587.46700000006</v>
      </c>
      <c r="Q6" s="206">
        <f>'4. Credit | Crédito'!Q77</f>
        <v>675343.39199999999</v>
      </c>
      <c r="R6" s="206">
        <f>'4. Credit | Crédito'!R77</f>
        <v>711562.12400000007</v>
      </c>
      <c r="S6" s="206">
        <f>'4. Credit | Crédito'!S77</f>
        <v>802075</v>
      </c>
      <c r="T6" s="206">
        <f>'4. Credit | Crédito'!T77</f>
        <v>818557.10796000005</v>
      </c>
      <c r="U6" s="206">
        <f>'4. Credit | Crédito'!U77</f>
        <v>875894.76303999987</v>
      </c>
      <c r="V6" s="206">
        <f>'4. Credit | Crédito'!V77</f>
        <v>970664.72051999974</v>
      </c>
      <c r="W6" s="206">
        <f>'4. Credit | Crédito'!W77</f>
        <v>1029668.72580385</v>
      </c>
      <c r="X6" s="206">
        <f>'4. Credit | Crédito'!X77</f>
        <v>1134765.1315736331</v>
      </c>
      <c r="Y6" s="206">
        <f>'4. Credit | Crédito'!Y77</f>
        <v>1247058.0161745176</v>
      </c>
      <c r="Z6" s="206"/>
      <c r="AA6" s="430">
        <f t="shared" ref="AA6:AA12" si="2">Y6/X6-1</f>
        <v>9.8956939613717765E-2</v>
      </c>
      <c r="AB6" s="430">
        <f t="shared" ref="AB6:AB12" si="3">Y6/U6-1</f>
        <v>0.42375325072878378</v>
      </c>
    </row>
    <row r="7" spans="2:32" ht="13" customHeight="1">
      <c r="B7" s="70" t="str">
        <f>IF('Summary | Sumário'!D$6=Names!B$3,Names!Z8,Names!AA8)</f>
        <v>(÷) Avg of the last two periods of IEP + non-interest credit card receivables</v>
      </c>
      <c r="C7" s="219">
        <f>C8</f>
        <v>5973015</v>
      </c>
      <c r="D7" s="219">
        <f>(D8+C8)/2</f>
        <v>10411611</v>
      </c>
      <c r="E7" s="219">
        <f t="shared" ref="E7:H7" si="4">(E8+D8)/2</f>
        <v>23141067</v>
      </c>
      <c r="F7" s="219">
        <f t="shared" si="4"/>
        <v>34759632</v>
      </c>
      <c r="G7" s="219">
        <f t="shared" si="4"/>
        <v>43289367.897454999</v>
      </c>
      <c r="H7" s="219">
        <f t="shared" si="4"/>
        <v>55956913.982852504</v>
      </c>
      <c r="I7" s="202"/>
      <c r="J7" s="219">
        <f>AVERAGE(J8,D8)</f>
        <v>15987577.5</v>
      </c>
      <c r="K7" s="219">
        <f>AVERAGE(K8,J8)</f>
        <v>19027250.5</v>
      </c>
      <c r="L7" s="219">
        <f t="shared" ref="L7:Y7" si="5">AVERAGE(L8,K8)</f>
        <v>24944048</v>
      </c>
      <c r="M7" s="219">
        <f t="shared" si="5"/>
        <v>30195235</v>
      </c>
      <c r="N7" s="219">
        <f t="shared" si="5"/>
        <v>31479814</v>
      </c>
      <c r="O7" s="219">
        <f t="shared" si="5"/>
        <v>32288221</v>
      </c>
      <c r="P7" s="219">
        <f t="shared" si="5"/>
        <v>34830595</v>
      </c>
      <c r="Q7" s="219">
        <f t="shared" si="5"/>
        <v>37349893</v>
      </c>
      <c r="R7" s="219">
        <f t="shared" si="5"/>
        <v>38382525.5</v>
      </c>
      <c r="S7" s="219">
        <f t="shared" si="5"/>
        <v>39465908</v>
      </c>
      <c r="T7" s="219">
        <f t="shared" si="5"/>
        <v>41971325.694665</v>
      </c>
      <c r="U7" s="219">
        <f t="shared" si="5"/>
        <v>46089974.092119999</v>
      </c>
      <c r="V7" s="219">
        <f t="shared" si="5"/>
        <v>49772164.046540096</v>
      </c>
      <c r="W7" s="219">
        <f t="shared" si="5"/>
        <v>52711747.047085106</v>
      </c>
      <c r="X7" s="219">
        <f t="shared" si="5"/>
        <v>55839656.064625151</v>
      </c>
      <c r="Y7" s="219">
        <f t="shared" si="5"/>
        <v>60365588.252022654</v>
      </c>
      <c r="Z7" s="220"/>
      <c r="AA7" s="446">
        <f t="shared" si="2"/>
        <v>8.1052293412400056E-2</v>
      </c>
      <c r="AB7" s="446">
        <f t="shared" si="3"/>
        <v>0.30973361215977246</v>
      </c>
    </row>
    <row r="8" spans="2:32" ht="13" customHeight="1">
      <c r="B8" s="65" t="str">
        <f>IF('Summary | Sumário'!D$6=Names!B$3,Names!Z9,Names!AA9)</f>
        <v>IEP + non-interest credit card receivables</v>
      </c>
      <c r="C8" s="222">
        <f>SUM(C9:C12)</f>
        <v>5973015</v>
      </c>
      <c r="D8" s="222">
        <f>SUM(D9:D12)</f>
        <v>14850207</v>
      </c>
      <c r="E8" s="222">
        <f t="shared" ref="E8:F8" si="6">SUM(E9:E12)</f>
        <v>31431927</v>
      </c>
      <c r="F8" s="222">
        <f t="shared" si="6"/>
        <v>38087337</v>
      </c>
      <c r="G8" s="222">
        <f t="shared" ref="G8:H8" si="7">SUM(G9:G12)</f>
        <v>48491398.794909999</v>
      </c>
      <c r="H8" s="222">
        <f t="shared" si="7"/>
        <v>63422429.170795001</v>
      </c>
      <c r="I8" s="222"/>
      <c r="J8" s="222">
        <f t="shared" ref="J8:K8" si="8">SUM(J9:J12)</f>
        <v>17124948</v>
      </c>
      <c r="K8" s="222">
        <f t="shared" si="8"/>
        <v>20929553</v>
      </c>
      <c r="L8" s="222">
        <f t="shared" ref="L8" si="9">SUM(L9:L12)</f>
        <v>28958543</v>
      </c>
      <c r="M8" s="222">
        <f t="shared" ref="M8" si="10">SUM(M9:M12)</f>
        <v>31431927</v>
      </c>
      <c r="N8" s="222">
        <f t="shared" ref="N8" si="11">SUM(N9:N12)</f>
        <v>31527701</v>
      </c>
      <c r="O8" s="222">
        <f t="shared" ref="O8" si="12">SUM(O9:O12)</f>
        <v>33048741</v>
      </c>
      <c r="P8" s="222">
        <f t="shared" ref="P8" si="13">SUM(P9:P12)</f>
        <v>36612449</v>
      </c>
      <c r="Q8" s="222">
        <f t="shared" ref="Q8" si="14">SUM(Q9:Q12)</f>
        <v>38087337</v>
      </c>
      <c r="R8" s="222">
        <f t="shared" ref="R8:S8" si="15">SUM(R9:R12)</f>
        <v>38677714</v>
      </c>
      <c r="S8" s="222">
        <f t="shared" si="15"/>
        <v>40254102</v>
      </c>
      <c r="T8" s="222">
        <f t="shared" ref="T8:U8" si="16">SUM(T9:T12)</f>
        <v>43688549.38933</v>
      </c>
      <c r="U8" s="222">
        <f t="shared" si="16"/>
        <v>48491398.794909999</v>
      </c>
      <c r="V8" s="222">
        <f t="shared" ref="V8:W8" si="17">SUM(V9:V12)</f>
        <v>51052929.298170201</v>
      </c>
      <c r="W8" s="222">
        <f t="shared" si="17"/>
        <v>54370564.796000004</v>
      </c>
      <c r="X8" s="222">
        <f t="shared" ref="X8:Y8" si="18">SUM(X9:X12)</f>
        <v>57308747.333250299</v>
      </c>
      <c r="Y8" s="222">
        <f t="shared" si="18"/>
        <v>63422429.170795001</v>
      </c>
      <c r="Z8" s="222"/>
      <c r="AA8" s="381">
        <f t="shared" si="2"/>
        <v>0.10667973253705321</v>
      </c>
      <c r="AB8" s="381">
        <f t="shared" si="3"/>
        <v>0.3079109026950213</v>
      </c>
    </row>
    <row r="9" spans="2:32" ht="13" customHeight="1">
      <c r="B9" s="68" t="str">
        <f>IF('Summary | Sumário'!D$6=Names!B$3,Names!Z10,Names!AA10)</f>
        <v>Amounts due from financial institutions</v>
      </c>
      <c r="C9" s="221">
        <v>256097</v>
      </c>
      <c r="D9" s="221">
        <v>502369</v>
      </c>
      <c r="E9" s="221">
        <v>2051862</v>
      </c>
      <c r="F9" s="221">
        <v>4258856</v>
      </c>
      <c r="G9" s="221">
        <v>3718505.7949100002</v>
      </c>
      <c r="H9" s="221">
        <v>6194960.1520200009</v>
      </c>
      <c r="I9" s="222"/>
      <c r="J9" s="221">
        <v>578499</v>
      </c>
      <c r="K9" s="221">
        <v>646905</v>
      </c>
      <c r="L9" s="221">
        <v>1408183</v>
      </c>
      <c r="M9" s="221">
        <v>2051862</v>
      </c>
      <c r="N9" s="221">
        <v>1807258</v>
      </c>
      <c r="O9" s="221">
        <v>1825289</v>
      </c>
      <c r="P9" s="221">
        <v>3417500</v>
      </c>
      <c r="Q9" s="221">
        <v>4258856</v>
      </c>
      <c r="R9" s="221">
        <v>3770074</v>
      </c>
      <c r="S9" s="221">
        <v>2556811</v>
      </c>
      <c r="T9" s="221">
        <v>3474243.8523399998</v>
      </c>
      <c r="U9" s="221">
        <v>3718505.7949100002</v>
      </c>
      <c r="V9" s="221">
        <v>4051287.3041199995</v>
      </c>
      <c r="W9" s="221">
        <v>5280321.6449999996</v>
      </c>
      <c r="X9" s="221">
        <v>5225481.9997899998</v>
      </c>
      <c r="Y9" s="221">
        <v>6194960.1520200009</v>
      </c>
      <c r="Z9" s="222"/>
      <c r="AA9" s="453">
        <f t="shared" si="2"/>
        <v>0.18552894302744938</v>
      </c>
      <c r="AB9" s="453">
        <f t="shared" si="3"/>
        <v>0.66598104015323689</v>
      </c>
    </row>
    <row r="10" spans="2:32" ht="13" customHeight="1">
      <c r="B10" s="63" t="str">
        <f>IF('Summary | Sumário'!D$6=Names!B$3,Names!Z11,Names!AA11)</f>
        <v>Securities</v>
      </c>
      <c r="C10" s="222">
        <v>1155094</v>
      </c>
      <c r="D10" s="222">
        <v>5812622</v>
      </c>
      <c r="E10" s="222">
        <v>12757687</v>
      </c>
      <c r="F10" s="222">
        <v>12448565</v>
      </c>
      <c r="G10" s="222">
        <v>16868112</v>
      </c>
      <c r="H10" s="222">
        <v>23899551.020405103</v>
      </c>
      <c r="I10" s="222"/>
      <c r="J10" s="222">
        <v>6619726</v>
      </c>
      <c r="K10" s="222">
        <v>8230481</v>
      </c>
      <c r="L10" s="222">
        <v>13241180</v>
      </c>
      <c r="M10" s="222">
        <v>12757687</v>
      </c>
      <c r="N10" s="222">
        <v>12335401</v>
      </c>
      <c r="O10" s="222">
        <v>12710051</v>
      </c>
      <c r="P10" s="222">
        <v>13373465</v>
      </c>
      <c r="Q10" s="222">
        <v>12448565</v>
      </c>
      <c r="R10" s="222">
        <v>12535351</v>
      </c>
      <c r="S10" s="222">
        <v>14169684</v>
      </c>
      <c r="T10" s="222">
        <v>14908297</v>
      </c>
      <c r="U10" s="222">
        <v>16868112</v>
      </c>
      <c r="V10" s="222">
        <v>18167251</v>
      </c>
      <c r="W10" s="222">
        <v>18276425.519000001</v>
      </c>
      <c r="X10" s="222">
        <v>20586354.700983003</v>
      </c>
      <c r="Y10" s="222">
        <v>23899551.020405103</v>
      </c>
      <c r="Z10" s="222"/>
      <c r="AA10" s="381">
        <f t="shared" si="2"/>
        <v>0.16094137925564334</v>
      </c>
      <c r="AB10" s="381">
        <f t="shared" si="3"/>
        <v>0.41684801597268883</v>
      </c>
    </row>
    <row r="11" spans="2:32" ht="13" customHeight="1">
      <c r="B11" s="68" t="str">
        <f>IF('Summary | Sumário'!D$6=Names!B$3,Names!Z12,Names!AA12)</f>
        <v>Net loans and advances to customers</v>
      </c>
      <c r="C11" s="221">
        <v>4561824</v>
      </c>
      <c r="D11" s="221">
        <v>8507703</v>
      </c>
      <c r="E11" s="221">
        <v>16535430</v>
      </c>
      <c r="F11" s="221">
        <v>21379916</v>
      </c>
      <c r="G11" s="221">
        <v>27900543</v>
      </c>
      <c r="H11" s="221">
        <v>33327355.1973699</v>
      </c>
      <c r="I11" s="222"/>
      <c r="J11" s="221">
        <v>9908120</v>
      </c>
      <c r="K11" s="221">
        <v>12040483</v>
      </c>
      <c r="L11" s="221">
        <v>14301537</v>
      </c>
      <c r="M11" s="221">
        <v>16535430</v>
      </c>
      <c r="N11" s="221">
        <v>17374632</v>
      </c>
      <c r="O11" s="221">
        <v>18510189</v>
      </c>
      <c r="P11" s="221">
        <v>19820903</v>
      </c>
      <c r="Q11" s="221">
        <v>21379916</v>
      </c>
      <c r="R11" s="221">
        <v>22371167</v>
      </c>
      <c r="S11" s="221">
        <v>23523982</v>
      </c>
      <c r="T11" s="221">
        <v>25296620</v>
      </c>
      <c r="U11" s="221">
        <v>27900543</v>
      </c>
      <c r="V11" s="221">
        <v>28826998.881090201</v>
      </c>
      <c r="W11" s="221">
        <v>30806640.206</v>
      </c>
      <c r="X11" s="221">
        <v>31478421.7243573</v>
      </c>
      <c r="Y11" s="221">
        <v>33327355.1973699</v>
      </c>
      <c r="Z11" s="222"/>
      <c r="AA11" s="453">
        <f t="shared" si="2"/>
        <v>5.873653670450496E-2</v>
      </c>
      <c r="AB11" s="453">
        <f t="shared" si="3"/>
        <v>0.19450561221585905</v>
      </c>
    </row>
    <row r="12" spans="2:32" ht="13" customHeight="1">
      <c r="B12" s="63" t="str">
        <f>IF('Summary | Sumário'!D$6=Names!B$3,Names!Z13,Names!AA13)</f>
        <v>Derivative financial assets</v>
      </c>
      <c r="C12" s="222">
        <v>0</v>
      </c>
      <c r="D12" s="222">
        <v>27513</v>
      </c>
      <c r="E12" s="222">
        <v>86948</v>
      </c>
      <c r="F12" s="222">
        <v>0</v>
      </c>
      <c r="G12" s="222">
        <v>4238</v>
      </c>
      <c r="H12" s="222">
        <v>562.80100000000004</v>
      </c>
      <c r="I12" s="222"/>
      <c r="J12" s="222">
        <v>18603</v>
      </c>
      <c r="K12" s="222">
        <v>11684</v>
      </c>
      <c r="L12" s="222">
        <v>7643</v>
      </c>
      <c r="M12" s="222">
        <v>86948</v>
      </c>
      <c r="N12" s="222">
        <v>10410</v>
      </c>
      <c r="O12" s="222">
        <v>3212</v>
      </c>
      <c r="P12" s="222">
        <v>581</v>
      </c>
      <c r="Q12" s="222">
        <v>0</v>
      </c>
      <c r="R12" s="222">
        <v>1122</v>
      </c>
      <c r="S12" s="222">
        <v>3625</v>
      </c>
      <c r="T12" s="222">
        <v>9388.5369900000005</v>
      </c>
      <c r="U12" s="222">
        <v>4238</v>
      </c>
      <c r="V12" s="222">
        <v>7392.1129600000004</v>
      </c>
      <c r="W12" s="222">
        <v>7177.4260000000004</v>
      </c>
      <c r="X12" s="222">
        <v>18488.90812</v>
      </c>
      <c r="Y12" s="222">
        <v>562.80100000000004</v>
      </c>
      <c r="Z12" s="222"/>
      <c r="AA12" s="381">
        <f t="shared" si="2"/>
        <v>-0.96956007372922137</v>
      </c>
      <c r="AB12" s="381">
        <f t="shared" si="3"/>
        <v>-0.86720127418593673</v>
      </c>
    </row>
    <row r="13" spans="2:32" ht="13" customHeight="1">
      <c r="B13" s="342" t="str">
        <f>IF('Summary | Sumário'!D$6=Names!B$3,Names!Z14,Names!AA14)</f>
        <v>(=) NIM 1.0 - IEP + non-interest credit card receivables (%)</v>
      </c>
      <c r="C13" s="357">
        <f t="shared" ref="C13:H13" si="19">C5/C7</f>
        <v>9.803273556152127E-2</v>
      </c>
      <c r="D13" s="357">
        <f t="shared" si="19"/>
        <v>6.8765813012030511E-2</v>
      </c>
      <c r="E13" s="357">
        <f t="shared" si="19"/>
        <v>6.8686025238162099E-2</v>
      </c>
      <c r="F13" s="357">
        <f t="shared" si="19"/>
        <v>6.7187972099359394E-2</v>
      </c>
      <c r="G13" s="357">
        <f t="shared" si="19"/>
        <v>7.4108011985746847E-2</v>
      </c>
      <c r="H13" s="357">
        <f t="shared" si="19"/>
        <v>7.8313049847868174E-2</v>
      </c>
      <c r="I13" s="404"/>
      <c r="J13" s="357">
        <f t="shared" ref="J13:Y13" si="20">J5/J7</f>
        <v>7.2951975119432563E-2</v>
      </c>
      <c r="K13" s="357">
        <f t="shared" si="20"/>
        <v>6.3549979961634515E-2</v>
      </c>
      <c r="L13" s="357">
        <f t="shared" si="20"/>
        <v>7.1739740077472594E-2</v>
      </c>
      <c r="M13" s="357">
        <f t="shared" si="20"/>
        <v>7.2623557458651997E-2</v>
      </c>
      <c r="N13" s="357">
        <f t="shared" si="20"/>
        <v>6.9048821571817423E-2</v>
      </c>
      <c r="O13" s="357">
        <f t="shared" si="20"/>
        <v>6.9509845215690286E-2</v>
      </c>
      <c r="P13" s="357">
        <f t="shared" si="20"/>
        <v>6.3804533571706151E-2</v>
      </c>
      <c r="Q13" s="357">
        <f t="shared" si="20"/>
        <v>7.2326139408217319E-2</v>
      </c>
      <c r="R13" s="357">
        <f t="shared" si="20"/>
        <v>7.4154799845049288E-2</v>
      </c>
      <c r="S13" s="357">
        <f t="shared" si="20"/>
        <v>8.1292947827274115E-2</v>
      </c>
      <c r="T13" s="357">
        <f t="shared" si="20"/>
        <v>7.801107965136754E-2</v>
      </c>
      <c r="U13" s="357">
        <f t="shared" si="20"/>
        <v>7.6016077708297214E-2</v>
      </c>
      <c r="V13" s="357">
        <f t="shared" si="20"/>
        <v>7.8008641104081178E-2</v>
      </c>
      <c r="W13" s="357">
        <f t="shared" si="20"/>
        <v>7.8135807176650154E-2</v>
      </c>
      <c r="X13" s="357">
        <f t="shared" si="20"/>
        <v>8.1287401216105656E-2</v>
      </c>
      <c r="Y13" s="357">
        <f t="shared" si="20"/>
        <v>8.2633702563661024E-2</v>
      </c>
      <c r="Z13" s="404"/>
      <c r="AA13" s="455">
        <f>(Y13-X13)*100</f>
        <v>0.13463013475553676</v>
      </c>
      <c r="AB13" s="455">
        <f>(Y13-U13)*100</f>
        <v>0.66176248553638106</v>
      </c>
      <c r="AD13" s="181"/>
      <c r="AE13" s="181"/>
    </row>
    <row r="14" spans="2:32" ht="13" customHeight="1">
      <c r="B14" s="70"/>
      <c r="C14" s="205"/>
      <c r="D14" s="205"/>
      <c r="E14" s="205"/>
      <c r="F14" s="205"/>
      <c r="G14" s="205"/>
      <c r="H14" s="205"/>
      <c r="J14" s="205"/>
      <c r="K14" s="205"/>
      <c r="L14" s="205"/>
      <c r="M14" s="205"/>
      <c r="N14" s="205"/>
      <c r="O14" s="205"/>
      <c r="P14" s="205"/>
      <c r="Q14" s="205"/>
      <c r="R14" s="205"/>
      <c r="S14" s="205"/>
      <c r="T14" s="205"/>
      <c r="U14" s="205"/>
      <c r="V14" s="205"/>
      <c r="W14" s="205"/>
      <c r="X14" s="205"/>
      <c r="Y14" s="205"/>
      <c r="AA14" s="205"/>
      <c r="AB14" s="205"/>
    </row>
    <row r="15" spans="2:32" ht="13" customHeight="1">
      <c r="B15" s="3" t="str">
        <f>IF('Summary | Sumário'!D$6=Names!B$3,Names!Z16,Names!AA16)</f>
        <v>NIM 2.0 - IEP</v>
      </c>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row>
    <row r="16" spans="2:32" ht="13" customHeight="1">
      <c r="B16" s="343" t="str">
        <f>IF('Summary | Sumário'!D$6=Names!B$3,Names!Z17,Names!AA17)</f>
        <v>Annualized NII</v>
      </c>
      <c r="C16" s="344">
        <f t="shared" ref="C16:H17" si="21">C5</f>
        <v>585551</v>
      </c>
      <c r="D16" s="344">
        <f t="shared" si="21"/>
        <v>715962.89517999999</v>
      </c>
      <c r="E16" s="344">
        <f t="shared" si="21"/>
        <v>1589467.912</v>
      </c>
      <c r="F16" s="344">
        <f t="shared" si="21"/>
        <v>2335429.1850000001</v>
      </c>
      <c r="G16" s="344">
        <f t="shared" si="21"/>
        <v>3208088.9950000001</v>
      </c>
      <c r="H16" s="344">
        <f t="shared" si="21"/>
        <v>4382156.5940720001</v>
      </c>
      <c r="I16" s="206"/>
      <c r="J16" s="344">
        <f t="shared" ref="J16:Y16" si="22">J5</f>
        <v>1166325.3559999999</v>
      </c>
      <c r="K16" s="344">
        <f t="shared" si="22"/>
        <v>1209181.3880000003</v>
      </c>
      <c r="L16" s="344">
        <f t="shared" si="22"/>
        <v>1789479.52</v>
      </c>
      <c r="M16" s="344">
        <f t="shared" si="22"/>
        <v>2192885.3839999996</v>
      </c>
      <c r="N16" s="344">
        <f t="shared" si="22"/>
        <v>2173644.06</v>
      </c>
      <c r="O16" s="344">
        <f t="shared" si="22"/>
        <v>2244349.2440000004</v>
      </c>
      <c r="P16" s="344">
        <f t="shared" si="22"/>
        <v>2222349.8680000002</v>
      </c>
      <c r="Q16" s="344">
        <f t="shared" si="22"/>
        <v>2701373.568</v>
      </c>
      <c r="R16" s="344">
        <f t="shared" si="22"/>
        <v>2846248.4960000003</v>
      </c>
      <c r="S16" s="344">
        <f t="shared" si="22"/>
        <v>3208300</v>
      </c>
      <c r="T16" s="344">
        <f t="shared" si="22"/>
        <v>3274228.4318400002</v>
      </c>
      <c r="U16" s="344">
        <f t="shared" si="22"/>
        <v>3503579.0521599995</v>
      </c>
      <c r="V16" s="344">
        <f t="shared" si="22"/>
        <v>3882658.882079999</v>
      </c>
      <c r="W16" s="344">
        <f t="shared" si="22"/>
        <v>4118674.9032153999</v>
      </c>
      <c r="X16" s="344">
        <f t="shared" si="22"/>
        <v>4539060.5262945322</v>
      </c>
      <c r="Y16" s="344">
        <f t="shared" si="22"/>
        <v>4988232.0646980703</v>
      </c>
      <c r="Z16" s="206"/>
      <c r="AA16" s="429">
        <f>Y16/X16-1</f>
        <v>9.8956939613717765E-2</v>
      </c>
      <c r="AB16" s="429">
        <f>Y16/U16-1</f>
        <v>0.42375325072878378</v>
      </c>
    </row>
    <row r="17" spans="2:31" ht="13" customHeight="1">
      <c r="B17" s="55" t="str">
        <f>IF('Summary | Sumário'!D$6=Names!B$3,Names!Z18,Names!AA18)</f>
        <v>NII</v>
      </c>
      <c r="C17" s="206">
        <f t="shared" si="21"/>
        <v>585551</v>
      </c>
      <c r="D17" s="206">
        <f t="shared" si="21"/>
        <v>715962.89517999999</v>
      </c>
      <c r="E17" s="206">
        <f t="shared" si="21"/>
        <v>1589467.912</v>
      </c>
      <c r="F17" s="206">
        <f t="shared" si="21"/>
        <v>2335429.1850000001</v>
      </c>
      <c r="G17" s="206">
        <f t="shared" si="21"/>
        <v>3208088.9950000001</v>
      </c>
      <c r="H17" s="206">
        <f t="shared" si="21"/>
        <v>4382156.5940720001</v>
      </c>
      <c r="I17" s="206"/>
      <c r="J17" s="206">
        <f t="shared" ref="J17:Y17" si="23">J6</f>
        <v>291581.33899999998</v>
      </c>
      <c r="K17" s="206">
        <f t="shared" si="23"/>
        <v>302295.34700000007</v>
      </c>
      <c r="L17" s="206">
        <f t="shared" si="23"/>
        <v>447369.88</v>
      </c>
      <c r="M17" s="206">
        <f t="shared" si="23"/>
        <v>548221.3459999999</v>
      </c>
      <c r="N17" s="206">
        <f t="shared" si="23"/>
        <v>543411.01500000001</v>
      </c>
      <c r="O17" s="206">
        <f t="shared" si="23"/>
        <v>561087.3110000001</v>
      </c>
      <c r="P17" s="206">
        <f t="shared" si="23"/>
        <v>555587.46700000006</v>
      </c>
      <c r="Q17" s="206">
        <f t="shared" si="23"/>
        <v>675343.39199999999</v>
      </c>
      <c r="R17" s="206">
        <f t="shared" si="23"/>
        <v>711562.12400000007</v>
      </c>
      <c r="S17" s="206">
        <f t="shared" si="23"/>
        <v>802075</v>
      </c>
      <c r="T17" s="206">
        <f t="shared" si="23"/>
        <v>818557.10796000005</v>
      </c>
      <c r="U17" s="206">
        <f t="shared" si="23"/>
        <v>875894.76303999987</v>
      </c>
      <c r="V17" s="206">
        <f t="shared" si="23"/>
        <v>970664.72051999974</v>
      </c>
      <c r="W17" s="206">
        <f t="shared" si="23"/>
        <v>1029668.72580385</v>
      </c>
      <c r="X17" s="206">
        <f t="shared" si="23"/>
        <v>1134765.1315736331</v>
      </c>
      <c r="Y17" s="206">
        <f t="shared" si="23"/>
        <v>1247058.0161745176</v>
      </c>
      <c r="Z17" s="206"/>
      <c r="AA17" s="430">
        <f t="shared" ref="AA17:AA25" si="24">Y17/X17-1</f>
        <v>9.8956939613717765E-2</v>
      </c>
      <c r="AB17" s="430">
        <f t="shared" ref="AB17:AB25" si="25">Y17/U17-1</f>
        <v>0.42375325072878378</v>
      </c>
    </row>
    <row r="18" spans="2:31" ht="13" customHeight="1">
      <c r="B18" s="70" t="str">
        <f>IF('Summary | Sumário'!D$6=Names!B$3,Names!Z21,Names!AA21)</f>
        <v>(÷) Avg of the last two periods of IEP</v>
      </c>
      <c r="C18" s="219">
        <f>C19</f>
        <v>5906176.3870000001</v>
      </c>
      <c r="D18" s="680">
        <f>(D19+C19)/2</f>
        <v>9540976.6059999987</v>
      </c>
      <c r="E18" s="680">
        <f t="shared" ref="E18:H18" si="26">(E19+D19)/2</f>
        <v>20242695.412500001</v>
      </c>
      <c r="F18" s="680">
        <f t="shared" si="26"/>
        <v>29992576.5</v>
      </c>
      <c r="G18" s="680">
        <f t="shared" si="26"/>
        <v>36838463.595954999</v>
      </c>
      <c r="H18" s="680">
        <f t="shared" si="26"/>
        <v>47436890.773622498</v>
      </c>
      <c r="I18" s="678"/>
      <c r="J18" s="680">
        <f>(J19+D19)/2</f>
        <v>14103254.9125</v>
      </c>
      <c r="K18" s="219">
        <f>(K19+J19)/2</f>
        <v>16655040.5</v>
      </c>
      <c r="L18" s="219">
        <f t="shared" ref="L18:Y18" si="27">(L19+K19)/2</f>
        <v>21978468</v>
      </c>
      <c r="M18" s="219">
        <f t="shared" si="27"/>
        <v>26493601</v>
      </c>
      <c r="N18" s="219">
        <f t="shared" si="27"/>
        <v>27179014.5</v>
      </c>
      <c r="O18" s="219">
        <f t="shared" si="27"/>
        <v>27600017.5</v>
      </c>
      <c r="P18" s="219">
        <f t="shared" si="27"/>
        <v>29831065</v>
      </c>
      <c r="Q18" s="219">
        <f t="shared" si="27"/>
        <v>32093024.5</v>
      </c>
      <c r="R18" s="219">
        <f t="shared" si="27"/>
        <v>32836492.193913735</v>
      </c>
      <c r="S18" s="219">
        <f t="shared" si="27"/>
        <v>33673793.577701032</v>
      </c>
      <c r="T18" s="219">
        <f t="shared" si="27"/>
        <v>35635379.055952296</v>
      </c>
      <c r="U18" s="219">
        <f t="shared" si="27"/>
        <v>38961002.268119998</v>
      </c>
      <c r="V18" s="219">
        <f t="shared" si="27"/>
        <v>42059618.137200102</v>
      </c>
      <c r="W18" s="219">
        <f t="shared" si="27"/>
        <v>44622222.196655095</v>
      </c>
      <c r="X18" s="219">
        <f t="shared" si="27"/>
        <v>47436236.145000145</v>
      </c>
      <c r="Y18" s="219">
        <f t="shared" si="27"/>
        <v>51309134.667257652</v>
      </c>
      <c r="Z18" s="220"/>
      <c r="AA18" s="446">
        <f t="shared" si="24"/>
        <v>8.1644304797266587E-2</v>
      </c>
      <c r="AB18" s="446">
        <f t="shared" si="25"/>
        <v>0.31693569672979294</v>
      </c>
    </row>
    <row r="19" spans="2:31" ht="13" customHeight="1">
      <c r="B19" s="65" t="str">
        <f>IF('Summary | Sumário'!D$6=Names!B$3,Names!Z22,Names!AA22)</f>
        <v>IEP</v>
      </c>
      <c r="C19" s="220">
        <f>C20+C21+C22+C25</f>
        <v>5906176.3870000001</v>
      </c>
      <c r="D19" s="220">
        <f t="shared" ref="D19:R19" si="28">D20+D21+D22+D25</f>
        <v>13175776.824999999</v>
      </c>
      <c r="E19" s="220">
        <f t="shared" si="28"/>
        <v>27309614</v>
      </c>
      <c r="F19" s="220">
        <f t="shared" si="28"/>
        <v>32675539</v>
      </c>
      <c r="G19" s="220">
        <f t="shared" ref="G19:H19" si="29">G20+G21+G22+G25</f>
        <v>41001388.191909999</v>
      </c>
      <c r="H19" s="220">
        <f t="shared" si="29"/>
        <v>53872393.355334997</v>
      </c>
      <c r="I19" s="202"/>
      <c r="J19" s="220">
        <f t="shared" si="28"/>
        <v>15030733</v>
      </c>
      <c r="K19" s="220">
        <f t="shared" si="28"/>
        <v>18279348</v>
      </c>
      <c r="L19" s="220">
        <f t="shared" si="28"/>
        <v>25677588</v>
      </c>
      <c r="M19" s="220">
        <f t="shared" si="28"/>
        <v>27309614</v>
      </c>
      <c r="N19" s="220">
        <f t="shared" si="28"/>
        <v>27048415</v>
      </c>
      <c r="O19" s="220">
        <f t="shared" si="28"/>
        <v>28151620</v>
      </c>
      <c r="P19" s="220">
        <f t="shared" si="28"/>
        <v>31510510</v>
      </c>
      <c r="Q19" s="220">
        <f t="shared" si="28"/>
        <v>32675539</v>
      </c>
      <c r="R19" s="220">
        <f t="shared" si="28"/>
        <v>32997445.387827475</v>
      </c>
      <c r="S19" s="220">
        <f t="shared" ref="S19:T19" si="30">S20+S21+S22+S25</f>
        <v>34350141.767574593</v>
      </c>
      <c r="T19" s="220">
        <f t="shared" si="30"/>
        <v>36920616.344329998</v>
      </c>
      <c r="U19" s="220">
        <f t="shared" ref="U19:V19" si="31">U20+U21+U22+U25</f>
        <v>41001388.191909999</v>
      </c>
      <c r="V19" s="220">
        <f t="shared" si="31"/>
        <v>43117848.082490198</v>
      </c>
      <c r="W19" s="220">
        <f t="shared" ref="W19:X19" si="32">W20+W21+W22+W25</f>
        <v>46126596.310819998</v>
      </c>
      <c r="X19" s="220">
        <f t="shared" si="32"/>
        <v>48745875.979180299</v>
      </c>
      <c r="Y19" s="220">
        <f t="shared" ref="Y19" si="33">Y20+Y21+Y22+Y25</f>
        <v>53872393.355334997</v>
      </c>
      <c r="Z19" s="220"/>
      <c r="AA19" s="452">
        <f t="shared" si="24"/>
        <v>0.1051682275305561</v>
      </c>
      <c r="AB19" s="452">
        <f t="shared" si="25"/>
        <v>0.31391632652000268</v>
      </c>
    </row>
    <row r="20" spans="2:31" ht="13" customHeight="1">
      <c r="B20" s="68" t="str">
        <f>IF('Summary | Sumário'!D$6=Names!B$3,Names!Z23,Names!AA23)</f>
        <v>Amounts due from financial institutions</v>
      </c>
      <c r="C20" s="219">
        <f t="shared" ref="C20:H21" si="34">C9</f>
        <v>256097</v>
      </c>
      <c r="D20" s="219">
        <f t="shared" si="34"/>
        <v>502369</v>
      </c>
      <c r="E20" s="219">
        <f t="shared" si="34"/>
        <v>2051862</v>
      </c>
      <c r="F20" s="219">
        <f t="shared" si="34"/>
        <v>4258856</v>
      </c>
      <c r="G20" s="219">
        <f t="shared" si="34"/>
        <v>3718505.7949100002</v>
      </c>
      <c r="H20" s="219">
        <f t="shared" si="34"/>
        <v>6194960.1520200009</v>
      </c>
      <c r="I20" s="202"/>
      <c r="J20" s="219">
        <f t="shared" ref="J20:Y20" si="35">J9</f>
        <v>578499</v>
      </c>
      <c r="K20" s="219">
        <f t="shared" si="35"/>
        <v>646905</v>
      </c>
      <c r="L20" s="219">
        <f t="shared" si="35"/>
        <v>1408183</v>
      </c>
      <c r="M20" s="219">
        <f t="shared" si="35"/>
        <v>2051862</v>
      </c>
      <c r="N20" s="219">
        <f t="shared" si="35"/>
        <v>1807258</v>
      </c>
      <c r="O20" s="219">
        <f t="shared" si="35"/>
        <v>1825289</v>
      </c>
      <c r="P20" s="219">
        <f t="shared" si="35"/>
        <v>3417500</v>
      </c>
      <c r="Q20" s="219">
        <f t="shared" si="35"/>
        <v>4258856</v>
      </c>
      <c r="R20" s="219">
        <f t="shared" si="35"/>
        <v>3770074</v>
      </c>
      <c r="S20" s="219">
        <f t="shared" si="35"/>
        <v>2556811</v>
      </c>
      <c r="T20" s="219">
        <f t="shared" si="35"/>
        <v>3474243.8523399998</v>
      </c>
      <c r="U20" s="219">
        <f t="shared" si="35"/>
        <v>3718505.7949100002</v>
      </c>
      <c r="V20" s="219">
        <f t="shared" si="35"/>
        <v>4051287.3041199995</v>
      </c>
      <c r="W20" s="219">
        <f t="shared" si="35"/>
        <v>5280321.6449999996</v>
      </c>
      <c r="X20" s="219">
        <f t="shared" si="35"/>
        <v>5225481.9997899998</v>
      </c>
      <c r="Y20" s="219">
        <f t="shared" si="35"/>
        <v>6194960.1520200009</v>
      </c>
      <c r="Z20" s="220"/>
      <c r="AA20" s="446">
        <f t="shared" si="24"/>
        <v>0.18552894302744938</v>
      </c>
      <c r="AB20" s="446">
        <f t="shared" si="25"/>
        <v>0.66598104015323689</v>
      </c>
    </row>
    <row r="21" spans="2:31" ht="13" customHeight="1">
      <c r="B21" s="63" t="str">
        <f>IF('Summary | Sumário'!D$6=Names!B$3,Names!Z24,Names!AA24)</f>
        <v>Securities</v>
      </c>
      <c r="C21" s="220">
        <f t="shared" si="34"/>
        <v>1155094</v>
      </c>
      <c r="D21" s="220">
        <f t="shared" si="34"/>
        <v>5812622</v>
      </c>
      <c r="E21" s="220">
        <f t="shared" si="34"/>
        <v>12757687</v>
      </c>
      <c r="F21" s="220">
        <f t="shared" si="34"/>
        <v>12448565</v>
      </c>
      <c r="G21" s="220">
        <f t="shared" si="34"/>
        <v>16868112</v>
      </c>
      <c r="H21" s="220">
        <f t="shared" si="34"/>
        <v>23899551.020405103</v>
      </c>
      <c r="I21" s="202"/>
      <c r="J21" s="220">
        <f t="shared" ref="J21:Y21" si="36">J10</f>
        <v>6619726</v>
      </c>
      <c r="K21" s="220">
        <f t="shared" si="36"/>
        <v>8230481</v>
      </c>
      <c r="L21" s="220">
        <f t="shared" si="36"/>
        <v>13241180</v>
      </c>
      <c r="M21" s="220">
        <f t="shared" si="36"/>
        <v>12757687</v>
      </c>
      <c r="N21" s="220">
        <f t="shared" si="36"/>
        <v>12335401</v>
      </c>
      <c r="O21" s="220">
        <f t="shared" si="36"/>
        <v>12710051</v>
      </c>
      <c r="P21" s="220">
        <f t="shared" si="36"/>
        <v>13373465</v>
      </c>
      <c r="Q21" s="220">
        <f t="shared" si="36"/>
        <v>12448565</v>
      </c>
      <c r="R21" s="220">
        <f t="shared" si="36"/>
        <v>12535351</v>
      </c>
      <c r="S21" s="220">
        <f t="shared" si="36"/>
        <v>14169684</v>
      </c>
      <c r="T21" s="220">
        <f t="shared" si="36"/>
        <v>14908297</v>
      </c>
      <c r="U21" s="220">
        <f t="shared" si="36"/>
        <v>16868112</v>
      </c>
      <c r="V21" s="220">
        <f t="shared" si="36"/>
        <v>18167251</v>
      </c>
      <c r="W21" s="220">
        <f t="shared" si="36"/>
        <v>18276425.519000001</v>
      </c>
      <c r="X21" s="220">
        <f t="shared" si="36"/>
        <v>20586354.700983003</v>
      </c>
      <c r="Y21" s="220">
        <f t="shared" si="36"/>
        <v>23899551.020405103</v>
      </c>
      <c r="Z21" s="220"/>
      <c r="AA21" s="452">
        <f t="shared" si="24"/>
        <v>0.16094137925564334</v>
      </c>
      <c r="AB21" s="452">
        <f t="shared" si="25"/>
        <v>0.41684801597268883</v>
      </c>
    </row>
    <row r="22" spans="2:31" ht="13" customHeight="1">
      <c r="B22" s="681" t="str">
        <f>IF('Summary | Sumário'!D$6=Names!B$3,Names!Z25,Names!AA25)</f>
        <v>Net loans and advances to customers excluding non int. CC Receivables</v>
      </c>
      <c r="C22" s="219">
        <f>SUM(C23,-C24)</f>
        <v>4494985.3870000001</v>
      </c>
      <c r="D22" s="219">
        <f t="shared" ref="D22:R22" si="37">SUM(D23,-D24)</f>
        <v>6833272.8250000002</v>
      </c>
      <c r="E22" s="219">
        <f t="shared" si="37"/>
        <v>12413117</v>
      </c>
      <c r="F22" s="219">
        <f t="shared" si="37"/>
        <v>15968118</v>
      </c>
      <c r="G22" s="219">
        <f t="shared" ref="G22:H22" si="38">SUM(G23,-G24)</f>
        <v>20410532.397</v>
      </c>
      <c r="H22" s="219">
        <f t="shared" si="38"/>
        <v>23777319.381909899</v>
      </c>
      <c r="I22" s="202"/>
      <c r="J22" s="219">
        <f t="shared" si="37"/>
        <v>7813905</v>
      </c>
      <c r="K22" s="219">
        <f t="shared" si="37"/>
        <v>9390278</v>
      </c>
      <c r="L22" s="219">
        <f t="shared" si="37"/>
        <v>11020582</v>
      </c>
      <c r="M22" s="219">
        <f t="shared" si="37"/>
        <v>12413117</v>
      </c>
      <c r="N22" s="219">
        <f t="shared" si="37"/>
        <v>12895346</v>
      </c>
      <c r="O22" s="219">
        <f t="shared" si="37"/>
        <v>13613068</v>
      </c>
      <c r="P22" s="219">
        <f t="shared" si="37"/>
        <v>14718964</v>
      </c>
      <c r="Q22" s="219">
        <f t="shared" si="37"/>
        <v>15968118</v>
      </c>
      <c r="R22" s="219">
        <f t="shared" si="37"/>
        <v>16690898.387827475</v>
      </c>
      <c r="S22" s="219">
        <f t="shared" ref="S22:T22" si="39">SUM(S23,-S24)</f>
        <v>17620021.767574593</v>
      </c>
      <c r="T22" s="219">
        <f t="shared" si="39"/>
        <v>18528686.954999998</v>
      </c>
      <c r="U22" s="219">
        <f t="shared" ref="U22:V22" si="40">SUM(U23,-U24)</f>
        <v>20410532.397</v>
      </c>
      <c r="V22" s="219">
        <f t="shared" si="40"/>
        <v>20891917.665410198</v>
      </c>
      <c r="W22" s="219">
        <f t="shared" ref="W22:X22" si="41">SUM(W23,-W24)</f>
        <v>22562671.720820002</v>
      </c>
      <c r="X22" s="219">
        <f t="shared" si="41"/>
        <v>22915550.370287299</v>
      </c>
      <c r="Y22" s="219">
        <f t="shared" ref="Y22" si="42">SUM(Y23,-Y24)</f>
        <v>23777319.381909899</v>
      </c>
      <c r="Z22" s="220"/>
      <c r="AA22" s="446">
        <f t="shared" si="24"/>
        <v>3.7606297806400679E-2</v>
      </c>
      <c r="AB22" s="446">
        <f t="shared" si="25"/>
        <v>0.1649534132389785</v>
      </c>
    </row>
    <row r="23" spans="2:31" ht="13" customHeight="1">
      <c r="B23" s="67" t="str">
        <f>IF('Summary | Sumário'!D$6=Names!B$3,Names!Z26,Names!AA26)</f>
        <v>Net loans and advances to customers</v>
      </c>
      <c r="C23" s="220">
        <f t="shared" ref="C23:H23" si="43">C11</f>
        <v>4561824</v>
      </c>
      <c r="D23" s="220">
        <f t="shared" si="43"/>
        <v>8507703</v>
      </c>
      <c r="E23" s="220">
        <f t="shared" si="43"/>
        <v>16535430</v>
      </c>
      <c r="F23" s="220">
        <f t="shared" si="43"/>
        <v>21379916</v>
      </c>
      <c r="G23" s="220">
        <f t="shared" si="43"/>
        <v>27900543</v>
      </c>
      <c r="H23" s="220">
        <f t="shared" si="43"/>
        <v>33327355.1973699</v>
      </c>
      <c r="I23" s="202"/>
      <c r="J23" s="220">
        <f t="shared" ref="J23:Y23" si="44">J11</f>
        <v>9908120</v>
      </c>
      <c r="K23" s="220">
        <f t="shared" si="44"/>
        <v>12040483</v>
      </c>
      <c r="L23" s="220">
        <f t="shared" si="44"/>
        <v>14301537</v>
      </c>
      <c r="M23" s="220">
        <f t="shared" si="44"/>
        <v>16535430</v>
      </c>
      <c r="N23" s="220">
        <f t="shared" si="44"/>
        <v>17374632</v>
      </c>
      <c r="O23" s="220">
        <f t="shared" si="44"/>
        <v>18510189</v>
      </c>
      <c r="P23" s="220">
        <f t="shared" si="44"/>
        <v>19820903</v>
      </c>
      <c r="Q23" s="220">
        <f t="shared" si="44"/>
        <v>21379916</v>
      </c>
      <c r="R23" s="220">
        <f t="shared" si="44"/>
        <v>22371167</v>
      </c>
      <c r="S23" s="220">
        <f t="shared" si="44"/>
        <v>23523982</v>
      </c>
      <c r="T23" s="220">
        <f t="shared" si="44"/>
        <v>25296620</v>
      </c>
      <c r="U23" s="220">
        <f t="shared" si="44"/>
        <v>27900543</v>
      </c>
      <c r="V23" s="220">
        <f t="shared" si="44"/>
        <v>28826998.881090201</v>
      </c>
      <c r="W23" s="220">
        <f t="shared" si="44"/>
        <v>30806640.206</v>
      </c>
      <c r="X23" s="220">
        <f t="shared" si="44"/>
        <v>31478421.7243573</v>
      </c>
      <c r="Y23" s="220">
        <f t="shared" si="44"/>
        <v>33327355.1973699</v>
      </c>
      <c r="Z23" s="220"/>
      <c r="AA23" s="452">
        <f t="shared" si="24"/>
        <v>5.873653670450496E-2</v>
      </c>
      <c r="AB23" s="452">
        <f t="shared" si="25"/>
        <v>0.19450561221585905</v>
      </c>
    </row>
    <row r="24" spans="2:31" ht="13" customHeight="1">
      <c r="B24" s="71" t="str">
        <f>IF('Summary | Sumário'!D$6=Names!B$3,Names!Z27,Names!AA27)</f>
        <v>(-) Non int. CC receivables</v>
      </c>
      <c r="C24" s="219">
        <v>66838.612999999998</v>
      </c>
      <c r="D24" s="219">
        <v>1674430.175</v>
      </c>
      <c r="E24" s="219">
        <v>4122313</v>
      </c>
      <c r="F24" s="219">
        <v>5411798</v>
      </c>
      <c r="G24" s="219">
        <v>7490010.6029999992</v>
      </c>
      <c r="H24" s="219">
        <v>9550035.8154600002</v>
      </c>
      <c r="I24" s="202"/>
      <c r="J24" s="219">
        <v>2094215</v>
      </c>
      <c r="K24" s="219">
        <v>2650205</v>
      </c>
      <c r="L24" s="219">
        <v>3280955</v>
      </c>
      <c r="M24" s="219">
        <v>4122313</v>
      </c>
      <c r="N24" s="219">
        <v>4479286</v>
      </c>
      <c r="O24" s="219">
        <v>4897121</v>
      </c>
      <c r="P24" s="219">
        <v>5101939</v>
      </c>
      <c r="Q24" s="219">
        <v>5411798</v>
      </c>
      <c r="R24" s="219">
        <v>5680268.6121725254</v>
      </c>
      <c r="S24" s="219">
        <v>5903960.2324254084</v>
      </c>
      <c r="T24" s="219">
        <v>6767933.0449999999</v>
      </c>
      <c r="U24" s="219">
        <v>7490010.6029999992</v>
      </c>
      <c r="V24" s="219">
        <v>7935081.2156800013</v>
      </c>
      <c r="W24" s="219">
        <v>8243968.4851799998</v>
      </c>
      <c r="X24" s="219">
        <v>8562871.3540700004</v>
      </c>
      <c r="Y24" s="219">
        <v>9550035.8154600002</v>
      </c>
      <c r="Z24" s="220"/>
      <c r="AA24" s="446">
        <f t="shared" si="24"/>
        <v>0.11528428030403526</v>
      </c>
      <c r="AB24" s="446">
        <f t="shared" si="25"/>
        <v>0.27503635463945697</v>
      </c>
    </row>
    <row r="25" spans="2:31" ht="13" customHeight="1">
      <c r="B25" s="63" t="str">
        <f>IF('Summary | Sumário'!D$6=Names!B$3,Names!Z28,Names!AA28)</f>
        <v>Derivative financial assets</v>
      </c>
      <c r="C25" s="220">
        <f t="shared" ref="C25:H25" si="45">C12</f>
        <v>0</v>
      </c>
      <c r="D25" s="220">
        <f t="shared" si="45"/>
        <v>27513</v>
      </c>
      <c r="E25" s="220">
        <f t="shared" si="45"/>
        <v>86948</v>
      </c>
      <c r="F25" s="220">
        <f t="shared" si="45"/>
        <v>0</v>
      </c>
      <c r="G25" s="220">
        <f t="shared" si="45"/>
        <v>4238</v>
      </c>
      <c r="H25" s="220">
        <f t="shared" si="45"/>
        <v>562.80100000000004</v>
      </c>
      <c r="I25" s="202"/>
      <c r="J25" s="220">
        <f t="shared" ref="J25:Y25" si="46">J12</f>
        <v>18603</v>
      </c>
      <c r="K25" s="220">
        <f t="shared" si="46"/>
        <v>11684</v>
      </c>
      <c r="L25" s="220">
        <f t="shared" si="46"/>
        <v>7643</v>
      </c>
      <c r="M25" s="220">
        <f t="shared" si="46"/>
        <v>86948</v>
      </c>
      <c r="N25" s="220">
        <f t="shared" si="46"/>
        <v>10410</v>
      </c>
      <c r="O25" s="220">
        <f t="shared" si="46"/>
        <v>3212</v>
      </c>
      <c r="P25" s="220">
        <f t="shared" si="46"/>
        <v>581</v>
      </c>
      <c r="Q25" s="220">
        <f t="shared" si="46"/>
        <v>0</v>
      </c>
      <c r="R25" s="220">
        <f t="shared" si="46"/>
        <v>1122</v>
      </c>
      <c r="S25" s="220">
        <f t="shared" si="46"/>
        <v>3625</v>
      </c>
      <c r="T25" s="220">
        <f t="shared" si="46"/>
        <v>9388.5369900000005</v>
      </c>
      <c r="U25" s="220">
        <f t="shared" si="46"/>
        <v>4238</v>
      </c>
      <c r="V25" s="220">
        <f t="shared" si="46"/>
        <v>7392.1129600000004</v>
      </c>
      <c r="W25" s="220">
        <f t="shared" si="46"/>
        <v>7177.4260000000004</v>
      </c>
      <c r="X25" s="220">
        <f t="shared" si="46"/>
        <v>18488.90812</v>
      </c>
      <c r="Y25" s="220">
        <f t="shared" si="46"/>
        <v>562.80100000000004</v>
      </c>
      <c r="Z25" s="220"/>
      <c r="AA25" s="452">
        <f t="shared" si="24"/>
        <v>-0.96956007372922137</v>
      </c>
      <c r="AB25" s="452">
        <f t="shared" si="25"/>
        <v>-0.86720127418593673</v>
      </c>
    </row>
    <row r="26" spans="2:31" ht="13" customHeight="1">
      <c r="B26" s="341" t="str">
        <f>IF('Summary | Sumário'!D$6=Names!B$3,Names!Z29,Names!AA29)</f>
        <v>(=) NIM 2.0 - IEP (%)</v>
      </c>
      <c r="C26" s="383">
        <f t="shared" ref="C26:H26" si="47">C16/C18</f>
        <v>9.9142145718649363E-2</v>
      </c>
      <c r="D26" s="383">
        <f t="shared" si="47"/>
        <v>7.5040839606477505E-2</v>
      </c>
      <c r="E26" s="383">
        <f t="shared" si="47"/>
        <v>7.8520566535743699E-2</v>
      </c>
      <c r="F26" s="383">
        <f t="shared" si="47"/>
        <v>7.7866907666302027E-2</v>
      </c>
      <c r="G26" s="383">
        <f t="shared" si="47"/>
        <v>8.7085309262253274E-2</v>
      </c>
      <c r="H26" s="383">
        <f t="shared" si="47"/>
        <v>9.2378664001914704E-2</v>
      </c>
      <c r="I26" s="404"/>
      <c r="J26" s="383">
        <f t="shared" ref="J26:Y26" si="48">J16/J18</f>
        <v>8.2699019711135066E-2</v>
      </c>
      <c r="K26" s="383">
        <f t="shared" si="48"/>
        <v>7.260152792783664E-2</v>
      </c>
      <c r="L26" s="383">
        <f t="shared" si="48"/>
        <v>8.1419665829301657E-2</v>
      </c>
      <c r="M26" s="383">
        <f t="shared" si="48"/>
        <v>8.277037855291923E-2</v>
      </c>
      <c r="N26" s="383">
        <f t="shared" si="48"/>
        <v>7.9975087396932668E-2</v>
      </c>
      <c r="O26" s="383">
        <f t="shared" si="48"/>
        <v>8.1316950034542562E-2</v>
      </c>
      <c r="P26" s="383">
        <f t="shared" si="48"/>
        <v>7.4497838679242603E-2</v>
      </c>
      <c r="Q26" s="383">
        <f t="shared" si="48"/>
        <v>8.4173231101979815E-2</v>
      </c>
      <c r="R26" s="383">
        <f t="shared" si="48"/>
        <v>8.6679432114480065E-2</v>
      </c>
      <c r="S26" s="383">
        <f t="shared" si="48"/>
        <v>9.5275870614249816E-2</v>
      </c>
      <c r="T26" s="383">
        <f t="shared" si="48"/>
        <v>9.1881397604864121E-2</v>
      </c>
      <c r="U26" s="383">
        <f t="shared" si="48"/>
        <v>8.9925280362379637E-2</v>
      </c>
      <c r="V26" s="383">
        <f t="shared" si="48"/>
        <v>9.2313222374359544E-2</v>
      </c>
      <c r="W26" s="383">
        <f t="shared" si="48"/>
        <v>9.230098144964502E-2</v>
      </c>
      <c r="X26" s="383">
        <f t="shared" si="48"/>
        <v>9.5687619743265756E-2</v>
      </c>
      <c r="Y26" s="383">
        <f t="shared" si="48"/>
        <v>9.7219181283157652E-2</v>
      </c>
      <c r="Z26" s="404"/>
      <c r="AA26" s="456">
        <f>(Y26-X26)*100</f>
        <v>0.15315615398918958</v>
      </c>
      <c r="AB26" s="456">
        <f>(Y26-U26)*100</f>
        <v>0.72939009207780159</v>
      </c>
      <c r="AD26" s="181"/>
      <c r="AE26" s="181"/>
    </row>
    <row r="27" spans="2:31" ht="13" customHeight="1">
      <c r="B27" s="4"/>
    </row>
    <row r="28" spans="2:31" ht="13" customHeight="1">
      <c r="B28" s="24" t="str">
        <f>IF('Summary | Sumário'!D$6=Names!B$3,Names!Z31,Names!AA31)</f>
        <v>Risk-Adjusted NIM 1.0 - IEP + non-interest credit card receivables</v>
      </c>
      <c r="C28" s="384"/>
      <c r="D28" s="384"/>
      <c r="E28" s="384"/>
      <c r="F28" s="384"/>
      <c r="G28" s="384"/>
      <c r="H28" s="384"/>
      <c r="I28" s="209"/>
      <c r="J28" s="384"/>
      <c r="K28" s="384"/>
      <c r="L28" s="384"/>
      <c r="M28" s="384"/>
      <c r="N28" s="384"/>
      <c r="O28" s="384"/>
      <c r="P28" s="384"/>
      <c r="Q28" s="384"/>
      <c r="R28" s="384"/>
      <c r="S28" s="384"/>
      <c r="T28" s="384"/>
      <c r="U28" s="384"/>
      <c r="V28" s="384"/>
      <c r="W28" s="384"/>
      <c r="X28" s="384"/>
      <c r="Y28" s="384"/>
      <c r="Z28" s="209"/>
      <c r="AA28" s="384"/>
      <c r="AB28" s="384"/>
    </row>
    <row r="29" spans="2:31" ht="13" customHeight="1">
      <c r="B29" s="346" t="str">
        <f>IF('Summary | Sumário'!D$6=Names!B$3,Names!Z32,Names!AA32)</f>
        <v>Annualized NII after impairment losses on financial assets</v>
      </c>
      <c r="C29" s="347">
        <f>C30</f>
        <v>446981</v>
      </c>
      <c r="D29" s="347">
        <f>D30</f>
        <v>502274.89517999999</v>
      </c>
      <c r="E29" s="347">
        <f t="shared" ref="E29:H29" si="49">E30</f>
        <v>993886.91200000001</v>
      </c>
      <c r="F29" s="347">
        <f t="shared" si="49"/>
        <v>1252192.1850000001</v>
      </c>
      <c r="G29" s="347">
        <f t="shared" si="49"/>
        <v>1666504.9950000001</v>
      </c>
      <c r="H29" s="347">
        <f t="shared" si="49"/>
        <v>2582704.258072</v>
      </c>
      <c r="I29" s="206"/>
      <c r="J29" s="347">
        <f>J30*4</f>
        <v>739649.35599999991</v>
      </c>
      <c r="K29" s="347">
        <f t="shared" ref="K29:Y29" si="50">K30*4</f>
        <v>539417.38800000027</v>
      </c>
      <c r="L29" s="347">
        <f t="shared" si="50"/>
        <v>1237459.52</v>
      </c>
      <c r="M29" s="347">
        <f t="shared" si="50"/>
        <v>1459021.3839999996</v>
      </c>
      <c r="N29" s="347">
        <f t="shared" si="50"/>
        <v>921860.06</v>
      </c>
      <c r="O29" s="347">
        <f t="shared" si="50"/>
        <v>1274493.2440000004</v>
      </c>
      <c r="P29" s="347">
        <f t="shared" si="50"/>
        <v>1169897.8680000002</v>
      </c>
      <c r="Q29" s="347">
        <f t="shared" si="50"/>
        <v>1642517.568</v>
      </c>
      <c r="R29" s="347">
        <f t="shared" si="50"/>
        <v>1443524.4960000003</v>
      </c>
      <c r="S29" s="347">
        <f t="shared" si="50"/>
        <v>1614060</v>
      </c>
      <c r="T29" s="347">
        <f t="shared" si="50"/>
        <v>1642632.4318400002</v>
      </c>
      <c r="U29" s="347">
        <f t="shared" si="50"/>
        <v>1965803.0521599995</v>
      </c>
      <c r="V29" s="347">
        <f t="shared" si="50"/>
        <v>2238466.882079999</v>
      </c>
      <c r="W29" s="347">
        <f t="shared" si="50"/>
        <v>2433684.2592153996</v>
      </c>
      <c r="X29" s="347">
        <f t="shared" si="50"/>
        <v>2653353.9262945321</v>
      </c>
      <c r="Y29" s="347">
        <f t="shared" si="50"/>
        <v>3005311.9646980716</v>
      </c>
      <c r="Z29" s="206"/>
      <c r="AA29" s="433">
        <f>Y29/X29-1</f>
        <v>0.13264647241955263</v>
      </c>
      <c r="AB29" s="433">
        <f>Y29/U29-1</f>
        <v>0.52879606194317019</v>
      </c>
    </row>
    <row r="30" spans="2:31" ht="13" customHeight="1">
      <c r="B30" s="60" t="str">
        <f>IF('Summary | Sumário'!D$6=Names!B$3,Names!Z33,Names!AA33)</f>
        <v>NII after impairment losses on financial assets</v>
      </c>
      <c r="C30" s="201">
        <f>C31+C32</f>
        <v>446981</v>
      </c>
      <c r="D30" s="201">
        <f t="shared" ref="D30:U30" si="51">D31+D32</f>
        <v>502274.89517999999</v>
      </c>
      <c r="E30" s="201">
        <f t="shared" si="51"/>
        <v>993886.91200000001</v>
      </c>
      <c r="F30" s="201">
        <f t="shared" si="51"/>
        <v>1252192.1850000001</v>
      </c>
      <c r="G30" s="201">
        <f t="shared" si="51"/>
        <v>1666504.9950000001</v>
      </c>
      <c r="H30" s="201">
        <f t="shared" ref="H30" si="52">H31+H32</f>
        <v>2582704.258072</v>
      </c>
      <c r="I30" s="206"/>
      <c r="J30" s="201">
        <f t="shared" si="51"/>
        <v>184912.33899999998</v>
      </c>
      <c r="K30" s="201">
        <f t="shared" si="51"/>
        <v>134854.34700000007</v>
      </c>
      <c r="L30" s="201">
        <f t="shared" si="51"/>
        <v>309364.88</v>
      </c>
      <c r="M30" s="201">
        <f t="shared" si="51"/>
        <v>364755.3459999999</v>
      </c>
      <c r="N30" s="201">
        <f t="shared" si="51"/>
        <v>230465.01500000001</v>
      </c>
      <c r="O30" s="201">
        <f t="shared" si="51"/>
        <v>318623.3110000001</v>
      </c>
      <c r="P30" s="201">
        <f t="shared" si="51"/>
        <v>292474.46700000006</v>
      </c>
      <c r="Q30" s="201">
        <f t="shared" si="51"/>
        <v>410629.39199999999</v>
      </c>
      <c r="R30" s="201">
        <f t="shared" si="51"/>
        <v>360881.12400000007</v>
      </c>
      <c r="S30" s="201">
        <f t="shared" si="51"/>
        <v>403515</v>
      </c>
      <c r="T30" s="201">
        <f t="shared" si="51"/>
        <v>410658.10796000005</v>
      </c>
      <c r="U30" s="201">
        <f t="shared" si="51"/>
        <v>491450.76303999987</v>
      </c>
      <c r="V30" s="201">
        <f t="shared" ref="V30:W30" si="53">V31+V32</f>
        <v>559616.72051999974</v>
      </c>
      <c r="W30" s="201">
        <f t="shared" si="53"/>
        <v>608421.06480384991</v>
      </c>
      <c r="X30" s="201">
        <f t="shared" ref="X30:Y30" si="54">X31+X32</f>
        <v>663338.48157363303</v>
      </c>
      <c r="Y30" s="201">
        <f t="shared" si="54"/>
        <v>751327.9911745179</v>
      </c>
      <c r="Z30" s="206"/>
      <c r="AA30" s="431">
        <f t="shared" ref="AA30:AA38" si="55">Y30/X30-1</f>
        <v>0.13264647241955263</v>
      </c>
      <c r="AB30" s="431">
        <f t="shared" ref="AB30:AB38" si="56">Y30/U30-1</f>
        <v>0.52879606194317019</v>
      </c>
    </row>
    <row r="31" spans="2:31" ht="13" customHeight="1">
      <c r="B31" s="679" t="str">
        <f>IF('Summary | Sumário'!D$6=Names!B$3,Names!Z5,Names!AA5)</f>
        <v>NII</v>
      </c>
      <c r="C31" s="220">
        <f>C6</f>
        <v>585551</v>
      </c>
      <c r="D31" s="220">
        <f t="shared" ref="D31:X31" si="57">D6</f>
        <v>715962.89517999999</v>
      </c>
      <c r="E31" s="220">
        <f t="shared" si="57"/>
        <v>1589467.912</v>
      </c>
      <c r="F31" s="220">
        <f t="shared" si="57"/>
        <v>2335429.1850000001</v>
      </c>
      <c r="G31" s="220">
        <f t="shared" si="57"/>
        <v>3208088.9950000001</v>
      </c>
      <c r="H31" s="220">
        <f t="shared" ref="H31" si="58">H6</f>
        <v>4382156.5940720001</v>
      </c>
      <c r="I31" s="220"/>
      <c r="J31" s="220">
        <f t="shared" si="57"/>
        <v>291581.33899999998</v>
      </c>
      <c r="K31" s="220">
        <f t="shared" si="57"/>
        <v>302295.34700000007</v>
      </c>
      <c r="L31" s="220">
        <f t="shared" si="57"/>
        <v>447369.88</v>
      </c>
      <c r="M31" s="220">
        <f t="shared" si="57"/>
        <v>548221.3459999999</v>
      </c>
      <c r="N31" s="220">
        <f t="shared" si="57"/>
        <v>543411.01500000001</v>
      </c>
      <c r="O31" s="220">
        <f t="shared" si="57"/>
        <v>561087.3110000001</v>
      </c>
      <c r="P31" s="220">
        <f t="shared" si="57"/>
        <v>555587.46700000006</v>
      </c>
      <c r="Q31" s="220">
        <f t="shared" si="57"/>
        <v>675343.39199999999</v>
      </c>
      <c r="R31" s="220">
        <f t="shared" si="57"/>
        <v>711562.12400000007</v>
      </c>
      <c r="S31" s="220">
        <f t="shared" si="57"/>
        <v>802075</v>
      </c>
      <c r="T31" s="220">
        <f t="shared" si="57"/>
        <v>818557.10796000005</v>
      </c>
      <c r="U31" s="220">
        <f t="shared" si="57"/>
        <v>875894.76303999987</v>
      </c>
      <c r="V31" s="220">
        <f t="shared" si="57"/>
        <v>970664.72051999974</v>
      </c>
      <c r="W31" s="220">
        <f t="shared" si="57"/>
        <v>1029668.72580385</v>
      </c>
      <c r="X31" s="220">
        <f t="shared" si="57"/>
        <v>1134765.1315736331</v>
      </c>
      <c r="Y31" s="220">
        <f t="shared" ref="Y31" si="59">Y6</f>
        <v>1247058.0161745176</v>
      </c>
      <c r="Z31" s="220"/>
      <c r="AA31" s="452">
        <f t="shared" si="55"/>
        <v>9.8956939613717765E-2</v>
      </c>
      <c r="AB31" s="452">
        <f t="shared" si="56"/>
        <v>0.42375325072878378</v>
      </c>
    </row>
    <row r="32" spans="2:31" ht="13" customHeight="1">
      <c r="B32" s="68" t="str">
        <f>IF('Summary | Sumário'!D$6=Names!B$3,Names!Z34,Names!AA34)</f>
        <v>Impairment losses on financial assets</v>
      </c>
      <c r="C32" s="219">
        <v>-138570</v>
      </c>
      <c r="D32" s="219">
        <v>-213688</v>
      </c>
      <c r="E32" s="219">
        <v>-595581</v>
      </c>
      <c r="F32" s="219">
        <v>-1083237</v>
      </c>
      <c r="G32" s="219">
        <v>-1541584</v>
      </c>
      <c r="H32" s="219">
        <v>-1799452.3359999999</v>
      </c>
      <c r="I32" s="202"/>
      <c r="J32" s="219">
        <v>-106669</v>
      </c>
      <c r="K32" s="219">
        <v>-167441</v>
      </c>
      <c r="L32" s="219">
        <v>-138005</v>
      </c>
      <c r="M32" s="219">
        <v>-183466</v>
      </c>
      <c r="N32" s="219">
        <v>-312946</v>
      </c>
      <c r="O32" s="219">
        <v>-242464</v>
      </c>
      <c r="P32" s="219">
        <v>-263113</v>
      </c>
      <c r="Q32" s="219">
        <v>-264714</v>
      </c>
      <c r="R32" s="219">
        <v>-350681</v>
      </c>
      <c r="S32" s="219">
        <v>-398560</v>
      </c>
      <c r="T32" s="219">
        <v>-407899</v>
      </c>
      <c r="U32" s="219">
        <v>-384444</v>
      </c>
      <c r="V32" s="219">
        <v>-411048</v>
      </c>
      <c r="W32" s="219">
        <v>-421247.66100000002</v>
      </c>
      <c r="X32" s="219">
        <v>-471426.65</v>
      </c>
      <c r="Y32" s="219">
        <v>-495730.02499999967</v>
      </c>
      <c r="Z32" s="220"/>
      <c r="AA32" s="446">
        <f t="shared" si="55"/>
        <v>5.1552823753174826E-2</v>
      </c>
      <c r="AB32" s="446">
        <f t="shared" si="56"/>
        <v>0.28947265401462796</v>
      </c>
    </row>
    <row r="33" spans="2:28" ht="13" customHeight="1">
      <c r="B33" s="64" t="str">
        <f>IF('Summary | Sumário'!D$6=Names!B$3,Names!Z8,Names!AA8)</f>
        <v>(÷) Avg of the last two periods of IEP + non-interest credit card receivables</v>
      </c>
      <c r="C33" s="220">
        <f>C34</f>
        <v>5973015</v>
      </c>
      <c r="D33" s="220">
        <f>(D34+C34)/2</f>
        <v>10411611</v>
      </c>
      <c r="E33" s="220">
        <f t="shared" ref="E33" si="60">(E34+D34)/2</f>
        <v>23141067</v>
      </c>
      <c r="F33" s="220">
        <f t="shared" ref="F33" si="61">(F34+E34)/2</f>
        <v>34759632</v>
      </c>
      <c r="G33" s="220">
        <f t="shared" ref="G33:H33" si="62">(G34+F34)/2</f>
        <v>43289367.897454999</v>
      </c>
      <c r="H33" s="220">
        <f t="shared" si="62"/>
        <v>55956913.982852504</v>
      </c>
      <c r="I33" s="202"/>
      <c r="J33" s="220">
        <f>AVERAGE(J34,D34)</f>
        <v>15987577.5</v>
      </c>
      <c r="K33" s="220">
        <f>AVERAGE(K34,J34)</f>
        <v>19027250.5</v>
      </c>
      <c r="L33" s="220">
        <f t="shared" ref="L33" si="63">AVERAGE(L34,K34)</f>
        <v>24944048</v>
      </c>
      <c r="M33" s="220">
        <f t="shared" ref="M33" si="64">AVERAGE(M34,L34)</f>
        <v>30195235</v>
      </c>
      <c r="N33" s="220">
        <f t="shared" ref="N33" si="65">AVERAGE(N34,M34)</f>
        <v>31479814</v>
      </c>
      <c r="O33" s="220">
        <f t="shared" ref="O33" si="66">AVERAGE(O34,N34)</f>
        <v>32288221</v>
      </c>
      <c r="P33" s="220">
        <f t="shared" ref="P33" si="67">AVERAGE(P34,O34)</f>
        <v>34830595</v>
      </c>
      <c r="Q33" s="220">
        <f t="shared" ref="Q33" si="68">AVERAGE(Q34,P34)</f>
        <v>37349893</v>
      </c>
      <c r="R33" s="220">
        <f t="shared" ref="R33" si="69">AVERAGE(R34,Q34)</f>
        <v>38382525.5</v>
      </c>
      <c r="S33" s="220">
        <f t="shared" ref="S33" si="70">AVERAGE(S34,R34)</f>
        <v>39465908</v>
      </c>
      <c r="T33" s="220">
        <f t="shared" ref="T33" si="71">AVERAGE(T34,S34)</f>
        <v>41971325.694665</v>
      </c>
      <c r="U33" s="220">
        <f t="shared" ref="U33:Y33" si="72">AVERAGE(U34,T34)</f>
        <v>46089974.092119999</v>
      </c>
      <c r="V33" s="220">
        <f t="shared" si="72"/>
        <v>49772164.046540096</v>
      </c>
      <c r="W33" s="220">
        <f t="shared" si="72"/>
        <v>52711747.047085106</v>
      </c>
      <c r="X33" s="220">
        <f t="shared" si="72"/>
        <v>55839656.064625151</v>
      </c>
      <c r="Y33" s="220">
        <f t="shared" si="72"/>
        <v>60365588.252022654</v>
      </c>
      <c r="Z33" s="220"/>
      <c r="AA33" s="452">
        <f t="shared" si="55"/>
        <v>8.1052293412400056E-2</v>
      </c>
      <c r="AB33" s="452">
        <f t="shared" si="56"/>
        <v>0.30973361215977246</v>
      </c>
    </row>
    <row r="34" spans="2:28" ht="13" customHeight="1">
      <c r="B34" s="69" t="str">
        <f>IF('Summary | Sumário'!D$6=Names!B$3,Names!Z9,Names!AA9)</f>
        <v>IEP + non-interest credit card receivables</v>
      </c>
      <c r="C34" s="221">
        <f>SUM(C35:C38)</f>
        <v>5973015</v>
      </c>
      <c r="D34" s="221">
        <f>SUM(D35:D38)</f>
        <v>14850207</v>
      </c>
      <c r="E34" s="221">
        <f t="shared" ref="E34:U34" si="73">SUM(E35:E38)</f>
        <v>31431927</v>
      </c>
      <c r="F34" s="221">
        <f t="shared" si="73"/>
        <v>38087337</v>
      </c>
      <c r="G34" s="221">
        <f t="shared" si="73"/>
        <v>48491398.794909999</v>
      </c>
      <c r="H34" s="221">
        <f t="shared" ref="H34" si="74">SUM(H35:H38)</f>
        <v>63422429.170795001</v>
      </c>
      <c r="I34" s="222"/>
      <c r="J34" s="221">
        <f t="shared" si="73"/>
        <v>17124948</v>
      </c>
      <c r="K34" s="221">
        <f t="shared" si="73"/>
        <v>20929553</v>
      </c>
      <c r="L34" s="221">
        <f t="shared" si="73"/>
        <v>28958543</v>
      </c>
      <c r="M34" s="221">
        <f t="shared" si="73"/>
        <v>31431927</v>
      </c>
      <c r="N34" s="221">
        <f t="shared" si="73"/>
        <v>31527701</v>
      </c>
      <c r="O34" s="221">
        <f t="shared" si="73"/>
        <v>33048741</v>
      </c>
      <c r="P34" s="221">
        <f t="shared" si="73"/>
        <v>36612449</v>
      </c>
      <c r="Q34" s="221">
        <f t="shared" si="73"/>
        <v>38087337</v>
      </c>
      <c r="R34" s="221">
        <f t="shared" si="73"/>
        <v>38677714</v>
      </c>
      <c r="S34" s="221">
        <f t="shared" si="73"/>
        <v>40254102</v>
      </c>
      <c r="T34" s="221">
        <f t="shared" si="73"/>
        <v>43688549.38933</v>
      </c>
      <c r="U34" s="221">
        <f t="shared" si="73"/>
        <v>48491398.794909999</v>
      </c>
      <c r="V34" s="221">
        <f t="shared" ref="V34:W34" si="75">SUM(V35:V38)</f>
        <v>51052929.298170201</v>
      </c>
      <c r="W34" s="221">
        <f t="shared" si="75"/>
        <v>54370564.796000004</v>
      </c>
      <c r="X34" s="221">
        <f t="shared" ref="X34:Y34" si="76">SUM(X35:X38)</f>
        <v>57308747.333250299</v>
      </c>
      <c r="Y34" s="221">
        <f t="shared" si="76"/>
        <v>63422429.170795001</v>
      </c>
      <c r="Z34" s="222"/>
      <c r="AA34" s="453">
        <f t="shared" si="55"/>
        <v>0.10667973253705321</v>
      </c>
      <c r="AB34" s="453">
        <f t="shared" si="56"/>
        <v>0.3079109026950213</v>
      </c>
    </row>
    <row r="35" spans="2:28" ht="13" customHeight="1">
      <c r="B35" s="63" t="str">
        <f>IF('Summary | Sumário'!D$6=Names!B$3,Names!Z10,Names!AA10)</f>
        <v>Amounts due from financial institutions</v>
      </c>
      <c r="C35" s="222">
        <v>256097</v>
      </c>
      <c r="D35" s="222">
        <v>502369</v>
      </c>
      <c r="E35" s="222">
        <v>2051862</v>
      </c>
      <c r="F35" s="222">
        <v>4258856</v>
      </c>
      <c r="G35" s="222">
        <v>3718505.7949100002</v>
      </c>
      <c r="H35" s="222">
        <v>6194960.1520200009</v>
      </c>
      <c r="I35" s="222"/>
      <c r="J35" s="222">
        <v>578499</v>
      </c>
      <c r="K35" s="222">
        <v>646905</v>
      </c>
      <c r="L35" s="222">
        <v>1408183</v>
      </c>
      <c r="M35" s="222">
        <v>2051862</v>
      </c>
      <c r="N35" s="222">
        <v>1807258</v>
      </c>
      <c r="O35" s="222">
        <v>1825289</v>
      </c>
      <c r="P35" s="222">
        <v>3417500</v>
      </c>
      <c r="Q35" s="222">
        <v>4258856</v>
      </c>
      <c r="R35" s="222">
        <v>3770074</v>
      </c>
      <c r="S35" s="222">
        <v>2556811</v>
      </c>
      <c r="T35" s="222">
        <v>3474243.8523399998</v>
      </c>
      <c r="U35" s="222">
        <v>3718505.7949100002</v>
      </c>
      <c r="V35" s="222">
        <v>4051287.3041199995</v>
      </c>
      <c r="W35" s="222">
        <v>5280321.6449999996</v>
      </c>
      <c r="X35" s="222">
        <v>5225481.9997899998</v>
      </c>
      <c r="Y35" s="222">
        <v>6194960.1520200009</v>
      </c>
      <c r="Z35" s="222"/>
      <c r="AA35" s="381">
        <f t="shared" si="55"/>
        <v>0.18552894302744938</v>
      </c>
      <c r="AB35" s="381">
        <f t="shared" si="56"/>
        <v>0.66598104015323689</v>
      </c>
    </row>
    <row r="36" spans="2:28" ht="13" customHeight="1">
      <c r="B36" s="68" t="str">
        <f>IF('Summary | Sumário'!D$6=Names!B$3,Names!Z11,Names!AA11)</f>
        <v>Securities</v>
      </c>
      <c r="C36" s="221">
        <v>1155094</v>
      </c>
      <c r="D36" s="221">
        <v>5812622</v>
      </c>
      <c r="E36" s="221">
        <v>12757687</v>
      </c>
      <c r="F36" s="221">
        <v>12448565</v>
      </c>
      <c r="G36" s="221">
        <v>16868112</v>
      </c>
      <c r="H36" s="221">
        <v>23899551.020405103</v>
      </c>
      <c r="I36" s="222"/>
      <c r="J36" s="221">
        <v>6619726</v>
      </c>
      <c r="K36" s="221">
        <v>8230481</v>
      </c>
      <c r="L36" s="221">
        <v>13241180</v>
      </c>
      <c r="M36" s="221">
        <v>12757687</v>
      </c>
      <c r="N36" s="221">
        <v>12335401</v>
      </c>
      <c r="O36" s="221">
        <v>12710051</v>
      </c>
      <c r="P36" s="221">
        <v>13373465</v>
      </c>
      <c r="Q36" s="221">
        <v>12448565</v>
      </c>
      <c r="R36" s="221">
        <v>12535351</v>
      </c>
      <c r="S36" s="221">
        <v>14169684</v>
      </c>
      <c r="T36" s="221">
        <v>14908297</v>
      </c>
      <c r="U36" s="221">
        <v>16868112</v>
      </c>
      <c r="V36" s="221">
        <v>18167251</v>
      </c>
      <c r="W36" s="221">
        <v>18276425.519000001</v>
      </c>
      <c r="X36" s="221">
        <v>20586354.700983003</v>
      </c>
      <c r="Y36" s="221">
        <v>23899551.020405103</v>
      </c>
      <c r="Z36" s="222"/>
      <c r="AA36" s="453">
        <f t="shared" si="55"/>
        <v>0.16094137925564334</v>
      </c>
      <c r="AB36" s="453">
        <f t="shared" si="56"/>
        <v>0.41684801597268883</v>
      </c>
    </row>
    <row r="37" spans="2:28" ht="13" customHeight="1">
      <c r="B37" s="63" t="str">
        <f>IF('Summary | Sumário'!D$6=Names!B$3,Names!Z12,Names!AA12)</f>
        <v>Net loans and advances to customers</v>
      </c>
      <c r="C37" s="222">
        <v>4561824</v>
      </c>
      <c r="D37" s="222">
        <v>8507703</v>
      </c>
      <c r="E37" s="222">
        <v>16535430</v>
      </c>
      <c r="F37" s="222">
        <v>21379916</v>
      </c>
      <c r="G37" s="222">
        <v>27900543</v>
      </c>
      <c r="H37" s="222">
        <v>33327355.1973699</v>
      </c>
      <c r="I37" s="222"/>
      <c r="J37" s="222">
        <v>9908120</v>
      </c>
      <c r="K37" s="222">
        <v>12040483</v>
      </c>
      <c r="L37" s="222">
        <v>14301537</v>
      </c>
      <c r="M37" s="222">
        <v>16535430</v>
      </c>
      <c r="N37" s="222">
        <v>17374632</v>
      </c>
      <c r="O37" s="222">
        <v>18510189</v>
      </c>
      <c r="P37" s="222">
        <v>19820903</v>
      </c>
      <c r="Q37" s="222">
        <v>21379916</v>
      </c>
      <c r="R37" s="222">
        <v>22371167</v>
      </c>
      <c r="S37" s="222">
        <v>23523982</v>
      </c>
      <c r="T37" s="222">
        <v>25296620</v>
      </c>
      <c r="U37" s="222">
        <v>27900543</v>
      </c>
      <c r="V37" s="222">
        <v>28826998.881090201</v>
      </c>
      <c r="W37" s="222">
        <v>30806640.206</v>
      </c>
      <c r="X37" s="222">
        <v>31478421.7243573</v>
      </c>
      <c r="Y37" s="222">
        <v>33327355.1973699</v>
      </c>
      <c r="Z37" s="222"/>
      <c r="AA37" s="381">
        <f t="shared" si="55"/>
        <v>5.873653670450496E-2</v>
      </c>
      <c r="AB37" s="381">
        <f t="shared" si="56"/>
        <v>0.19450561221585905</v>
      </c>
    </row>
    <row r="38" spans="2:28" ht="13" customHeight="1">
      <c r="B38" s="68" t="str">
        <f>IF('Summary | Sumário'!D$6=Names!B$3,Names!Z13,Names!AA13)</f>
        <v>Derivative financial assets</v>
      </c>
      <c r="C38" s="221">
        <v>0</v>
      </c>
      <c r="D38" s="221">
        <v>27513</v>
      </c>
      <c r="E38" s="221">
        <v>86948</v>
      </c>
      <c r="F38" s="221">
        <v>0</v>
      </c>
      <c r="G38" s="221">
        <v>4238</v>
      </c>
      <c r="H38" s="221">
        <v>562.80100000000004</v>
      </c>
      <c r="I38" s="222"/>
      <c r="J38" s="221">
        <v>18603</v>
      </c>
      <c r="K38" s="221">
        <v>11684</v>
      </c>
      <c r="L38" s="221">
        <v>7643</v>
      </c>
      <c r="M38" s="221">
        <v>86948</v>
      </c>
      <c r="N38" s="221">
        <v>10410</v>
      </c>
      <c r="O38" s="221">
        <v>3212</v>
      </c>
      <c r="P38" s="221">
        <v>581</v>
      </c>
      <c r="Q38" s="221">
        <v>0</v>
      </c>
      <c r="R38" s="221">
        <v>1122</v>
      </c>
      <c r="S38" s="221">
        <v>3625</v>
      </c>
      <c r="T38" s="221">
        <v>9388.5369900000005</v>
      </c>
      <c r="U38" s="221">
        <v>4238</v>
      </c>
      <c r="V38" s="221">
        <v>7392.1129600000004</v>
      </c>
      <c r="W38" s="221">
        <v>7177.4260000000004</v>
      </c>
      <c r="X38" s="221">
        <v>18488.90812</v>
      </c>
      <c r="Y38" s="221">
        <v>562.80100000000004</v>
      </c>
      <c r="Z38" s="222"/>
      <c r="AA38" s="453">
        <f t="shared" si="55"/>
        <v>-0.96956007372922137</v>
      </c>
      <c r="AB38" s="453">
        <f t="shared" si="56"/>
        <v>-0.86720127418593673</v>
      </c>
    </row>
    <row r="39" spans="2:28" ht="13" customHeight="1">
      <c r="B39" s="342" t="str">
        <f>IF('Summary | Sumário'!D$6=Names!B$3,Names!Z35,Names!AA35)</f>
        <v>(=) Risk-Adjusted NIM 1.0 - IEP + non-interest credit card receivables (%)</v>
      </c>
      <c r="C39" s="357">
        <f t="shared" ref="C39:U39" si="77">C29/C33</f>
        <v>7.4833396534246102E-2</v>
      </c>
      <c r="D39" s="357">
        <f t="shared" si="77"/>
        <v>4.8241803807307054E-2</v>
      </c>
      <c r="E39" s="357">
        <f t="shared" si="77"/>
        <v>4.294905295421339E-2</v>
      </c>
      <c r="F39" s="357">
        <f t="shared" si="77"/>
        <v>3.6024322265552182E-2</v>
      </c>
      <c r="G39" s="357">
        <f t="shared" si="77"/>
        <v>3.8496865996003021E-2</v>
      </c>
      <c r="H39" s="357">
        <f t="shared" ref="H39" si="78">H29/H33</f>
        <v>4.6155230412875281E-2</v>
      </c>
      <c r="I39" s="404"/>
      <c r="J39" s="357">
        <f t="shared" si="77"/>
        <v>4.6264004412175638E-2</v>
      </c>
      <c r="K39" s="357">
        <f t="shared" si="77"/>
        <v>2.834972861685929E-2</v>
      </c>
      <c r="L39" s="357">
        <f t="shared" si="77"/>
        <v>4.9609410629742216E-2</v>
      </c>
      <c r="M39" s="357">
        <f t="shared" si="77"/>
        <v>4.8319590292971712E-2</v>
      </c>
      <c r="N39" s="357">
        <f t="shared" si="77"/>
        <v>2.9284164766666031E-2</v>
      </c>
      <c r="O39" s="357">
        <f t="shared" si="77"/>
        <v>3.9472389760959591E-2</v>
      </c>
      <c r="P39" s="357">
        <f t="shared" si="77"/>
        <v>3.3588225179615801E-2</v>
      </c>
      <c r="Q39" s="357">
        <f t="shared" si="77"/>
        <v>4.3976499959451021E-2</v>
      </c>
      <c r="R39" s="357">
        <f t="shared" si="77"/>
        <v>3.7608898247198465E-2</v>
      </c>
      <c r="S39" s="357">
        <f t="shared" si="77"/>
        <v>4.0897576713552368E-2</v>
      </c>
      <c r="T39" s="357">
        <f t="shared" si="77"/>
        <v>3.9137015680417171E-2</v>
      </c>
      <c r="U39" s="357">
        <f t="shared" si="77"/>
        <v>4.2651424542590334E-2</v>
      </c>
      <c r="V39" s="357">
        <f t="shared" ref="V39:W39" si="79">V29/V33</f>
        <v>4.4974272767944988E-2</v>
      </c>
      <c r="W39" s="357">
        <f t="shared" si="79"/>
        <v>4.6169675557167465E-2</v>
      </c>
      <c r="X39" s="357">
        <f t="shared" ref="X39:Y39" si="80">X29/X33</f>
        <v>4.7517375881107049E-2</v>
      </c>
      <c r="Y39" s="357">
        <f t="shared" si="80"/>
        <v>4.9785184767041073E-2</v>
      </c>
      <c r="Z39" s="404"/>
      <c r="AA39" s="455">
        <f>(X39-W39)*100</f>
        <v>0.13477003239395838</v>
      </c>
      <c r="AB39" s="455">
        <f>(Y39-U39)*100</f>
        <v>0.71337602244507381</v>
      </c>
    </row>
    <row r="40" spans="2:28" ht="13" customHeight="1">
      <c r="B40" s="8"/>
      <c r="C40" s="205"/>
      <c r="D40" s="205"/>
      <c r="E40" s="205"/>
      <c r="F40" s="205"/>
      <c r="G40" s="205"/>
      <c r="H40" s="205"/>
      <c r="J40" s="205"/>
      <c r="K40" s="205"/>
      <c r="L40" s="205"/>
      <c r="M40" s="205"/>
      <c r="N40" s="205"/>
      <c r="O40" s="205"/>
      <c r="P40" s="205"/>
      <c r="Q40" s="205"/>
      <c r="R40" s="205"/>
      <c r="S40" s="205"/>
      <c r="T40" s="205"/>
      <c r="U40" s="205"/>
      <c r="V40" s="205"/>
      <c r="W40" s="205"/>
      <c r="X40" s="205"/>
      <c r="Y40" s="205"/>
      <c r="AA40" s="205"/>
      <c r="AB40" s="205"/>
    </row>
    <row r="41" spans="2:28" ht="13" customHeight="1">
      <c r="B41" s="3" t="str">
        <f>IF('Summary | Sumário'!D$6=Names!B$3,Names!Z36,Names!AA36)</f>
        <v>Risk Adjusted NIM 2.0 - IEP</v>
      </c>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row>
    <row r="42" spans="2:28" ht="13" customHeight="1">
      <c r="B42" s="343" t="str">
        <f>IF('Summary | Sumário'!D$6=Names!B$3,Names!Z32,Names!AA32)</f>
        <v>Annualized NII after impairment losses on financial assets</v>
      </c>
      <c r="C42" s="344">
        <f>C43</f>
        <v>446981</v>
      </c>
      <c r="D42" s="344">
        <f>D43</f>
        <v>502274.89517999999</v>
      </c>
      <c r="E42" s="344">
        <f t="shared" ref="E42:H42" si="81">E43</f>
        <v>993886.91200000001</v>
      </c>
      <c r="F42" s="344">
        <f t="shared" si="81"/>
        <v>1252192.1850000001</v>
      </c>
      <c r="G42" s="344">
        <f t="shared" si="81"/>
        <v>1666504.9950000001</v>
      </c>
      <c r="H42" s="344">
        <f t="shared" si="81"/>
        <v>2582704.258072</v>
      </c>
      <c r="I42" s="206"/>
      <c r="J42" s="344">
        <f>J43*4</f>
        <v>739649.35599999991</v>
      </c>
      <c r="K42" s="344">
        <f t="shared" ref="K42:Y42" si="82">K43*4</f>
        <v>539417.38800000027</v>
      </c>
      <c r="L42" s="344">
        <f t="shared" si="82"/>
        <v>1237459.52</v>
      </c>
      <c r="M42" s="344">
        <f t="shared" si="82"/>
        <v>1459021.3839999996</v>
      </c>
      <c r="N42" s="344">
        <f t="shared" si="82"/>
        <v>921860.06</v>
      </c>
      <c r="O42" s="344">
        <f t="shared" si="82"/>
        <v>1274493.2440000004</v>
      </c>
      <c r="P42" s="344">
        <f t="shared" si="82"/>
        <v>1169897.8680000002</v>
      </c>
      <c r="Q42" s="344">
        <f t="shared" si="82"/>
        <v>1642517.568</v>
      </c>
      <c r="R42" s="344">
        <f t="shared" si="82"/>
        <v>1443524.4960000003</v>
      </c>
      <c r="S42" s="344">
        <f t="shared" si="82"/>
        <v>1614060</v>
      </c>
      <c r="T42" s="344">
        <f t="shared" si="82"/>
        <v>1642632.4318400002</v>
      </c>
      <c r="U42" s="344">
        <f t="shared" si="82"/>
        <v>1965803.0521599995</v>
      </c>
      <c r="V42" s="344">
        <f t="shared" si="82"/>
        <v>2238466.882079999</v>
      </c>
      <c r="W42" s="344">
        <f t="shared" si="82"/>
        <v>2433684.2592153996</v>
      </c>
      <c r="X42" s="344">
        <f t="shared" si="82"/>
        <v>2653353.9262945321</v>
      </c>
      <c r="Y42" s="344">
        <f t="shared" si="82"/>
        <v>3005311.9646980716</v>
      </c>
      <c r="Z42" s="206"/>
      <c r="AA42" s="429">
        <f>Y42/X42-1</f>
        <v>0.13264647241955263</v>
      </c>
      <c r="AB42" s="429">
        <f>Y42/U42-1</f>
        <v>0.52879606194317019</v>
      </c>
    </row>
    <row r="43" spans="2:28" ht="13" customHeight="1">
      <c r="B43" s="55" t="str">
        <f>IF('Summary | Sumário'!D$6=Names!B$3,Names!Z33,Names!AA33)</f>
        <v>NII after impairment losses on financial assets</v>
      </c>
      <c r="C43" s="206">
        <f>C44+C45</f>
        <v>446981</v>
      </c>
      <c r="D43" s="206">
        <f t="shared" ref="D43" si="83">D44+D45</f>
        <v>502274.89517999999</v>
      </c>
      <c r="E43" s="206">
        <f t="shared" ref="E43" si="84">E44+E45</f>
        <v>993886.91200000001</v>
      </c>
      <c r="F43" s="206">
        <f t="shared" ref="F43" si="85">F44+F45</f>
        <v>1252192.1850000001</v>
      </c>
      <c r="G43" s="206">
        <f t="shared" ref="G43:H43" si="86">G44+G45</f>
        <v>1666504.9950000001</v>
      </c>
      <c r="H43" s="206">
        <f t="shared" si="86"/>
        <v>2582704.258072</v>
      </c>
      <c r="I43" s="206"/>
      <c r="J43" s="206">
        <f t="shared" ref="J43" si="87">J44+J45</f>
        <v>184912.33899999998</v>
      </c>
      <c r="K43" s="206">
        <f t="shared" ref="K43" si="88">K44+K45</f>
        <v>134854.34700000007</v>
      </c>
      <c r="L43" s="206">
        <f t="shared" ref="L43" si="89">L44+L45</f>
        <v>309364.88</v>
      </c>
      <c r="M43" s="206">
        <f t="shared" ref="M43" si="90">M44+M45</f>
        <v>364755.3459999999</v>
      </c>
      <c r="N43" s="206">
        <f t="shared" ref="N43" si="91">N44+N45</f>
        <v>230465.01500000001</v>
      </c>
      <c r="O43" s="206">
        <f t="shared" ref="O43" si="92">O44+O45</f>
        <v>318623.3110000001</v>
      </c>
      <c r="P43" s="206">
        <f t="shared" ref="P43" si="93">P44+P45</f>
        <v>292474.46700000006</v>
      </c>
      <c r="Q43" s="206">
        <f t="shared" ref="Q43" si="94">Q44+Q45</f>
        <v>410629.39199999999</v>
      </c>
      <c r="R43" s="206">
        <f t="shared" ref="R43" si="95">R44+R45</f>
        <v>360881.12400000007</v>
      </c>
      <c r="S43" s="206">
        <f t="shared" ref="S43" si="96">S44+S45</f>
        <v>403515</v>
      </c>
      <c r="T43" s="206">
        <f t="shared" ref="T43" si="97">T44+T45</f>
        <v>410658.10796000005</v>
      </c>
      <c r="U43" s="206">
        <f t="shared" ref="U43:V43" si="98">U44+U45</f>
        <v>491450.76303999987</v>
      </c>
      <c r="V43" s="206">
        <f t="shared" si="98"/>
        <v>559616.72051999974</v>
      </c>
      <c r="W43" s="206">
        <f t="shared" ref="W43:X43" si="99">W44+W45</f>
        <v>608421.06480384991</v>
      </c>
      <c r="X43" s="206">
        <f t="shared" si="99"/>
        <v>663338.48157363303</v>
      </c>
      <c r="Y43" s="206">
        <f t="shared" ref="Y43" si="100">Y44+Y45</f>
        <v>751327.9911745179</v>
      </c>
      <c r="Z43" s="206"/>
      <c r="AA43" s="430">
        <f t="shared" ref="AA43:AA53" si="101">Y43/X43-1</f>
        <v>0.13264647241955263</v>
      </c>
      <c r="AB43" s="430">
        <f t="shared" ref="AB43:AB53" si="102">Y43/U43-1</f>
        <v>0.52879606194317019</v>
      </c>
    </row>
    <row r="44" spans="2:28" ht="13" customHeight="1">
      <c r="B44" s="68" t="str">
        <f>IF('Summary | Sumário'!D$6=Names!B$3,Names!Z5,Names!AA5)</f>
        <v>NII</v>
      </c>
      <c r="C44" s="219">
        <f>C31</f>
        <v>585551</v>
      </c>
      <c r="D44" s="219">
        <f t="shared" ref="D44:X44" si="103">D31</f>
        <v>715962.89517999999</v>
      </c>
      <c r="E44" s="219">
        <f t="shared" si="103"/>
        <v>1589467.912</v>
      </c>
      <c r="F44" s="219">
        <f t="shared" si="103"/>
        <v>2335429.1850000001</v>
      </c>
      <c r="G44" s="219">
        <f t="shared" si="103"/>
        <v>3208088.9950000001</v>
      </c>
      <c r="H44" s="219">
        <f t="shared" ref="H44" si="104">H31</f>
        <v>4382156.5940720001</v>
      </c>
      <c r="I44" s="220"/>
      <c r="J44" s="219">
        <f t="shared" si="103"/>
        <v>291581.33899999998</v>
      </c>
      <c r="K44" s="219">
        <f t="shared" si="103"/>
        <v>302295.34700000007</v>
      </c>
      <c r="L44" s="219">
        <f t="shared" si="103"/>
        <v>447369.88</v>
      </c>
      <c r="M44" s="219">
        <f t="shared" si="103"/>
        <v>548221.3459999999</v>
      </c>
      <c r="N44" s="219">
        <f t="shared" si="103"/>
        <v>543411.01500000001</v>
      </c>
      <c r="O44" s="219">
        <f t="shared" si="103"/>
        <v>561087.3110000001</v>
      </c>
      <c r="P44" s="219">
        <f t="shared" si="103"/>
        <v>555587.46700000006</v>
      </c>
      <c r="Q44" s="219">
        <f t="shared" si="103"/>
        <v>675343.39199999999</v>
      </c>
      <c r="R44" s="219">
        <f t="shared" si="103"/>
        <v>711562.12400000007</v>
      </c>
      <c r="S44" s="219">
        <f t="shared" si="103"/>
        <v>802075</v>
      </c>
      <c r="T44" s="219">
        <f t="shared" si="103"/>
        <v>818557.10796000005</v>
      </c>
      <c r="U44" s="219">
        <f t="shared" si="103"/>
        <v>875894.76303999987</v>
      </c>
      <c r="V44" s="219">
        <f t="shared" si="103"/>
        <v>970664.72051999974</v>
      </c>
      <c r="W44" s="219">
        <f t="shared" si="103"/>
        <v>1029668.72580385</v>
      </c>
      <c r="X44" s="219">
        <f t="shared" si="103"/>
        <v>1134765.1315736331</v>
      </c>
      <c r="Y44" s="219">
        <f t="shared" ref="Y44" si="105">Y31</f>
        <v>1247058.0161745176</v>
      </c>
      <c r="Z44" s="220"/>
      <c r="AA44" s="446">
        <f t="shared" si="101"/>
        <v>9.8956939613717765E-2</v>
      </c>
      <c r="AB44" s="446">
        <f t="shared" si="102"/>
        <v>0.42375325072878378</v>
      </c>
    </row>
    <row r="45" spans="2:28" ht="13" customHeight="1">
      <c r="B45" s="63" t="str">
        <f>IF('Summary | Sumário'!D$6=Names!B$3,Names!Z34,Names!AA34)</f>
        <v>Impairment losses on financial assets</v>
      </c>
      <c r="C45" s="220">
        <v>-138570</v>
      </c>
      <c r="D45" s="220">
        <v>-213688</v>
      </c>
      <c r="E45" s="220">
        <v>-595581</v>
      </c>
      <c r="F45" s="220">
        <v>-1083237</v>
      </c>
      <c r="G45" s="220">
        <v>-1541584</v>
      </c>
      <c r="H45" s="220">
        <v>-1799452.3359999999</v>
      </c>
      <c r="I45" s="202"/>
      <c r="J45" s="220">
        <v>-106669</v>
      </c>
      <c r="K45" s="220">
        <v>-167441</v>
      </c>
      <c r="L45" s="220">
        <v>-138005</v>
      </c>
      <c r="M45" s="220">
        <v>-183466</v>
      </c>
      <c r="N45" s="220">
        <v>-312946</v>
      </c>
      <c r="O45" s="220">
        <v>-242464</v>
      </c>
      <c r="P45" s="220">
        <v>-263113</v>
      </c>
      <c r="Q45" s="220">
        <v>-264714</v>
      </c>
      <c r="R45" s="220">
        <v>-350681</v>
      </c>
      <c r="S45" s="220">
        <v>-398560</v>
      </c>
      <c r="T45" s="220">
        <v>-407899</v>
      </c>
      <c r="U45" s="220">
        <v>-384444</v>
      </c>
      <c r="V45" s="220">
        <v>-411048</v>
      </c>
      <c r="W45" s="220">
        <v>-421247.66100000002</v>
      </c>
      <c r="X45" s="220">
        <v>-471426.65</v>
      </c>
      <c r="Y45" s="220">
        <v>-495730.02499999967</v>
      </c>
      <c r="Z45" s="220"/>
      <c r="AA45" s="452">
        <f t="shared" si="101"/>
        <v>5.1552823753174826E-2</v>
      </c>
      <c r="AB45" s="452">
        <f t="shared" si="102"/>
        <v>0.28947265401462796</v>
      </c>
    </row>
    <row r="46" spans="2:28" ht="13" customHeight="1">
      <c r="B46" s="70" t="str">
        <f>IF('Summary | Sumário'!D$6=Names!B$3,Names!Z21,Names!AA21)</f>
        <v>(÷) Avg of the last two periods of IEP</v>
      </c>
      <c r="C46" s="219">
        <f>C47</f>
        <v>5906176.3870000001</v>
      </c>
      <c r="D46" s="680">
        <f>(D47+C47)/2</f>
        <v>9540976.6059999987</v>
      </c>
      <c r="E46" s="680">
        <f t="shared" ref="E46" si="106">(E47+D47)/2</f>
        <v>20242695.412500001</v>
      </c>
      <c r="F46" s="680">
        <f t="shared" ref="F46" si="107">(F47+E47)/2</f>
        <v>29992576.5</v>
      </c>
      <c r="G46" s="680">
        <f t="shared" ref="G46:H46" si="108">(G47+F47)/2</f>
        <v>36838463.595954999</v>
      </c>
      <c r="H46" s="680">
        <f t="shared" si="108"/>
        <v>47436890.773622498</v>
      </c>
      <c r="I46" s="678"/>
      <c r="J46" s="680">
        <f>(J47+D47)/2</f>
        <v>14103254.9125</v>
      </c>
      <c r="K46" s="219">
        <f>(K47+J47)/2</f>
        <v>16655040.5</v>
      </c>
      <c r="L46" s="219">
        <f t="shared" ref="L46" si="109">(L47+K47)/2</f>
        <v>21978468</v>
      </c>
      <c r="M46" s="219">
        <f t="shared" ref="M46" si="110">(M47+L47)/2</f>
        <v>26493601</v>
      </c>
      <c r="N46" s="219">
        <f t="shared" ref="N46" si="111">(N47+M47)/2</f>
        <v>27179014.5</v>
      </c>
      <c r="O46" s="219">
        <f t="shared" ref="O46" si="112">(O47+N47)/2</f>
        <v>27600017.5</v>
      </c>
      <c r="P46" s="219">
        <f t="shared" ref="P46" si="113">(P47+O47)/2</f>
        <v>29831065</v>
      </c>
      <c r="Q46" s="219">
        <f t="shared" ref="Q46" si="114">(Q47+P47)/2</f>
        <v>32093024.5</v>
      </c>
      <c r="R46" s="219">
        <f t="shared" ref="R46" si="115">(R47+Q47)/2</f>
        <v>32836492.193913735</v>
      </c>
      <c r="S46" s="219">
        <f t="shared" ref="S46" si="116">(S47+R47)/2</f>
        <v>33673793.577701032</v>
      </c>
      <c r="T46" s="219">
        <f t="shared" ref="T46" si="117">(T47+S47)/2</f>
        <v>35635379.055952296</v>
      </c>
      <c r="U46" s="219">
        <f t="shared" ref="U46:Y46" si="118">(U47+T47)/2</f>
        <v>38961002.268119998</v>
      </c>
      <c r="V46" s="219">
        <f t="shared" si="118"/>
        <v>42059618.137200102</v>
      </c>
      <c r="W46" s="219">
        <f t="shared" si="118"/>
        <v>44622222.196655095</v>
      </c>
      <c r="X46" s="219">
        <f t="shared" si="118"/>
        <v>47436236.145000145</v>
      </c>
      <c r="Y46" s="219">
        <f t="shared" si="118"/>
        <v>51309134.667257652</v>
      </c>
      <c r="Z46" s="220"/>
      <c r="AA46" s="446">
        <f t="shared" si="101"/>
        <v>8.1644304797266587E-2</v>
      </c>
      <c r="AB46" s="446">
        <f t="shared" si="102"/>
        <v>0.31693569672979294</v>
      </c>
    </row>
    <row r="47" spans="2:28" ht="13" customHeight="1">
      <c r="B47" s="65" t="str">
        <f>IF('Summary | Sumário'!D$6=Names!B$3,Names!Z22,Names!AA22)</f>
        <v>IEP</v>
      </c>
      <c r="C47" s="220">
        <f>C48+C49+C50+C53</f>
        <v>5906176.3870000001</v>
      </c>
      <c r="D47" s="220">
        <f t="shared" ref="D47:U47" si="119">D48+D49+D50+D53</f>
        <v>13175776.824999999</v>
      </c>
      <c r="E47" s="220">
        <f t="shared" si="119"/>
        <v>27309614</v>
      </c>
      <c r="F47" s="220">
        <f t="shared" si="119"/>
        <v>32675539</v>
      </c>
      <c r="G47" s="220">
        <f t="shared" si="119"/>
        <v>41001388.191909999</v>
      </c>
      <c r="H47" s="220">
        <f t="shared" ref="H47" si="120">H48+H49+H50+H53</f>
        <v>53872393.355334997</v>
      </c>
      <c r="I47" s="202"/>
      <c r="J47" s="220">
        <f t="shared" si="119"/>
        <v>15030733</v>
      </c>
      <c r="K47" s="220">
        <f t="shared" si="119"/>
        <v>18279348</v>
      </c>
      <c r="L47" s="220">
        <f t="shared" si="119"/>
        <v>25677588</v>
      </c>
      <c r="M47" s="220">
        <f t="shared" si="119"/>
        <v>27309614</v>
      </c>
      <c r="N47" s="220">
        <f t="shared" si="119"/>
        <v>27048415</v>
      </c>
      <c r="O47" s="220">
        <f t="shared" si="119"/>
        <v>28151620</v>
      </c>
      <c r="P47" s="220">
        <f t="shared" si="119"/>
        <v>31510510</v>
      </c>
      <c r="Q47" s="220">
        <f t="shared" si="119"/>
        <v>32675539</v>
      </c>
      <c r="R47" s="220">
        <f t="shared" si="119"/>
        <v>32997445.387827475</v>
      </c>
      <c r="S47" s="220">
        <f t="shared" si="119"/>
        <v>34350141.767574593</v>
      </c>
      <c r="T47" s="220">
        <f t="shared" si="119"/>
        <v>36920616.344329998</v>
      </c>
      <c r="U47" s="220">
        <f t="shared" si="119"/>
        <v>41001388.191909999</v>
      </c>
      <c r="V47" s="220">
        <f t="shared" ref="V47:W47" si="121">V48+V49+V50+V53</f>
        <v>43117848.082490198</v>
      </c>
      <c r="W47" s="220">
        <f t="shared" si="121"/>
        <v>46126596.310819998</v>
      </c>
      <c r="X47" s="220">
        <f t="shared" ref="X47:Y47" si="122">X48+X49+X50+X53</f>
        <v>48745875.979180299</v>
      </c>
      <c r="Y47" s="220">
        <f t="shared" si="122"/>
        <v>53872393.355334997</v>
      </c>
      <c r="Z47" s="220"/>
      <c r="AA47" s="452">
        <f t="shared" si="101"/>
        <v>0.1051682275305561</v>
      </c>
      <c r="AB47" s="452">
        <f t="shared" si="102"/>
        <v>0.31391632652000268</v>
      </c>
    </row>
    <row r="48" spans="2:28" ht="13" customHeight="1">
      <c r="B48" s="68" t="str">
        <f>IF('Summary | Sumário'!D$6=Names!B$3,Names!Z23,Names!AA23)</f>
        <v>Amounts due from financial institutions</v>
      </c>
      <c r="C48" s="219">
        <f t="shared" ref="C48:U48" si="123">C35</f>
        <v>256097</v>
      </c>
      <c r="D48" s="219">
        <f t="shared" si="123"/>
        <v>502369</v>
      </c>
      <c r="E48" s="219">
        <f t="shared" si="123"/>
        <v>2051862</v>
      </c>
      <c r="F48" s="219">
        <f t="shared" si="123"/>
        <v>4258856</v>
      </c>
      <c r="G48" s="219">
        <f t="shared" si="123"/>
        <v>3718505.7949100002</v>
      </c>
      <c r="H48" s="219">
        <f t="shared" ref="H48" si="124">H35</f>
        <v>6194960.1520200009</v>
      </c>
      <c r="I48" s="202"/>
      <c r="J48" s="219">
        <f t="shared" si="123"/>
        <v>578499</v>
      </c>
      <c r="K48" s="219">
        <f t="shared" si="123"/>
        <v>646905</v>
      </c>
      <c r="L48" s="219">
        <f t="shared" si="123"/>
        <v>1408183</v>
      </c>
      <c r="M48" s="219">
        <f t="shared" si="123"/>
        <v>2051862</v>
      </c>
      <c r="N48" s="219">
        <f t="shared" si="123"/>
        <v>1807258</v>
      </c>
      <c r="O48" s="219">
        <f t="shared" si="123"/>
        <v>1825289</v>
      </c>
      <c r="P48" s="219">
        <f t="shared" si="123"/>
        <v>3417500</v>
      </c>
      <c r="Q48" s="219">
        <f t="shared" si="123"/>
        <v>4258856</v>
      </c>
      <c r="R48" s="219">
        <f t="shared" si="123"/>
        <v>3770074</v>
      </c>
      <c r="S48" s="219">
        <f t="shared" si="123"/>
        <v>2556811</v>
      </c>
      <c r="T48" s="219">
        <f t="shared" si="123"/>
        <v>3474243.8523399998</v>
      </c>
      <c r="U48" s="219">
        <f t="shared" si="123"/>
        <v>3718505.7949100002</v>
      </c>
      <c r="V48" s="219">
        <f t="shared" ref="V48:W48" si="125">V35</f>
        <v>4051287.3041199995</v>
      </c>
      <c r="W48" s="219">
        <f t="shared" si="125"/>
        <v>5280321.6449999996</v>
      </c>
      <c r="X48" s="219">
        <f t="shared" ref="X48:Y48" si="126">X35</f>
        <v>5225481.9997899998</v>
      </c>
      <c r="Y48" s="219">
        <f t="shared" si="126"/>
        <v>6194960.1520200009</v>
      </c>
      <c r="Z48" s="220"/>
      <c r="AA48" s="446">
        <f t="shared" si="101"/>
        <v>0.18552894302744938</v>
      </c>
      <c r="AB48" s="446">
        <f t="shared" si="102"/>
        <v>0.66598104015323689</v>
      </c>
    </row>
    <row r="49" spans="2:28" ht="13" customHeight="1">
      <c r="B49" s="63" t="str">
        <f>IF('Summary | Sumário'!D$6=Names!B$3,Names!Z24,Names!AA24)</f>
        <v>Securities</v>
      </c>
      <c r="C49" s="220">
        <f t="shared" ref="C49:F49" si="127">C36</f>
        <v>1155094</v>
      </c>
      <c r="D49" s="220">
        <f t="shared" si="127"/>
        <v>5812622</v>
      </c>
      <c r="E49" s="220">
        <f t="shared" si="127"/>
        <v>12757687</v>
      </c>
      <c r="F49" s="220">
        <f t="shared" si="127"/>
        <v>12448565</v>
      </c>
      <c r="G49" s="220">
        <f t="shared" ref="G49:U49" si="128">G36</f>
        <v>16868112</v>
      </c>
      <c r="H49" s="220">
        <f t="shared" ref="H49" si="129">H36</f>
        <v>23899551.020405103</v>
      </c>
      <c r="I49" s="202"/>
      <c r="J49" s="220">
        <f t="shared" si="128"/>
        <v>6619726</v>
      </c>
      <c r="K49" s="220">
        <f t="shared" si="128"/>
        <v>8230481</v>
      </c>
      <c r="L49" s="220">
        <f t="shared" si="128"/>
        <v>13241180</v>
      </c>
      <c r="M49" s="220">
        <f t="shared" si="128"/>
        <v>12757687</v>
      </c>
      <c r="N49" s="220">
        <f t="shared" si="128"/>
        <v>12335401</v>
      </c>
      <c r="O49" s="220">
        <f t="shared" si="128"/>
        <v>12710051</v>
      </c>
      <c r="P49" s="220">
        <f t="shared" si="128"/>
        <v>13373465</v>
      </c>
      <c r="Q49" s="220">
        <f t="shared" si="128"/>
        <v>12448565</v>
      </c>
      <c r="R49" s="220">
        <f t="shared" si="128"/>
        <v>12535351</v>
      </c>
      <c r="S49" s="220">
        <f t="shared" si="128"/>
        <v>14169684</v>
      </c>
      <c r="T49" s="220">
        <f t="shared" si="128"/>
        <v>14908297</v>
      </c>
      <c r="U49" s="220">
        <f t="shared" si="128"/>
        <v>16868112</v>
      </c>
      <c r="V49" s="220">
        <f t="shared" ref="V49:W49" si="130">V36</f>
        <v>18167251</v>
      </c>
      <c r="W49" s="220">
        <f t="shared" si="130"/>
        <v>18276425.519000001</v>
      </c>
      <c r="X49" s="220">
        <f t="shared" ref="X49:Y49" si="131">X36</f>
        <v>20586354.700983003</v>
      </c>
      <c r="Y49" s="220">
        <f t="shared" si="131"/>
        <v>23899551.020405103</v>
      </c>
      <c r="Z49" s="220"/>
      <c r="AA49" s="452">
        <f t="shared" si="101"/>
        <v>0.16094137925564334</v>
      </c>
      <c r="AB49" s="452">
        <f t="shared" si="102"/>
        <v>0.41684801597268883</v>
      </c>
    </row>
    <row r="50" spans="2:28" ht="13" customHeight="1">
      <c r="B50" s="681" t="str">
        <f>IF('Summary | Sumário'!D$6=Names!B$3,Names!Z25,Names!AA25)</f>
        <v>Net loans and advances to customers excluding non int. CC Receivables</v>
      </c>
      <c r="C50" s="219">
        <f>SUM(C51,-C52)</f>
        <v>4494985.3870000001</v>
      </c>
      <c r="D50" s="219">
        <f t="shared" ref="D50:U50" si="132">SUM(D51,-D52)</f>
        <v>6833272.8250000002</v>
      </c>
      <c r="E50" s="219">
        <f t="shared" si="132"/>
        <v>12413117</v>
      </c>
      <c r="F50" s="219">
        <f t="shared" si="132"/>
        <v>15968118</v>
      </c>
      <c r="G50" s="219">
        <f t="shared" si="132"/>
        <v>20410532.397</v>
      </c>
      <c r="H50" s="219">
        <f t="shared" ref="H50" si="133">SUM(H51,-H52)</f>
        <v>23777319.381909899</v>
      </c>
      <c r="I50" s="202"/>
      <c r="J50" s="219">
        <f t="shared" si="132"/>
        <v>7813905</v>
      </c>
      <c r="K50" s="219">
        <f t="shared" si="132"/>
        <v>9390278</v>
      </c>
      <c r="L50" s="219">
        <f t="shared" si="132"/>
        <v>11020582</v>
      </c>
      <c r="M50" s="219">
        <f t="shared" si="132"/>
        <v>12413117</v>
      </c>
      <c r="N50" s="219">
        <f t="shared" si="132"/>
        <v>12895346</v>
      </c>
      <c r="O50" s="219">
        <f t="shared" si="132"/>
        <v>13613068</v>
      </c>
      <c r="P50" s="219">
        <f t="shared" si="132"/>
        <v>14718964</v>
      </c>
      <c r="Q50" s="219">
        <f t="shared" si="132"/>
        <v>15968118</v>
      </c>
      <c r="R50" s="219">
        <f t="shared" si="132"/>
        <v>16690898.387827475</v>
      </c>
      <c r="S50" s="219">
        <f t="shared" si="132"/>
        <v>17620021.767574593</v>
      </c>
      <c r="T50" s="219">
        <f t="shared" si="132"/>
        <v>18528686.954999998</v>
      </c>
      <c r="U50" s="219">
        <f t="shared" si="132"/>
        <v>20410532.397</v>
      </c>
      <c r="V50" s="219">
        <f t="shared" ref="V50:W50" si="134">SUM(V51,-V52)</f>
        <v>20891917.665410198</v>
      </c>
      <c r="W50" s="219">
        <f t="shared" si="134"/>
        <v>22562671.720820002</v>
      </c>
      <c r="X50" s="219">
        <f t="shared" ref="X50:Y50" si="135">SUM(X51,-X52)</f>
        <v>22915550.370287299</v>
      </c>
      <c r="Y50" s="219">
        <f t="shared" si="135"/>
        <v>23777319.381909899</v>
      </c>
      <c r="Z50" s="220"/>
      <c r="AA50" s="446">
        <f t="shared" si="101"/>
        <v>3.7606297806400679E-2</v>
      </c>
      <c r="AB50" s="446">
        <f t="shared" si="102"/>
        <v>0.1649534132389785</v>
      </c>
    </row>
    <row r="51" spans="2:28" ht="13" customHeight="1">
      <c r="B51" s="67" t="str">
        <f>IF('Summary | Sumário'!D$6=Names!B$3,Names!Z26,Names!AA26)</f>
        <v>Net loans and advances to customers</v>
      </c>
      <c r="C51" s="220">
        <f t="shared" ref="C51:U51" si="136">C37</f>
        <v>4561824</v>
      </c>
      <c r="D51" s="220">
        <f t="shared" si="136"/>
        <v>8507703</v>
      </c>
      <c r="E51" s="220">
        <f t="shared" si="136"/>
        <v>16535430</v>
      </c>
      <c r="F51" s="220">
        <f t="shared" si="136"/>
        <v>21379916</v>
      </c>
      <c r="G51" s="220">
        <f t="shared" si="136"/>
        <v>27900543</v>
      </c>
      <c r="H51" s="220">
        <f t="shared" ref="H51" si="137">H37</f>
        <v>33327355.1973699</v>
      </c>
      <c r="I51" s="202"/>
      <c r="J51" s="220">
        <f t="shared" si="136"/>
        <v>9908120</v>
      </c>
      <c r="K51" s="220">
        <f t="shared" si="136"/>
        <v>12040483</v>
      </c>
      <c r="L51" s="220">
        <f t="shared" si="136"/>
        <v>14301537</v>
      </c>
      <c r="M51" s="220">
        <f t="shared" si="136"/>
        <v>16535430</v>
      </c>
      <c r="N51" s="220">
        <f t="shared" si="136"/>
        <v>17374632</v>
      </c>
      <c r="O51" s="220">
        <f t="shared" si="136"/>
        <v>18510189</v>
      </c>
      <c r="P51" s="220">
        <f t="shared" si="136"/>
        <v>19820903</v>
      </c>
      <c r="Q51" s="220">
        <f t="shared" si="136"/>
        <v>21379916</v>
      </c>
      <c r="R51" s="220">
        <f t="shared" si="136"/>
        <v>22371167</v>
      </c>
      <c r="S51" s="220">
        <f t="shared" si="136"/>
        <v>23523982</v>
      </c>
      <c r="T51" s="220">
        <f t="shared" si="136"/>
        <v>25296620</v>
      </c>
      <c r="U51" s="220">
        <f t="shared" si="136"/>
        <v>27900543</v>
      </c>
      <c r="V51" s="220">
        <f t="shared" ref="V51:W51" si="138">V37</f>
        <v>28826998.881090201</v>
      </c>
      <c r="W51" s="220">
        <f t="shared" si="138"/>
        <v>30806640.206</v>
      </c>
      <c r="X51" s="220">
        <f t="shared" ref="X51:Y51" si="139">X37</f>
        <v>31478421.7243573</v>
      </c>
      <c r="Y51" s="220">
        <f t="shared" si="139"/>
        <v>33327355.1973699</v>
      </c>
      <c r="Z51" s="220"/>
      <c r="AA51" s="452">
        <f t="shared" si="101"/>
        <v>5.873653670450496E-2</v>
      </c>
      <c r="AB51" s="452">
        <f t="shared" si="102"/>
        <v>0.19450561221585905</v>
      </c>
    </row>
    <row r="52" spans="2:28" ht="13" customHeight="1">
      <c r="B52" s="71" t="str">
        <f>IF('Summary | Sumário'!D$6=Names!B$3,Names!Z27,Names!AA27)</f>
        <v>(-) Non int. CC receivables</v>
      </c>
      <c r="C52" s="219">
        <v>66838.612999999998</v>
      </c>
      <c r="D52" s="219">
        <v>1674430.175</v>
      </c>
      <c r="E52" s="219">
        <v>4122313</v>
      </c>
      <c r="F52" s="219">
        <v>5411798</v>
      </c>
      <c r="G52" s="219">
        <v>7490010.6029999992</v>
      </c>
      <c r="H52" s="219">
        <v>9550035.8154600002</v>
      </c>
      <c r="I52" s="202"/>
      <c r="J52" s="219">
        <v>2094215</v>
      </c>
      <c r="K52" s="219">
        <v>2650205</v>
      </c>
      <c r="L52" s="219">
        <v>3280955</v>
      </c>
      <c r="M52" s="219">
        <v>4122313</v>
      </c>
      <c r="N52" s="219">
        <v>4479286</v>
      </c>
      <c r="O52" s="219">
        <v>4897121</v>
      </c>
      <c r="P52" s="219">
        <v>5101939</v>
      </c>
      <c r="Q52" s="219">
        <v>5411798</v>
      </c>
      <c r="R52" s="219">
        <v>5680268.6121725254</v>
      </c>
      <c r="S52" s="219">
        <v>5903960.2324254084</v>
      </c>
      <c r="T52" s="219">
        <v>6767933.0449999999</v>
      </c>
      <c r="U52" s="219">
        <v>7490010.6029999992</v>
      </c>
      <c r="V52" s="219">
        <v>7935081.2156800013</v>
      </c>
      <c r="W52" s="219">
        <v>8243968.4851799998</v>
      </c>
      <c r="X52" s="219">
        <v>8562871.3540700004</v>
      </c>
      <c r="Y52" s="219">
        <v>9550035.8154600002</v>
      </c>
      <c r="Z52" s="220"/>
      <c r="AA52" s="446">
        <f t="shared" si="101"/>
        <v>0.11528428030403526</v>
      </c>
      <c r="AB52" s="446">
        <f t="shared" si="102"/>
        <v>0.27503635463945697</v>
      </c>
    </row>
    <row r="53" spans="2:28" ht="13" customHeight="1">
      <c r="B53" s="63" t="str">
        <f>IF('Summary | Sumário'!D$6=Names!B$3,Names!Z28,Names!AA28)</f>
        <v>Derivative financial assets</v>
      </c>
      <c r="C53" s="220">
        <f t="shared" ref="C53:U53" si="140">C38</f>
        <v>0</v>
      </c>
      <c r="D53" s="220">
        <f t="shared" si="140"/>
        <v>27513</v>
      </c>
      <c r="E53" s="220">
        <f t="shared" si="140"/>
        <v>86948</v>
      </c>
      <c r="F53" s="220">
        <f t="shared" si="140"/>
        <v>0</v>
      </c>
      <c r="G53" s="220">
        <f t="shared" si="140"/>
        <v>4238</v>
      </c>
      <c r="H53" s="220">
        <f t="shared" ref="H53" si="141">H38</f>
        <v>562.80100000000004</v>
      </c>
      <c r="I53" s="202"/>
      <c r="J53" s="220">
        <f t="shared" si="140"/>
        <v>18603</v>
      </c>
      <c r="K53" s="220">
        <f t="shared" si="140"/>
        <v>11684</v>
      </c>
      <c r="L53" s="220">
        <f t="shared" si="140"/>
        <v>7643</v>
      </c>
      <c r="M53" s="220">
        <f t="shared" si="140"/>
        <v>86948</v>
      </c>
      <c r="N53" s="220">
        <f t="shared" si="140"/>
        <v>10410</v>
      </c>
      <c r="O53" s="220">
        <f t="shared" si="140"/>
        <v>3212</v>
      </c>
      <c r="P53" s="220">
        <f t="shared" si="140"/>
        <v>581</v>
      </c>
      <c r="Q53" s="220">
        <f t="shared" si="140"/>
        <v>0</v>
      </c>
      <c r="R53" s="220">
        <f t="shared" si="140"/>
        <v>1122</v>
      </c>
      <c r="S53" s="220">
        <f t="shared" si="140"/>
        <v>3625</v>
      </c>
      <c r="T53" s="220">
        <f t="shared" si="140"/>
        <v>9388.5369900000005</v>
      </c>
      <c r="U53" s="220">
        <f t="shared" si="140"/>
        <v>4238</v>
      </c>
      <c r="V53" s="220">
        <f t="shared" ref="V53:W53" si="142">V38</f>
        <v>7392.1129600000004</v>
      </c>
      <c r="W53" s="220">
        <f t="shared" si="142"/>
        <v>7177.4260000000004</v>
      </c>
      <c r="X53" s="220">
        <f t="shared" ref="X53:Y53" si="143">X38</f>
        <v>18488.90812</v>
      </c>
      <c r="Y53" s="220">
        <f t="shared" si="143"/>
        <v>562.80100000000004</v>
      </c>
      <c r="Z53" s="220"/>
      <c r="AA53" s="452">
        <f t="shared" si="101"/>
        <v>-0.96956007372922137</v>
      </c>
      <c r="AB53" s="452">
        <f t="shared" si="102"/>
        <v>-0.86720127418593673</v>
      </c>
    </row>
    <row r="54" spans="2:28" ht="13" customHeight="1">
      <c r="B54" s="341" t="str">
        <f>IF('Summary | Sumário'!D$6=Names!B$3,Names!Z37,Names!AA37)</f>
        <v>(=) Risk-adjusted NIM 2.0 - IEP (%)</v>
      </c>
      <c r="C54" s="383">
        <f t="shared" ref="C54:F54" si="144">C42/C46</f>
        <v>7.5680265998124177E-2</v>
      </c>
      <c r="D54" s="383">
        <f t="shared" si="144"/>
        <v>5.2643970939425237E-2</v>
      </c>
      <c r="E54" s="383">
        <f t="shared" si="144"/>
        <v>4.9098546006193823E-2</v>
      </c>
      <c r="F54" s="383">
        <f t="shared" si="144"/>
        <v>4.1750070554958829E-2</v>
      </c>
      <c r="G54" s="383">
        <f>G42/G46</f>
        <v>4.5238178586334651E-2</v>
      </c>
      <c r="H54" s="383">
        <f>H42/H46</f>
        <v>5.4445057758889304E-2</v>
      </c>
      <c r="I54" s="404"/>
      <c r="J54" s="383">
        <f t="shared" ref="J54:U54" si="145">J42/J46</f>
        <v>5.2445294408203155E-2</v>
      </c>
      <c r="K54" s="383">
        <f t="shared" si="145"/>
        <v>3.2387635923190959E-2</v>
      </c>
      <c r="L54" s="383">
        <f t="shared" si="145"/>
        <v>5.6303265541529104E-2</v>
      </c>
      <c r="M54" s="383">
        <f t="shared" si="145"/>
        <v>5.5070708734535546E-2</v>
      </c>
      <c r="N54" s="383">
        <f t="shared" si="145"/>
        <v>3.3918082644240101E-2</v>
      </c>
      <c r="O54" s="383">
        <f t="shared" si="145"/>
        <v>4.6177262170214221E-2</v>
      </c>
      <c r="P54" s="383">
        <f t="shared" si="145"/>
        <v>3.9217435515627758E-2</v>
      </c>
      <c r="Q54" s="383">
        <f t="shared" si="145"/>
        <v>5.1179893250634573E-2</v>
      </c>
      <c r="R54" s="383">
        <f t="shared" si="145"/>
        <v>4.3960983635991373E-2</v>
      </c>
      <c r="S54" s="383">
        <f t="shared" si="145"/>
        <v>4.7932229443517146E-2</v>
      </c>
      <c r="T54" s="383">
        <f t="shared" si="145"/>
        <v>4.6095550976484587E-2</v>
      </c>
      <c r="U54" s="383">
        <f t="shared" si="145"/>
        <v>5.0455659190485613E-2</v>
      </c>
      <c r="V54" s="383">
        <f t="shared" ref="V54:W54" si="146">V42/V46</f>
        <v>5.3221284006384303E-2</v>
      </c>
      <c r="W54" s="383">
        <f t="shared" si="146"/>
        <v>5.4539736916056812E-2</v>
      </c>
      <c r="X54" s="383">
        <f t="shared" ref="X54:Y54" si="147">X42/X46</f>
        <v>5.5935169860102822E-2</v>
      </c>
      <c r="Y54" s="383">
        <f t="shared" si="147"/>
        <v>5.8572649571809632E-2</v>
      </c>
      <c r="Z54" s="404"/>
      <c r="AA54" s="456">
        <f>(Y54-X54)*100</f>
        <v>0.26374797117068094</v>
      </c>
      <c r="AB54" s="456">
        <f>(Y54-U54)*100</f>
        <v>0.81169903813240185</v>
      </c>
    </row>
  </sheetData>
  <sheetProtection algorithmName="SHA-512" hashValue="4WMH9epHUuxXo+eF85Yr84RrkqhhIPnJTjytCSvem2RiQqKM5lD9hZf3yxWFUoJKz0IBuFNHYxtOxOE7nrYnCA==" saltValue="XAs+q51+TTpwoA7w1lCzfw=="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Z2:AB4 B2:B3 S2:X5 Z14:AB15 Z5 Z6 Z13 Z27:AB28 Z16 Z17 Z26 Z40:AB41 Z29 Z30:Z38 Z39 Z54 Z42 Z43:Z53 B18:B30 S18:X23 Z18:Z25 B7:B17 S7:X8 Z7:Z12 B32:B43 B45:B54 S33:X34 S46:X51 B5:B6 S13:X17 S39:X43 S25:X30 S53:X54" unlockedFormula="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22FF-BABF-5346-86FD-35375D07C9C5}">
  <sheetPr>
    <tabColor theme="5" tint="0.59999389629810485"/>
  </sheetPr>
  <dimension ref="A1:AG3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4" customWidth="1"/>
    <col min="9" max="9" width="2.83203125" style="134" customWidth="1"/>
    <col min="10" max="25" width="10.83203125" style="134" customWidth="1"/>
    <col min="26" max="26" width="5.83203125" style="134" customWidth="1"/>
    <col min="27" max="28" width="10.83203125" style="134" customWidth="1"/>
    <col min="29" max="16384" width="10.83203125" style="133"/>
  </cols>
  <sheetData>
    <row r="1" spans="2:32" ht="13" customHeight="1">
      <c r="AC1" s="134"/>
    </row>
    <row r="2" spans="2:32" s="10" customFormat="1" ht="13" customHeight="1">
      <c r="B2" s="310" t="str">
        <f>IF('Summary | Sumário'!D$6=Names!B$3,Names!AV1,Names!AW1)</f>
        <v> Efficiency Ratio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399">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98"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2:32" ht="13" customHeight="1">
      <c r="B3" s="47"/>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45"/>
    </row>
    <row r="4" spans="2:32" ht="13" customHeight="1">
      <c r="B4" s="3" t="str">
        <f>IF('Summary | Sumário'!D$6=Names!B$3,Names!AV3,Names!AW3)</f>
        <v>Efficiency ratio </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row>
    <row r="5" spans="2:32" ht="13" customHeight="1">
      <c r="B5" s="343" t="str">
        <f>IF('Summary | Sumário'!D$6=Names!B$3,Names!AV4,Names!AW4)</f>
        <v>Total operational expenses</v>
      </c>
      <c r="C5" s="344">
        <f>SUM(C6:C8)</f>
        <v>572970</v>
      </c>
      <c r="D5" s="344">
        <f t="shared" ref="D5:R5" si="0">SUM(D6:D8)</f>
        <v>914082</v>
      </c>
      <c r="E5" s="344">
        <f t="shared" si="0"/>
        <v>1701818.2949999999</v>
      </c>
      <c r="F5" s="344">
        <f t="shared" si="0"/>
        <v>2392061</v>
      </c>
      <c r="G5" s="344">
        <f>SUM(G6:G8)</f>
        <v>2412527</v>
      </c>
      <c r="H5" s="344">
        <f>SUM(H6:H8)</f>
        <v>2915645.6869999999</v>
      </c>
      <c r="I5" s="206"/>
      <c r="J5" s="344">
        <f t="shared" si="0"/>
        <v>320122.31299999997</v>
      </c>
      <c r="K5" s="344">
        <f t="shared" si="0"/>
        <v>391145</v>
      </c>
      <c r="L5" s="344">
        <f t="shared" si="0"/>
        <v>387488.18799999997</v>
      </c>
      <c r="M5" s="344">
        <f t="shared" si="0"/>
        <v>603062.79399999999</v>
      </c>
      <c r="N5" s="344">
        <f t="shared" si="0"/>
        <v>558404</v>
      </c>
      <c r="O5" s="344">
        <f t="shared" si="0"/>
        <v>556595</v>
      </c>
      <c r="P5" s="344">
        <f t="shared" si="0"/>
        <v>591798</v>
      </c>
      <c r="Q5" s="344">
        <f t="shared" si="0"/>
        <v>685264</v>
      </c>
      <c r="R5" s="344">
        <f t="shared" si="0"/>
        <v>595604</v>
      </c>
      <c r="S5" s="344">
        <f t="shared" ref="S5:T5" si="1">SUM(S6:S8)</f>
        <v>575247</v>
      </c>
      <c r="T5" s="344">
        <f t="shared" si="1"/>
        <v>614129</v>
      </c>
      <c r="U5" s="344">
        <f t="shared" ref="U5:V5" si="2">SUM(U6:U8)</f>
        <v>627547</v>
      </c>
      <c r="V5" s="344">
        <f t="shared" si="2"/>
        <v>627607</v>
      </c>
      <c r="W5" s="344">
        <f t="shared" ref="W5:X5" si="3">SUM(W6:W8)</f>
        <v>660068.69851999998</v>
      </c>
      <c r="X5" s="344">
        <f t="shared" si="3"/>
        <v>787129.60447999998</v>
      </c>
      <c r="Y5" s="344">
        <f t="shared" ref="Y5" si="4">SUM(Y6:Y8)</f>
        <v>840840.38400000008</v>
      </c>
      <c r="Z5" s="206"/>
      <c r="AA5" s="429">
        <f>Y5/X5-1</f>
        <v>6.8236258951895223E-2</v>
      </c>
      <c r="AB5" s="429">
        <f>Y5/U5-1</f>
        <v>0.33988431782798756</v>
      </c>
    </row>
    <row r="6" spans="2:32" ht="13" customHeight="1">
      <c r="B6" s="63" t="str">
        <f>IF('Summary | Sumário'!D$6=Names!B$3,Names!AV5,Names!AW5)</f>
        <v>Personnel expenses</v>
      </c>
      <c r="C6" s="206">
        <v>169198</v>
      </c>
      <c r="D6" s="206">
        <v>229096</v>
      </c>
      <c r="E6" s="206">
        <v>443328</v>
      </c>
      <c r="F6" s="206">
        <v>733605</v>
      </c>
      <c r="G6" s="206">
        <v>790739</v>
      </c>
      <c r="H6" s="206">
        <v>937761.13</v>
      </c>
      <c r="I6" s="206"/>
      <c r="J6" s="206">
        <v>81861</v>
      </c>
      <c r="K6" s="206">
        <v>93046</v>
      </c>
      <c r="L6" s="206">
        <v>121250</v>
      </c>
      <c r="M6" s="206">
        <v>147171</v>
      </c>
      <c r="N6" s="206">
        <v>145120</v>
      </c>
      <c r="O6" s="206">
        <v>172466</v>
      </c>
      <c r="P6" s="206">
        <v>176232</v>
      </c>
      <c r="Q6" s="206">
        <v>239787</v>
      </c>
      <c r="R6" s="206">
        <v>172412</v>
      </c>
      <c r="S6" s="206">
        <v>186249</v>
      </c>
      <c r="T6" s="206">
        <v>210661</v>
      </c>
      <c r="U6" s="206">
        <v>221417</v>
      </c>
      <c r="V6" s="206">
        <v>190463</v>
      </c>
      <c r="W6" s="206">
        <v>204206.56551999997</v>
      </c>
      <c r="X6" s="206">
        <v>258954.60447999998</v>
      </c>
      <c r="Y6" s="206">
        <v>284136.96000000008</v>
      </c>
      <c r="Z6" s="206"/>
      <c r="AA6" s="430">
        <f t="shared" ref="AA6:AA13" si="5">Y6/X6-1</f>
        <v>9.7246216457776979E-2</v>
      </c>
      <c r="AB6" s="430">
        <f t="shared" ref="AB6:AB13" si="6">Y6/U6-1</f>
        <v>0.28326623520325933</v>
      </c>
    </row>
    <row r="7" spans="2:32" ht="13" customHeight="1">
      <c r="B7" s="68" t="str">
        <f>IF('Summary | Sumário'!D$6=Names!B$3,Names!AV6,Names!AW6)</f>
        <v>Administrative expenses</v>
      </c>
      <c r="C7" s="201">
        <v>386309</v>
      </c>
      <c r="D7" s="201">
        <v>641327</v>
      </c>
      <c r="E7" s="201">
        <v>1164239.7749999999</v>
      </c>
      <c r="F7" s="201">
        <v>1494484</v>
      </c>
      <c r="G7" s="201">
        <v>1461348</v>
      </c>
      <c r="H7" s="201">
        <v>1769055.128</v>
      </c>
      <c r="I7" s="206"/>
      <c r="J7" s="201">
        <v>219095.31299999999</v>
      </c>
      <c r="K7" s="201">
        <v>272761</v>
      </c>
      <c r="L7" s="201">
        <v>235355.18799999999</v>
      </c>
      <c r="M7" s="201">
        <v>437028.27399999998</v>
      </c>
      <c r="N7" s="201">
        <v>376806</v>
      </c>
      <c r="O7" s="201">
        <v>348618</v>
      </c>
      <c r="P7" s="201">
        <v>379946</v>
      </c>
      <c r="Q7" s="201">
        <v>389114</v>
      </c>
      <c r="R7" s="201">
        <v>385615</v>
      </c>
      <c r="S7" s="201">
        <v>347868</v>
      </c>
      <c r="T7" s="201">
        <v>362877</v>
      </c>
      <c r="U7" s="201">
        <v>364988</v>
      </c>
      <c r="V7" s="201">
        <v>395244</v>
      </c>
      <c r="W7" s="201">
        <v>402827.25400000002</v>
      </c>
      <c r="X7" s="201">
        <v>474826</v>
      </c>
      <c r="Y7" s="201">
        <v>496157.87400000007</v>
      </c>
      <c r="Z7" s="206"/>
      <c r="AA7" s="431">
        <f t="shared" si="5"/>
        <v>4.4925665401642112E-2</v>
      </c>
      <c r="AB7" s="431">
        <f t="shared" si="6"/>
        <v>0.35938133308492359</v>
      </c>
    </row>
    <row r="8" spans="2:32" ht="13" customHeight="1">
      <c r="B8" s="63" t="str">
        <f>IF('Summary | Sumário'!D$6=Names!B$3,Names!AV7,Names!AW7)</f>
        <v>Depreciation and amortization</v>
      </c>
      <c r="C8" s="206">
        <v>17463</v>
      </c>
      <c r="D8" s="206">
        <v>43659</v>
      </c>
      <c r="E8" s="206">
        <v>94250.52</v>
      </c>
      <c r="F8" s="206">
        <v>163972</v>
      </c>
      <c r="G8" s="206">
        <v>160440</v>
      </c>
      <c r="H8" s="206">
        <v>208829.429</v>
      </c>
      <c r="I8" s="206"/>
      <c r="J8" s="206">
        <v>19166</v>
      </c>
      <c r="K8" s="206">
        <v>25338</v>
      </c>
      <c r="L8" s="206">
        <v>30883</v>
      </c>
      <c r="M8" s="206">
        <v>18863.520000000004</v>
      </c>
      <c r="N8" s="206">
        <v>36478</v>
      </c>
      <c r="O8" s="206">
        <v>35511</v>
      </c>
      <c r="P8" s="206">
        <v>35620</v>
      </c>
      <c r="Q8" s="206">
        <v>56363</v>
      </c>
      <c r="R8" s="206">
        <v>37577</v>
      </c>
      <c r="S8" s="206">
        <v>41130</v>
      </c>
      <c r="T8" s="206">
        <v>40591</v>
      </c>
      <c r="U8" s="206">
        <v>41142</v>
      </c>
      <c r="V8" s="206">
        <v>41900</v>
      </c>
      <c r="W8" s="206">
        <v>53034.879000000001</v>
      </c>
      <c r="X8" s="206">
        <v>53349</v>
      </c>
      <c r="Y8" s="206">
        <v>60545.549999999988</v>
      </c>
      <c r="Z8" s="206"/>
      <c r="AA8" s="430">
        <f t="shared" si="5"/>
        <v>0.13489568689197529</v>
      </c>
      <c r="AB8" s="430">
        <f t="shared" si="6"/>
        <v>0.47162388799766641</v>
      </c>
    </row>
    <row r="9" spans="2:32" ht="13" customHeight="1">
      <c r="B9" s="53" t="str">
        <f>IF('Summary | Sumário'!D$6=Names!B$3,Names!AV8,Names!AW8)</f>
        <v>(÷) Total net revenues excluding tax expenses</v>
      </c>
      <c r="C9" s="201">
        <f t="shared" ref="C9:S9" si="7">SUM(C10:C13)</f>
        <v>712223.66099999996</v>
      </c>
      <c r="D9" s="201">
        <f t="shared" si="7"/>
        <v>1011378.89518</v>
      </c>
      <c r="E9" s="201">
        <f t="shared" si="7"/>
        <v>2075101.6869999995</v>
      </c>
      <c r="F9" s="201">
        <f t="shared" si="7"/>
        <v>3314109.1849999996</v>
      </c>
      <c r="G9" s="201">
        <f t="shared" ref="G9:H9" si="8">SUM(G10:G13)</f>
        <v>4425993</v>
      </c>
      <c r="H9" s="201">
        <f t="shared" si="8"/>
        <v>5923127.8012114009</v>
      </c>
      <c r="I9" s="206"/>
      <c r="J9" s="201">
        <f t="shared" si="7"/>
        <v>389231.652</v>
      </c>
      <c r="K9" s="201">
        <f t="shared" si="7"/>
        <v>437040.34700000007</v>
      </c>
      <c r="L9" s="201">
        <f t="shared" si="7"/>
        <v>565864.06799999997</v>
      </c>
      <c r="M9" s="201">
        <f t="shared" si="7"/>
        <v>682964.62</v>
      </c>
      <c r="N9" s="201">
        <f t="shared" si="7"/>
        <v>776828.0149999999</v>
      </c>
      <c r="O9" s="201">
        <f t="shared" si="7"/>
        <v>815420.3110000001</v>
      </c>
      <c r="P9" s="201">
        <f t="shared" si="7"/>
        <v>788759.46699999995</v>
      </c>
      <c r="Q9" s="201">
        <f t="shared" si="7"/>
        <v>933101.39199999999</v>
      </c>
      <c r="R9" s="201">
        <f t="shared" si="7"/>
        <v>955243.12400000007</v>
      </c>
      <c r="S9" s="201">
        <f t="shared" si="7"/>
        <v>1077571</v>
      </c>
      <c r="T9" s="201">
        <f t="shared" ref="T9:U9" si="9">SUM(T10:T13)</f>
        <v>1171423.6082400002</v>
      </c>
      <c r="U9" s="201">
        <f t="shared" si="9"/>
        <v>1221755.8627599997</v>
      </c>
      <c r="V9" s="201">
        <f t="shared" ref="V9:W9" si="10">SUM(V10:V13)</f>
        <v>1314608.115371532</v>
      </c>
      <c r="W9" s="201">
        <f t="shared" si="10"/>
        <v>1379180.5400425298</v>
      </c>
      <c r="X9" s="201">
        <f t="shared" ref="X9:Y9" si="11">SUM(X10:X13)</f>
        <v>1552510.3355535723</v>
      </c>
      <c r="Y9" s="201">
        <f t="shared" si="11"/>
        <v>1676828.8102437663</v>
      </c>
      <c r="Z9" s="206"/>
      <c r="AA9" s="431">
        <f t="shared" si="5"/>
        <v>8.0075779106402178E-2</v>
      </c>
      <c r="AB9" s="431">
        <f t="shared" si="6"/>
        <v>0.37247453550641207</v>
      </c>
    </row>
    <row r="10" spans="2:32" ht="13" customHeight="1">
      <c r="B10" s="55" t="str">
        <f>IF('Summary | Sumário'!D$6=Names!B$3,Names!AV9,Names!AW9)</f>
        <v>Net interest income and income from securities, derivatives and foreing exchange</v>
      </c>
      <c r="C10" s="206">
        <v>591527</v>
      </c>
      <c r="D10" s="206">
        <v>733280.89517999999</v>
      </c>
      <c r="E10" s="206">
        <v>1614135.9119999998</v>
      </c>
      <c r="F10" s="206">
        <v>2435209.1849999996</v>
      </c>
      <c r="G10" s="206">
        <v>3296797</v>
      </c>
      <c r="H10" s="206">
        <v>4456744.3939420003</v>
      </c>
      <c r="I10" s="206"/>
      <c r="J10" s="206">
        <v>297457.33899999998</v>
      </c>
      <c r="K10" s="206">
        <v>308984.34700000007</v>
      </c>
      <c r="L10" s="206">
        <v>453160.88</v>
      </c>
      <c r="M10" s="206">
        <v>554532.34600000002</v>
      </c>
      <c r="N10" s="206">
        <v>560444.0149999999</v>
      </c>
      <c r="O10" s="206">
        <v>586650.3110000001</v>
      </c>
      <c r="P10" s="206">
        <v>586724.46699999995</v>
      </c>
      <c r="Q10" s="206">
        <v>701390.39199999999</v>
      </c>
      <c r="R10" s="206">
        <v>726481.12400000007</v>
      </c>
      <c r="S10" s="206">
        <v>828266</v>
      </c>
      <c r="T10" s="206">
        <v>845216.10796000005</v>
      </c>
      <c r="U10" s="206">
        <v>896833.76303999987</v>
      </c>
      <c r="V10" s="206">
        <v>992420.72051999974</v>
      </c>
      <c r="W10" s="206">
        <v>1041865.7258038499</v>
      </c>
      <c r="X10" s="206">
        <v>1164350.1315736333</v>
      </c>
      <c r="Y10" s="206">
        <v>1258107.8160445173</v>
      </c>
      <c r="Z10" s="206"/>
      <c r="AA10" s="430">
        <f t="shared" si="5"/>
        <v>8.0523617362562083E-2</v>
      </c>
      <c r="AB10" s="430">
        <f t="shared" si="6"/>
        <v>0.40283279677150619</v>
      </c>
    </row>
    <row r="11" spans="2:32" ht="13" customHeight="1">
      <c r="B11" s="69" t="str">
        <f>IF('Summary | Sumário'!D$6=Names!B$3,Names!AV10,Names!AW10)</f>
        <v>Net result from services and commissions</v>
      </c>
      <c r="C11" s="201">
        <v>73829.660999999993</v>
      </c>
      <c r="D11" s="201">
        <v>185534</v>
      </c>
      <c r="E11" s="201">
        <v>442272</v>
      </c>
      <c r="F11" s="201">
        <v>838806</v>
      </c>
      <c r="G11" s="201">
        <v>1168800</v>
      </c>
      <c r="H11" s="201">
        <v>1609850.2739999997</v>
      </c>
      <c r="I11" s="206"/>
      <c r="J11" s="201">
        <v>77686</v>
      </c>
      <c r="K11" s="201">
        <v>89070</v>
      </c>
      <c r="L11" s="201">
        <v>122853</v>
      </c>
      <c r="M11" s="201">
        <v>152663</v>
      </c>
      <c r="N11" s="201">
        <v>177703</v>
      </c>
      <c r="O11" s="201">
        <v>204561</v>
      </c>
      <c r="P11" s="201">
        <v>217029</v>
      </c>
      <c r="Q11" s="201">
        <v>239513</v>
      </c>
      <c r="R11" s="201">
        <v>246675</v>
      </c>
      <c r="S11" s="201">
        <v>266801</v>
      </c>
      <c r="T11" s="201">
        <v>315509</v>
      </c>
      <c r="U11" s="201">
        <v>339815.6</v>
      </c>
      <c r="V11" s="201">
        <v>340317.39485153224</v>
      </c>
      <c r="W11" s="201">
        <v>364200.86699999997</v>
      </c>
      <c r="X11" s="201">
        <v>429990.49199999997</v>
      </c>
      <c r="Y11" s="201">
        <v>475341.5201484678</v>
      </c>
      <c r="Z11" s="206"/>
      <c r="AA11" s="431">
        <f t="shared" si="5"/>
        <v>0.10546983943186317</v>
      </c>
      <c r="AB11" s="431">
        <f t="shared" si="6"/>
        <v>0.39882194975294794</v>
      </c>
    </row>
    <row r="12" spans="2:32" ht="13" customHeight="1">
      <c r="B12" s="65" t="str">
        <f>IF('Summary | Sumário'!D$6=Names!B$3,Names!AV12,Names!AW12)</f>
        <v>Other revenues</v>
      </c>
      <c r="C12" s="206">
        <v>46867</v>
      </c>
      <c r="D12" s="206">
        <v>92564</v>
      </c>
      <c r="E12" s="206">
        <v>165415</v>
      </c>
      <c r="F12" s="206">
        <v>288682</v>
      </c>
      <c r="G12" s="206">
        <v>286980</v>
      </c>
      <c r="H12" s="206">
        <v>333570.52926939999</v>
      </c>
      <c r="I12" s="206"/>
      <c r="J12" s="206">
        <v>41623</v>
      </c>
      <c r="K12" s="206">
        <v>69359</v>
      </c>
      <c r="L12" s="206">
        <v>30496</v>
      </c>
      <c r="M12" s="206">
        <v>23937</v>
      </c>
      <c r="N12" s="206">
        <v>95374</v>
      </c>
      <c r="O12" s="206">
        <v>85809</v>
      </c>
      <c r="P12" s="206">
        <v>46550</v>
      </c>
      <c r="Q12" s="206">
        <v>60949</v>
      </c>
      <c r="R12" s="206">
        <v>50958</v>
      </c>
      <c r="S12" s="206">
        <v>54967</v>
      </c>
      <c r="T12" s="206">
        <v>104770.50028000001</v>
      </c>
      <c r="U12" s="206">
        <v>76284.499719999993</v>
      </c>
      <c r="V12" s="206">
        <v>68201</v>
      </c>
      <c r="W12" s="206">
        <v>72531.218238679983</v>
      </c>
      <c r="X12" s="206">
        <v>81802.620979938802</v>
      </c>
      <c r="Y12" s="206">
        <v>111035.69005078121</v>
      </c>
      <c r="Z12" s="206"/>
      <c r="AA12" s="430">
        <f t="shared" si="5"/>
        <v>0.35736103220960969</v>
      </c>
      <c r="AB12" s="430">
        <f t="shared" si="6"/>
        <v>0.4555472010478463</v>
      </c>
    </row>
    <row r="13" spans="2:32" ht="13" customHeight="1">
      <c r="B13" s="69" t="str">
        <f>IF('Summary | Sumário'!D$6=Names!B$3,Names!AV13,Names!AW13)</f>
        <v>Tax expenses</v>
      </c>
      <c r="C13" s="201">
        <v>0</v>
      </c>
      <c r="D13" s="201">
        <v>0</v>
      </c>
      <c r="E13" s="201">
        <v>-146721.22500000001</v>
      </c>
      <c r="F13" s="201">
        <v>-248588</v>
      </c>
      <c r="G13" s="201">
        <v>-326584</v>
      </c>
      <c r="H13" s="201">
        <v>-477037.39600000001</v>
      </c>
      <c r="I13" s="206"/>
      <c r="J13" s="201">
        <v>-27534.687000000002</v>
      </c>
      <c r="K13" s="201">
        <v>-30373</v>
      </c>
      <c r="L13" s="201">
        <v>-40645.811999999998</v>
      </c>
      <c r="M13" s="201">
        <v>-48167.726000000002</v>
      </c>
      <c r="N13" s="201">
        <v>-56693</v>
      </c>
      <c r="O13" s="201">
        <v>-61600</v>
      </c>
      <c r="P13" s="201">
        <v>-61544</v>
      </c>
      <c r="Q13" s="201">
        <v>-68751</v>
      </c>
      <c r="R13" s="201">
        <v>-68871</v>
      </c>
      <c r="S13" s="201">
        <v>-72463</v>
      </c>
      <c r="T13" s="201">
        <v>-94072</v>
      </c>
      <c r="U13" s="201">
        <v>-91178</v>
      </c>
      <c r="V13" s="201">
        <v>-86331</v>
      </c>
      <c r="W13" s="201">
        <v>-99417.270999999993</v>
      </c>
      <c r="X13" s="201">
        <v>-123632.909</v>
      </c>
      <c r="Y13" s="201">
        <v>-167656.21600000001</v>
      </c>
      <c r="Z13" s="206"/>
      <c r="AA13" s="431">
        <f t="shared" si="5"/>
        <v>0.35608081501989108</v>
      </c>
      <c r="AB13" s="431">
        <f t="shared" si="6"/>
        <v>0.83877926692842597</v>
      </c>
    </row>
    <row r="14" spans="2:32" ht="13" customHeight="1">
      <c r="B14" s="342" t="str">
        <f>IF('Summary | Sumário'!D$6=Names!B$3,Names!AV14,Names!AW14)</f>
        <v> (=) Efficiency ratio (%)</v>
      </c>
      <c r="C14" s="357">
        <f>C5/C9</f>
        <v>0.80448043413149117</v>
      </c>
      <c r="D14" s="357">
        <f t="shared" ref="D14:R14" si="12">D5/D9</f>
        <v>0.90379777979974207</v>
      </c>
      <c r="E14" s="357">
        <f t="shared" si="12"/>
        <v>0.82011320489086004</v>
      </c>
      <c r="F14" s="357">
        <f t="shared" si="12"/>
        <v>0.72178098742996011</v>
      </c>
      <c r="G14" s="357">
        <f>G5/G9</f>
        <v>0.54508152181894554</v>
      </c>
      <c r="H14" s="357">
        <f>H5/H9</f>
        <v>0.49224764091763995</v>
      </c>
      <c r="I14" s="404"/>
      <c r="J14" s="357">
        <f t="shared" si="12"/>
        <v>0.8224467649408943</v>
      </c>
      <c r="K14" s="357">
        <f t="shared" si="12"/>
        <v>0.8949860183046211</v>
      </c>
      <c r="L14" s="357">
        <f t="shared" si="12"/>
        <v>0.68477256272790943</v>
      </c>
      <c r="M14" s="357">
        <f t="shared" si="12"/>
        <v>0.88300737159708209</v>
      </c>
      <c r="N14" s="357">
        <f t="shared" si="12"/>
        <v>0.71882577509772239</v>
      </c>
      <c r="O14" s="357">
        <f t="shared" si="12"/>
        <v>0.68258662740128873</v>
      </c>
      <c r="P14" s="357">
        <f t="shared" si="12"/>
        <v>0.75028956831525428</v>
      </c>
      <c r="Q14" s="357">
        <f t="shared" si="12"/>
        <v>0.73439393175827561</v>
      </c>
      <c r="R14" s="357">
        <f t="shared" si="12"/>
        <v>0.62351037661067732</v>
      </c>
      <c r="S14" s="357">
        <f t="shared" ref="S14:T14" si="13">S5/S9</f>
        <v>0.53383674950420901</v>
      </c>
      <c r="T14" s="357">
        <f t="shared" si="13"/>
        <v>0.5242586846296321</v>
      </c>
      <c r="U14" s="357">
        <f t="shared" ref="U14:V14" si="14">U5/U9</f>
        <v>0.51364353479126668</v>
      </c>
      <c r="V14" s="357">
        <f t="shared" si="14"/>
        <v>0.47740995408553893</v>
      </c>
      <c r="W14" s="357">
        <f t="shared" ref="W14:X14" si="15">W5/W9</f>
        <v>0.47859484625533177</v>
      </c>
      <c r="X14" s="357">
        <f t="shared" si="15"/>
        <v>0.50700442145484104</v>
      </c>
      <c r="Y14" s="357">
        <f t="shared" ref="Y14" si="16">Y5/Y9</f>
        <v>0.50144676598069915</v>
      </c>
      <c r="Z14" s="404"/>
      <c r="AA14" s="455">
        <f>(Y14-X14)*100</f>
        <v>-0.55576554741418871</v>
      </c>
      <c r="AB14" s="455">
        <f>(Y14-U14)*100</f>
        <v>-1.2196768810567526</v>
      </c>
      <c r="AD14" s="212"/>
      <c r="AE14" s="212"/>
    </row>
    <row r="15" spans="2:32" ht="13" customHeight="1">
      <c r="B15" s="112"/>
      <c r="C15" s="213"/>
      <c r="D15" s="213"/>
      <c r="E15" s="213"/>
      <c r="F15" s="213"/>
      <c r="G15" s="213"/>
      <c r="H15" s="213"/>
      <c r="J15" s="213"/>
      <c r="K15" s="213"/>
      <c r="L15" s="213"/>
      <c r="M15" s="213"/>
      <c r="N15" s="213"/>
      <c r="O15" s="213"/>
      <c r="P15" s="213"/>
      <c r="Q15" s="213"/>
      <c r="R15" s="213"/>
      <c r="S15" s="213"/>
      <c r="T15" s="213"/>
      <c r="U15" s="213"/>
      <c r="V15" s="213"/>
      <c r="W15" s="213"/>
      <c r="X15" s="213"/>
      <c r="Y15" s="213"/>
      <c r="AA15" s="213"/>
      <c r="AB15" s="213"/>
    </row>
    <row r="16" spans="2:32" ht="13" customHeight="1">
      <c r="B16" s="3" t="str">
        <f>IF('Summary | Sumário'!D$6=Names!B$3,Names!AV17,Names!AW17)</f>
        <v>Personnel efficiency ratio </v>
      </c>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row>
    <row r="17" spans="1:33" ht="13" customHeight="1">
      <c r="B17" s="359" t="str">
        <f>IF('Summary | Sumário'!D$6=Names!B$3,Names!AV18,Names!AW18)</f>
        <v>Personnel expenses</v>
      </c>
      <c r="C17" s="360">
        <f>C6</f>
        <v>169198</v>
      </c>
      <c r="D17" s="360">
        <f t="shared" ref="D17:S17" si="17">D6</f>
        <v>229096</v>
      </c>
      <c r="E17" s="360">
        <f t="shared" si="17"/>
        <v>443328</v>
      </c>
      <c r="F17" s="360">
        <f t="shared" si="17"/>
        <v>733605</v>
      </c>
      <c r="G17" s="360">
        <f t="shared" ref="G17:H17" si="18">G6</f>
        <v>790739</v>
      </c>
      <c r="H17" s="360">
        <f t="shared" si="18"/>
        <v>937761.13</v>
      </c>
      <c r="I17" s="206"/>
      <c r="J17" s="360">
        <f t="shared" si="17"/>
        <v>81861</v>
      </c>
      <c r="K17" s="360">
        <f t="shared" si="17"/>
        <v>93046</v>
      </c>
      <c r="L17" s="360">
        <f t="shared" si="17"/>
        <v>121250</v>
      </c>
      <c r="M17" s="360">
        <f t="shared" si="17"/>
        <v>147171</v>
      </c>
      <c r="N17" s="360">
        <f t="shared" si="17"/>
        <v>145120</v>
      </c>
      <c r="O17" s="360">
        <f t="shared" si="17"/>
        <v>172466</v>
      </c>
      <c r="P17" s="360">
        <f t="shared" si="17"/>
        <v>176232</v>
      </c>
      <c r="Q17" s="360">
        <f t="shared" si="17"/>
        <v>239787</v>
      </c>
      <c r="R17" s="360">
        <f t="shared" si="17"/>
        <v>172412</v>
      </c>
      <c r="S17" s="360">
        <f t="shared" si="17"/>
        <v>186249</v>
      </c>
      <c r="T17" s="360">
        <f t="shared" ref="T17:U17" si="19">T6</f>
        <v>210661</v>
      </c>
      <c r="U17" s="360">
        <f t="shared" si="19"/>
        <v>221417</v>
      </c>
      <c r="V17" s="360">
        <f t="shared" ref="V17:W17" si="20">V6</f>
        <v>190463</v>
      </c>
      <c r="W17" s="360">
        <f t="shared" si="20"/>
        <v>204206.56551999997</v>
      </c>
      <c r="X17" s="360">
        <f t="shared" ref="X17:Y17" si="21">X6</f>
        <v>258954.60447999998</v>
      </c>
      <c r="Y17" s="360">
        <f t="shared" si="21"/>
        <v>284136.96000000008</v>
      </c>
      <c r="Z17" s="206"/>
      <c r="AA17" s="457">
        <f>Y17/X17-1</f>
        <v>9.7246216457776979E-2</v>
      </c>
      <c r="AB17" s="457">
        <f>Y17/U17-1</f>
        <v>0.28326623520325933</v>
      </c>
    </row>
    <row r="18" spans="1:33" ht="13" customHeight="1">
      <c r="B18" s="64" t="str">
        <f>IF('Summary | Sumário'!D$6=Names!B$3,Names!AV19,Names!AW19)</f>
        <v>(÷) Total net revenues excluding tax expenses</v>
      </c>
      <c r="C18" s="206">
        <f>C9</f>
        <v>712223.66099999996</v>
      </c>
      <c r="D18" s="206">
        <f t="shared" ref="D18:S18" si="22">D9</f>
        <v>1011378.89518</v>
      </c>
      <c r="E18" s="206">
        <f t="shared" si="22"/>
        <v>2075101.6869999995</v>
      </c>
      <c r="F18" s="206">
        <f t="shared" si="22"/>
        <v>3314109.1849999996</v>
      </c>
      <c r="G18" s="206">
        <f t="shared" ref="G18:H18" si="23">G9</f>
        <v>4425993</v>
      </c>
      <c r="H18" s="206">
        <f t="shared" si="23"/>
        <v>5923127.8012114009</v>
      </c>
      <c r="I18" s="206"/>
      <c r="J18" s="206">
        <f t="shared" si="22"/>
        <v>389231.652</v>
      </c>
      <c r="K18" s="206">
        <f t="shared" si="22"/>
        <v>437040.34700000007</v>
      </c>
      <c r="L18" s="206">
        <f t="shared" si="22"/>
        <v>565864.06799999997</v>
      </c>
      <c r="M18" s="206">
        <f t="shared" si="22"/>
        <v>682964.62</v>
      </c>
      <c r="N18" s="206">
        <f t="shared" si="22"/>
        <v>776828.0149999999</v>
      </c>
      <c r="O18" s="206">
        <f t="shared" si="22"/>
        <v>815420.3110000001</v>
      </c>
      <c r="P18" s="206">
        <f t="shared" si="22"/>
        <v>788759.46699999995</v>
      </c>
      <c r="Q18" s="206">
        <f t="shared" si="22"/>
        <v>933101.39199999999</v>
      </c>
      <c r="R18" s="206">
        <f t="shared" si="22"/>
        <v>955243.12400000007</v>
      </c>
      <c r="S18" s="206">
        <f t="shared" si="22"/>
        <v>1077571</v>
      </c>
      <c r="T18" s="206">
        <f t="shared" ref="T18:U18" si="24">T9</f>
        <v>1171423.6082400002</v>
      </c>
      <c r="U18" s="206">
        <f t="shared" si="24"/>
        <v>1221755.8627599997</v>
      </c>
      <c r="V18" s="206">
        <f t="shared" ref="V18:W18" si="25">V9</f>
        <v>1314608.115371532</v>
      </c>
      <c r="W18" s="206">
        <f t="shared" si="25"/>
        <v>1379180.5400425298</v>
      </c>
      <c r="X18" s="206">
        <f t="shared" ref="X18:Y18" si="26">X9</f>
        <v>1552510.3355535723</v>
      </c>
      <c r="Y18" s="206">
        <f t="shared" si="26"/>
        <v>1676828.8102437663</v>
      </c>
      <c r="Z18" s="206"/>
      <c r="AA18" s="430">
        <f t="shared" ref="AA18:AA22" si="27">Y18/X18-1</f>
        <v>8.0075779106402178E-2</v>
      </c>
      <c r="AB18" s="430">
        <f t="shared" ref="AB18:AB22" si="28">Y18/U18-1</f>
        <v>0.37247453550641207</v>
      </c>
    </row>
    <row r="19" spans="1:33" ht="13" customHeight="1">
      <c r="B19" s="113" t="str">
        <f>B10</f>
        <v>Net interest income and income from securities, derivatives and foreing exchange</v>
      </c>
      <c r="C19" s="214">
        <f t="shared" ref="C19:S22" si="29">C10</f>
        <v>591527</v>
      </c>
      <c r="D19" s="214">
        <f t="shared" si="29"/>
        <v>733280.89517999999</v>
      </c>
      <c r="E19" s="214">
        <f t="shared" si="29"/>
        <v>1614135.9119999998</v>
      </c>
      <c r="F19" s="214">
        <f t="shared" si="29"/>
        <v>2435209.1849999996</v>
      </c>
      <c r="G19" s="214">
        <f t="shared" ref="G19:H19" si="30">G10</f>
        <v>3296797</v>
      </c>
      <c r="H19" s="214">
        <f t="shared" si="30"/>
        <v>4456744.3939420003</v>
      </c>
      <c r="I19" s="206"/>
      <c r="J19" s="214">
        <f t="shared" si="29"/>
        <v>297457.33899999998</v>
      </c>
      <c r="K19" s="214">
        <f t="shared" si="29"/>
        <v>308984.34700000007</v>
      </c>
      <c r="L19" s="214">
        <f t="shared" si="29"/>
        <v>453160.88</v>
      </c>
      <c r="M19" s="214">
        <f t="shared" si="29"/>
        <v>554532.34600000002</v>
      </c>
      <c r="N19" s="214">
        <f t="shared" si="29"/>
        <v>560444.0149999999</v>
      </c>
      <c r="O19" s="214">
        <f t="shared" si="29"/>
        <v>586650.3110000001</v>
      </c>
      <c r="P19" s="214">
        <f t="shared" si="29"/>
        <v>586724.46699999995</v>
      </c>
      <c r="Q19" s="214">
        <f t="shared" si="29"/>
        <v>701390.39199999999</v>
      </c>
      <c r="R19" s="214">
        <f t="shared" si="29"/>
        <v>726481.12400000007</v>
      </c>
      <c r="S19" s="214">
        <f t="shared" si="29"/>
        <v>828266</v>
      </c>
      <c r="T19" s="214">
        <f t="shared" ref="T19:U19" si="31">T10</f>
        <v>845216.10796000005</v>
      </c>
      <c r="U19" s="214">
        <f t="shared" si="31"/>
        <v>896833.76303999987</v>
      </c>
      <c r="V19" s="214">
        <f t="shared" ref="V19:W19" si="32">V10</f>
        <v>992420.72051999974</v>
      </c>
      <c r="W19" s="214">
        <f t="shared" si="32"/>
        <v>1041865.7258038499</v>
      </c>
      <c r="X19" s="214">
        <f t="shared" ref="X19:Y19" si="33">X10</f>
        <v>1164350.1315736333</v>
      </c>
      <c r="Y19" s="214">
        <f t="shared" si="33"/>
        <v>1258107.8160445173</v>
      </c>
      <c r="Z19" s="206"/>
      <c r="AA19" s="454">
        <f t="shared" si="27"/>
        <v>8.0523617362562083E-2</v>
      </c>
      <c r="AB19" s="454">
        <f t="shared" si="28"/>
        <v>0.40283279677150619</v>
      </c>
    </row>
    <row r="20" spans="1:33" ht="13" customHeight="1">
      <c r="B20" s="65" t="str">
        <f>IF('Summary | Sumário'!D$6=Names!B$3,Names!AV21,Names!AW21)</f>
        <v>Net result from services and commissions</v>
      </c>
      <c r="C20" s="206">
        <f t="shared" si="29"/>
        <v>73829.660999999993</v>
      </c>
      <c r="D20" s="206">
        <f t="shared" si="29"/>
        <v>185534</v>
      </c>
      <c r="E20" s="206">
        <f t="shared" si="29"/>
        <v>442272</v>
      </c>
      <c r="F20" s="206">
        <f t="shared" si="29"/>
        <v>838806</v>
      </c>
      <c r="G20" s="206">
        <f t="shared" ref="G20:H20" si="34">G11</f>
        <v>1168800</v>
      </c>
      <c r="H20" s="206">
        <f t="shared" si="34"/>
        <v>1609850.2739999997</v>
      </c>
      <c r="I20" s="206"/>
      <c r="J20" s="206">
        <f t="shared" si="29"/>
        <v>77686</v>
      </c>
      <c r="K20" s="206">
        <f t="shared" si="29"/>
        <v>89070</v>
      </c>
      <c r="L20" s="206">
        <f t="shared" si="29"/>
        <v>122853</v>
      </c>
      <c r="M20" s="206">
        <f t="shared" si="29"/>
        <v>152663</v>
      </c>
      <c r="N20" s="206">
        <f t="shared" si="29"/>
        <v>177703</v>
      </c>
      <c r="O20" s="206">
        <f t="shared" si="29"/>
        <v>204561</v>
      </c>
      <c r="P20" s="206">
        <f t="shared" si="29"/>
        <v>217029</v>
      </c>
      <c r="Q20" s="206">
        <f t="shared" si="29"/>
        <v>239513</v>
      </c>
      <c r="R20" s="206">
        <f t="shared" si="29"/>
        <v>246675</v>
      </c>
      <c r="S20" s="206">
        <f t="shared" si="29"/>
        <v>266801</v>
      </c>
      <c r="T20" s="206">
        <f t="shared" ref="T20:U20" si="35">T11</f>
        <v>315509</v>
      </c>
      <c r="U20" s="206">
        <f t="shared" si="35"/>
        <v>339815.6</v>
      </c>
      <c r="V20" s="206">
        <f t="shared" ref="V20:W20" si="36">V11</f>
        <v>340317.39485153224</v>
      </c>
      <c r="W20" s="206">
        <f t="shared" si="36"/>
        <v>364200.86699999997</v>
      </c>
      <c r="X20" s="206">
        <f t="shared" ref="X20:Y20" si="37">X11</f>
        <v>429990.49199999997</v>
      </c>
      <c r="Y20" s="206">
        <f t="shared" si="37"/>
        <v>475341.5201484678</v>
      </c>
      <c r="Z20" s="206"/>
      <c r="AA20" s="430">
        <f t="shared" si="27"/>
        <v>0.10546983943186317</v>
      </c>
      <c r="AB20" s="430">
        <f t="shared" si="28"/>
        <v>0.39882194975294794</v>
      </c>
    </row>
    <row r="21" spans="1:33" ht="13" customHeight="1">
      <c r="B21" s="113" t="str">
        <f>IF('Summary | Sumário'!D$6=Names!B$3,Names!AV23,Names!AW23)</f>
        <v>Other revenues</v>
      </c>
      <c r="C21" s="214">
        <f t="shared" si="29"/>
        <v>46867</v>
      </c>
      <c r="D21" s="214">
        <f t="shared" si="29"/>
        <v>92564</v>
      </c>
      <c r="E21" s="214">
        <f t="shared" si="29"/>
        <v>165415</v>
      </c>
      <c r="F21" s="214">
        <f t="shared" si="29"/>
        <v>288682</v>
      </c>
      <c r="G21" s="214">
        <f t="shared" ref="G21:H21" si="38">G12</f>
        <v>286980</v>
      </c>
      <c r="H21" s="214">
        <f t="shared" si="38"/>
        <v>333570.52926939999</v>
      </c>
      <c r="I21" s="206"/>
      <c r="J21" s="214">
        <f t="shared" si="29"/>
        <v>41623</v>
      </c>
      <c r="K21" s="214">
        <f t="shared" si="29"/>
        <v>69359</v>
      </c>
      <c r="L21" s="214">
        <f t="shared" si="29"/>
        <v>30496</v>
      </c>
      <c r="M21" s="214">
        <f t="shared" si="29"/>
        <v>23937</v>
      </c>
      <c r="N21" s="214">
        <f t="shared" si="29"/>
        <v>95374</v>
      </c>
      <c r="O21" s="214">
        <f t="shared" si="29"/>
        <v>85809</v>
      </c>
      <c r="P21" s="214">
        <f t="shared" si="29"/>
        <v>46550</v>
      </c>
      <c r="Q21" s="214">
        <f t="shared" si="29"/>
        <v>60949</v>
      </c>
      <c r="R21" s="214">
        <f t="shared" si="29"/>
        <v>50958</v>
      </c>
      <c r="S21" s="214">
        <f t="shared" si="29"/>
        <v>54967</v>
      </c>
      <c r="T21" s="214">
        <f t="shared" ref="T21:U21" si="39">T12</f>
        <v>104770.50028000001</v>
      </c>
      <c r="U21" s="214">
        <f t="shared" si="39"/>
        <v>76284.499719999993</v>
      </c>
      <c r="V21" s="214">
        <f t="shared" ref="V21:W21" si="40">V12</f>
        <v>68201</v>
      </c>
      <c r="W21" s="214">
        <f t="shared" si="40"/>
        <v>72531.218238679983</v>
      </c>
      <c r="X21" s="214">
        <f t="shared" ref="X21:Y21" si="41">X12</f>
        <v>81802.620979938802</v>
      </c>
      <c r="Y21" s="214">
        <f t="shared" si="41"/>
        <v>111035.69005078121</v>
      </c>
      <c r="Z21" s="206"/>
      <c r="AA21" s="454">
        <f t="shared" si="27"/>
        <v>0.35736103220960969</v>
      </c>
      <c r="AB21" s="454">
        <f t="shared" si="28"/>
        <v>0.4555472010478463</v>
      </c>
    </row>
    <row r="22" spans="1:33" ht="13" customHeight="1">
      <c r="B22" s="65" t="str">
        <f>IF('Summary | Sumário'!D$6=Names!B$3,Names!AV24,Names!AW24)</f>
        <v>Tax expenses</v>
      </c>
      <c r="C22" s="206">
        <f t="shared" si="29"/>
        <v>0</v>
      </c>
      <c r="D22" s="206">
        <f t="shared" si="29"/>
        <v>0</v>
      </c>
      <c r="E22" s="206">
        <f t="shared" si="29"/>
        <v>-146721.22500000001</v>
      </c>
      <c r="F22" s="206">
        <f t="shared" si="29"/>
        <v>-248588</v>
      </c>
      <c r="G22" s="206">
        <f t="shared" ref="G22:H22" si="42">G13</f>
        <v>-326584</v>
      </c>
      <c r="H22" s="206">
        <f t="shared" si="42"/>
        <v>-477037.39600000001</v>
      </c>
      <c r="I22" s="206"/>
      <c r="J22" s="206">
        <f t="shared" si="29"/>
        <v>-27534.687000000002</v>
      </c>
      <c r="K22" s="206">
        <f t="shared" si="29"/>
        <v>-30373</v>
      </c>
      <c r="L22" s="206">
        <f t="shared" si="29"/>
        <v>-40645.811999999998</v>
      </c>
      <c r="M22" s="206">
        <f t="shared" si="29"/>
        <v>-48167.726000000002</v>
      </c>
      <c r="N22" s="206">
        <f t="shared" si="29"/>
        <v>-56693</v>
      </c>
      <c r="O22" s="206">
        <f t="shared" si="29"/>
        <v>-61600</v>
      </c>
      <c r="P22" s="206">
        <f t="shared" si="29"/>
        <v>-61544</v>
      </c>
      <c r="Q22" s="206">
        <f t="shared" si="29"/>
        <v>-68751</v>
      </c>
      <c r="R22" s="206">
        <f t="shared" si="29"/>
        <v>-68871</v>
      </c>
      <c r="S22" s="206">
        <f t="shared" si="29"/>
        <v>-72463</v>
      </c>
      <c r="T22" s="206">
        <f t="shared" ref="T22:U22" si="43">T13</f>
        <v>-94072</v>
      </c>
      <c r="U22" s="206">
        <f t="shared" si="43"/>
        <v>-91178</v>
      </c>
      <c r="V22" s="206">
        <f t="shared" ref="V22:W22" si="44">V13</f>
        <v>-86331</v>
      </c>
      <c r="W22" s="206">
        <f t="shared" si="44"/>
        <v>-99417.270999999993</v>
      </c>
      <c r="X22" s="206">
        <f t="shared" ref="X22:Y22" si="45">X13</f>
        <v>-123632.909</v>
      </c>
      <c r="Y22" s="206">
        <f t="shared" si="45"/>
        <v>-167656.21600000001</v>
      </c>
      <c r="Z22" s="206"/>
      <c r="AA22" s="430">
        <f t="shared" si="27"/>
        <v>0.35608081501989108</v>
      </c>
      <c r="AB22" s="430">
        <f t="shared" si="28"/>
        <v>0.83877926692842597</v>
      </c>
    </row>
    <row r="23" spans="1:33" ht="13" customHeight="1">
      <c r="B23" s="361" t="str">
        <f>IF('Summary | Sumário'!D$6=Names!B$3,Names!AV25,Names!AW25)</f>
        <v> (=) Personnel efficiency ratio (%)</v>
      </c>
      <c r="C23" s="362">
        <f t="shared" ref="C23:R23" si="46">C17/C18</f>
        <v>0.23756301463284299</v>
      </c>
      <c r="D23" s="362">
        <f t="shared" si="46"/>
        <v>0.22651847007270867</v>
      </c>
      <c r="E23" s="362">
        <f t="shared" si="46"/>
        <v>0.21364157851990609</v>
      </c>
      <c r="F23" s="362">
        <f t="shared" si="46"/>
        <v>0.22135812643722541</v>
      </c>
      <c r="G23" s="362">
        <f t="shared" ref="G23:H23" si="47">G17/G18</f>
        <v>0.17865798703251451</v>
      </c>
      <c r="H23" s="362">
        <f t="shared" si="47"/>
        <v>0.15832194770611038</v>
      </c>
      <c r="I23" s="404"/>
      <c r="J23" s="362">
        <f t="shared" si="46"/>
        <v>0.2103143451447777</v>
      </c>
      <c r="K23" s="362">
        <f t="shared" si="46"/>
        <v>0.21290025197604923</v>
      </c>
      <c r="L23" s="362">
        <f t="shared" si="46"/>
        <v>0.21427407544809862</v>
      </c>
      <c r="M23" s="362">
        <f t="shared" si="46"/>
        <v>0.21548846849489803</v>
      </c>
      <c r="N23" s="362">
        <f t="shared" si="46"/>
        <v>0.18681097642957692</v>
      </c>
      <c r="O23" s="362">
        <f t="shared" si="46"/>
        <v>0.21150564644201017</v>
      </c>
      <c r="P23" s="362">
        <f t="shared" si="46"/>
        <v>0.22342933095977663</v>
      </c>
      <c r="Q23" s="362">
        <f t="shared" si="46"/>
        <v>0.25697850421811397</v>
      </c>
      <c r="R23" s="362">
        <f t="shared" si="46"/>
        <v>0.18049017644643103</v>
      </c>
      <c r="S23" s="362">
        <f t="shared" ref="S23:X23" si="48">S17/S18</f>
        <v>0.17284151113940521</v>
      </c>
      <c r="T23" s="362">
        <f t="shared" si="48"/>
        <v>0.17983332290571352</v>
      </c>
      <c r="U23" s="362">
        <f t="shared" si="48"/>
        <v>0.18122851442661331</v>
      </c>
      <c r="V23" s="362">
        <f t="shared" si="48"/>
        <v>0.14488195970566614</v>
      </c>
      <c r="W23" s="362">
        <f t="shared" si="48"/>
        <v>0.14806369404958603</v>
      </c>
      <c r="X23" s="362">
        <f t="shared" si="48"/>
        <v>0.16679734656173198</v>
      </c>
      <c r="Y23" s="362">
        <f t="shared" ref="Y23" si="49">Y17/Y18</f>
        <v>0.1694489969782271</v>
      </c>
      <c r="Z23" s="404"/>
      <c r="AA23" s="460">
        <f>(Y23-X23)*100</f>
        <v>0.26516504164951216</v>
      </c>
      <c r="AB23" s="460">
        <f>(Y23-U23)*100</f>
        <v>-1.1779517448386208</v>
      </c>
    </row>
    <row r="24" spans="1:33" ht="13" customHeight="1">
      <c r="B24" s="72"/>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33" ht="13" customHeight="1">
      <c r="B25" s="358" t="str">
        <f>IF('Summary | Sumário'!D$6=Names!B$3,Names!AV27,Names!AW27)</f>
        <v>Administrative efficiency ratio </v>
      </c>
      <c r="C25" s="307"/>
      <c r="D25" s="307"/>
      <c r="E25" s="307"/>
      <c r="F25" s="307"/>
      <c r="G25" s="307"/>
      <c r="H25" s="307"/>
      <c r="I25" s="209"/>
      <c r="J25" s="307"/>
      <c r="K25" s="307"/>
      <c r="L25" s="307"/>
      <c r="M25" s="307"/>
      <c r="N25" s="307"/>
      <c r="O25" s="307"/>
      <c r="P25" s="307"/>
      <c r="Q25" s="307"/>
      <c r="R25" s="307"/>
      <c r="S25" s="307"/>
      <c r="T25" s="307"/>
      <c r="U25" s="307"/>
      <c r="V25" s="307"/>
      <c r="W25" s="307"/>
      <c r="X25" s="307"/>
      <c r="Y25" s="307"/>
      <c r="Z25" s="209"/>
      <c r="AA25" s="307"/>
      <c r="AB25" s="307"/>
    </row>
    <row r="26" spans="1:33" ht="13" customHeight="1">
      <c r="B26" s="363" t="str">
        <f>IF('Summary | Sumário'!D$6=Names!B$3,Names!AV37,Names!AW37)</f>
        <v>Administrative expenses + D&amp;A</v>
      </c>
      <c r="C26" s="347">
        <f t="shared" ref="C26:S26" si="50">SUM(C27:C28)</f>
        <v>403772</v>
      </c>
      <c r="D26" s="347">
        <f t="shared" si="50"/>
        <v>684986</v>
      </c>
      <c r="E26" s="347">
        <f t="shared" si="50"/>
        <v>1258490.2949999999</v>
      </c>
      <c r="F26" s="347">
        <f t="shared" si="50"/>
        <v>1658456</v>
      </c>
      <c r="G26" s="347">
        <f t="shared" ref="G26:H26" si="51">SUM(G27:G28)</f>
        <v>1621788</v>
      </c>
      <c r="H26" s="347">
        <f t="shared" si="51"/>
        <v>1977884.557</v>
      </c>
      <c r="I26" s="206"/>
      <c r="J26" s="347">
        <f t="shared" si="50"/>
        <v>238261.31299999999</v>
      </c>
      <c r="K26" s="347">
        <f t="shared" si="50"/>
        <v>298099</v>
      </c>
      <c r="L26" s="347">
        <f t="shared" si="50"/>
        <v>266238.18799999997</v>
      </c>
      <c r="M26" s="347">
        <f t="shared" si="50"/>
        <v>455891.79399999999</v>
      </c>
      <c r="N26" s="347">
        <f t="shared" si="50"/>
        <v>413284</v>
      </c>
      <c r="O26" s="347">
        <f t="shared" si="50"/>
        <v>384129</v>
      </c>
      <c r="P26" s="347">
        <f t="shared" si="50"/>
        <v>415566</v>
      </c>
      <c r="Q26" s="347">
        <f t="shared" si="50"/>
        <v>445477</v>
      </c>
      <c r="R26" s="347">
        <f t="shared" si="50"/>
        <v>423192</v>
      </c>
      <c r="S26" s="347">
        <f t="shared" si="50"/>
        <v>388998</v>
      </c>
      <c r="T26" s="347">
        <f t="shared" ref="T26:U26" si="52">SUM(T27:T28)</f>
        <v>403468</v>
      </c>
      <c r="U26" s="347">
        <f t="shared" si="52"/>
        <v>406130</v>
      </c>
      <c r="V26" s="347">
        <f t="shared" ref="V26:W26" si="53">SUM(V27:V28)</f>
        <v>437144</v>
      </c>
      <c r="W26" s="347">
        <f t="shared" si="53"/>
        <v>455862.13300000003</v>
      </c>
      <c r="X26" s="347">
        <f t="shared" ref="X26:Y26" si="54">SUM(X27:X28)</f>
        <v>528175</v>
      </c>
      <c r="Y26" s="347">
        <f t="shared" si="54"/>
        <v>556703.42400000012</v>
      </c>
      <c r="Z26" s="206"/>
      <c r="AA26" s="433">
        <f>Y26/X26-1</f>
        <v>5.4013203957022027E-2</v>
      </c>
      <c r="AB26" s="433">
        <f>Y26/U26-1</f>
        <v>0.37075178883608717</v>
      </c>
    </row>
    <row r="27" spans="1:33" ht="13" customHeight="1">
      <c r="B27" s="123" t="str">
        <f>IF('Summary | Sumário'!D$6=Names!B$3,Names!AV28,Names!AW28)</f>
        <v>Administrative expenses</v>
      </c>
      <c r="C27" s="216">
        <f t="shared" ref="C27:S27" si="55">C7</f>
        <v>386309</v>
      </c>
      <c r="D27" s="216">
        <f t="shared" si="55"/>
        <v>641327</v>
      </c>
      <c r="E27" s="216">
        <f t="shared" si="55"/>
        <v>1164239.7749999999</v>
      </c>
      <c r="F27" s="216">
        <f t="shared" si="55"/>
        <v>1494484</v>
      </c>
      <c r="G27" s="216">
        <f t="shared" ref="G27:H27" si="56">G7</f>
        <v>1461348</v>
      </c>
      <c r="H27" s="216">
        <f t="shared" si="56"/>
        <v>1769055.128</v>
      </c>
      <c r="I27" s="206"/>
      <c r="J27" s="216">
        <f t="shared" si="55"/>
        <v>219095.31299999999</v>
      </c>
      <c r="K27" s="216">
        <f t="shared" si="55"/>
        <v>272761</v>
      </c>
      <c r="L27" s="216">
        <f t="shared" si="55"/>
        <v>235355.18799999999</v>
      </c>
      <c r="M27" s="216">
        <f t="shared" si="55"/>
        <v>437028.27399999998</v>
      </c>
      <c r="N27" s="216">
        <f t="shared" si="55"/>
        <v>376806</v>
      </c>
      <c r="O27" s="216">
        <f t="shared" si="55"/>
        <v>348618</v>
      </c>
      <c r="P27" s="216">
        <f t="shared" si="55"/>
        <v>379946</v>
      </c>
      <c r="Q27" s="216">
        <f t="shared" si="55"/>
        <v>389114</v>
      </c>
      <c r="R27" s="216">
        <f t="shared" si="55"/>
        <v>385615</v>
      </c>
      <c r="S27" s="216">
        <f t="shared" si="55"/>
        <v>347868</v>
      </c>
      <c r="T27" s="216">
        <f t="shared" ref="T27:U27" si="57">T7</f>
        <v>362877</v>
      </c>
      <c r="U27" s="216">
        <f t="shared" si="57"/>
        <v>364988</v>
      </c>
      <c r="V27" s="216">
        <f t="shared" ref="V27:W27" si="58">V7</f>
        <v>395244</v>
      </c>
      <c r="W27" s="216">
        <f t="shared" si="58"/>
        <v>402827.25400000002</v>
      </c>
      <c r="X27" s="216">
        <f t="shared" ref="X27:Y27" si="59">X7</f>
        <v>474826</v>
      </c>
      <c r="Y27" s="216">
        <f t="shared" si="59"/>
        <v>496157.87400000007</v>
      </c>
      <c r="Z27" s="215"/>
      <c r="AA27" s="458">
        <f t="shared" ref="AA27:AA33" si="60">Y27/X27-1</f>
        <v>4.4925665401642112E-2</v>
      </c>
      <c r="AB27" s="458">
        <f t="shared" ref="AB27:AB33" si="61">Y27/U27-1</f>
        <v>0.35938133308492359</v>
      </c>
    </row>
    <row r="28" spans="1:33" ht="13" customHeight="1">
      <c r="B28" s="65" t="str">
        <f>IF('Summary | Sumário'!D$6=Names!B$3,Names!AV7,Names!AW7)</f>
        <v>Depreciation and amortization</v>
      </c>
      <c r="C28" s="217">
        <f t="shared" ref="C28:S28" si="62">C8</f>
        <v>17463</v>
      </c>
      <c r="D28" s="217">
        <f t="shared" si="62"/>
        <v>43659</v>
      </c>
      <c r="E28" s="217">
        <f t="shared" si="62"/>
        <v>94250.52</v>
      </c>
      <c r="F28" s="217">
        <f t="shared" si="62"/>
        <v>163972</v>
      </c>
      <c r="G28" s="217">
        <f t="shared" ref="G28:H28" si="63">G8</f>
        <v>160440</v>
      </c>
      <c r="H28" s="217">
        <f t="shared" si="63"/>
        <v>208829.429</v>
      </c>
      <c r="I28" s="217"/>
      <c r="J28" s="217">
        <f t="shared" si="62"/>
        <v>19166</v>
      </c>
      <c r="K28" s="217">
        <f t="shared" si="62"/>
        <v>25338</v>
      </c>
      <c r="L28" s="217">
        <f t="shared" si="62"/>
        <v>30883</v>
      </c>
      <c r="M28" s="217">
        <f t="shared" si="62"/>
        <v>18863.520000000004</v>
      </c>
      <c r="N28" s="217">
        <f t="shared" si="62"/>
        <v>36478</v>
      </c>
      <c r="O28" s="217">
        <f t="shared" si="62"/>
        <v>35511</v>
      </c>
      <c r="P28" s="217">
        <f t="shared" si="62"/>
        <v>35620</v>
      </c>
      <c r="Q28" s="217">
        <f t="shared" si="62"/>
        <v>56363</v>
      </c>
      <c r="R28" s="217">
        <f t="shared" si="62"/>
        <v>37577</v>
      </c>
      <c r="S28" s="217">
        <f t="shared" si="62"/>
        <v>41130</v>
      </c>
      <c r="T28" s="217">
        <f t="shared" ref="T28:U28" si="64">T8</f>
        <v>40591</v>
      </c>
      <c r="U28" s="217">
        <f t="shared" si="64"/>
        <v>41142</v>
      </c>
      <c r="V28" s="217">
        <f t="shared" ref="V28:W28" si="65">V8</f>
        <v>41900</v>
      </c>
      <c r="W28" s="217">
        <f t="shared" si="65"/>
        <v>53034.879000000001</v>
      </c>
      <c r="X28" s="217">
        <f t="shared" ref="X28:Y28" si="66">X8</f>
        <v>53349</v>
      </c>
      <c r="Y28" s="217">
        <f t="shared" si="66"/>
        <v>60545.549999999988</v>
      </c>
      <c r="Z28" s="217"/>
      <c r="AA28" s="212">
        <f t="shared" si="60"/>
        <v>0.13489568689197529</v>
      </c>
      <c r="AB28" s="212">
        <f t="shared" si="61"/>
        <v>0.47162388799766641</v>
      </c>
    </row>
    <row r="29" spans="1:33" ht="13" customHeight="1">
      <c r="B29" s="112" t="str">
        <f>IF('Summary | Sumário'!D$6=Names!B$3,Names!AV29,Names!AW29)</f>
        <v>(÷) Total net revenues excluding tax expenses</v>
      </c>
      <c r="C29" s="218">
        <f>C9</f>
        <v>712223.66099999996</v>
      </c>
      <c r="D29" s="218">
        <f t="shared" ref="D29:S29" si="67">D9</f>
        <v>1011378.89518</v>
      </c>
      <c r="E29" s="218">
        <f t="shared" si="67"/>
        <v>2075101.6869999995</v>
      </c>
      <c r="F29" s="218">
        <f t="shared" si="67"/>
        <v>3314109.1849999996</v>
      </c>
      <c r="G29" s="218">
        <f t="shared" ref="G29:H29" si="68">G9</f>
        <v>4425993</v>
      </c>
      <c r="H29" s="218">
        <f t="shared" si="68"/>
        <v>5923127.8012114009</v>
      </c>
      <c r="I29" s="217"/>
      <c r="J29" s="218">
        <f t="shared" si="67"/>
        <v>389231.652</v>
      </c>
      <c r="K29" s="218">
        <f t="shared" si="67"/>
        <v>437040.34700000007</v>
      </c>
      <c r="L29" s="218">
        <f t="shared" si="67"/>
        <v>565864.06799999997</v>
      </c>
      <c r="M29" s="218">
        <f t="shared" si="67"/>
        <v>682964.62</v>
      </c>
      <c r="N29" s="218">
        <f t="shared" si="67"/>
        <v>776828.0149999999</v>
      </c>
      <c r="O29" s="218">
        <f t="shared" si="67"/>
        <v>815420.3110000001</v>
      </c>
      <c r="P29" s="218">
        <f t="shared" si="67"/>
        <v>788759.46699999995</v>
      </c>
      <c r="Q29" s="218">
        <f t="shared" si="67"/>
        <v>933101.39199999999</v>
      </c>
      <c r="R29" s="218">
        <f t="shared" si="67"/>
        <v>955243.12400000007</v>
      </c>
      <c r="S29" s="218">
        <f t="shared" si="67"/>
        <v>1077571</v>
      </c>
      <c r="T29" s="218">
        <f t="shared" ref="T29:U29" si="69">T9</f>
        <v>1171423.6082400002</v>
      </c>
      <c r="U29" s="218">
        <f t="shared" si="69"/>
        <v>1221755.8627599997</v>
      </c>
      <c r="V29" s="218">
        <f t="shared" ref="V29:W29" si="70">V9</f>
        <v>1314608.115371532</v>
      </c>
      <c r="W29" s="218">
        <f t="shared" si="70"/>
        <v>1379180.5400425298</v>
      </c>
      <c r="X29" s="218">
        <f t="shared" ref="X29:Y29" si="71">X9</f>
        <v>1552510.3355535723</v>
      </c>
      <c r="Y29" s="218">
        <f t="shared" si="71"/>
        <v>1676828.8102437663</v>
      </c>
      <c r="Z29" s="217"/>
      <c r="AA29" s="459">
        <f t="shared" si="60"/>
        <v>8.0075779106402178E-2</v>
      </c>
      <c r="AB29" s="459">
        <f t="shared" si="61"/>
        <v>0.37247453550641207</v>
      </c>
    </row>
    <row r="30" spans="1:33" ht="13" customHeight="1">
      <c r="B30" s="65" t="str">
        <f>B10</f>
        <v>Net interest income and income from securities, derivatives and foreing exchange</v>
      </c>
      <c r="C30" s="217">
        <f>C10</f>
        <v>591527</v>
      </c>
      <c r="D30" s="217">
        <f t="shared" ref="D30:S30" si="72">D10</f>
        <v>733280.89517999999</v>
      </c>
      <c r="E30" s="217">
        <f t="shared" si="72"/>
        <v>1614135.9119999998</v>
      </c>
      <c r="F30" s="217">
        <f t="shared" si="72"/>
        <v>2435209.1849999996</v>
      </c>
      <c r="G30" s="217">
        <f t="shared" ref="G30:H30" si="73">G10</f>
        <v>3296797</v>
      </c>
      <c r="H30" s="217">
        <f t="shared" si="73"/>
        <v>4456744.3939420003</v>
      </c>
      <c r="I30" s="217"/>
      <c r="J30" s="217">
        <f t="shared" si="72"/>
        <v>297457.33899999998</v>
      </c>
      <c r="K30" s="217">
        <f t="shared" si="72"/>
        <v>308984.34700000007</v>
      </c>
      <c r="L30" s="217">
        <f t="shared" si="72"/>
        <v>453160.88</v>
      </c>
      <c r="M30" s="217">
        <f t="shared" si="72"/>
        <v>554532.34600000002</v>
      </c>
      <c r="N30" s="217">
        <f t="shared" si="72"/>
        <v>560444.0149999999</v>
      </c>
      <c r="O30" s="217">
        <f t="shared" si="72"/>
        <v>586650.3110000001</v>
      </c>
      <c r="P30" s="217">
        <f t="shared" si="72"/>
        <v>586724.46699999995</v>
      </c>
      <c r="Q30" s="217">
        <f t="shared" si="72"/>
        <v>701390.39199999999</v>
      </c>
      <c r="R30" s="217">
        <f t="shared" si="72"/>
        <v>726481.12400000007</v>
      </c>
      <c r="S30" s="217">
        <f t="shared" si="72"/>
        <v>828266</v>
      </c>
      <c r="T30" s="217">
        <f t="shared" ref="T30:U30" si="74">T10</f>
        <v>845216.10796000005</v>
      </c>
      <c r="U30" s="217">
        <f t="shared" si="74"/>
        <v>896833.76303999987</v>
      </c>
      <c r="V30" s="217">
        <f t="shared" ref="V30:W30" si="75">V10</f>
        <v>992420.72051999974</v>
      </c>
      <c r="W30" s="217">
        <f t="shared" si="75"/>
        <v>1041865.7258038499</v>
      </c>
      <c r="X30" s="217">
        <f t="shared" ref="X30:Y30" si="76">X10</f>
        <v>1164350.1315736333</v>
      </c>
      <c r="Y30" s="217">
        <f t="shared" si="76"/>
        <v>1258107.8160445173</v>
      </c>
      <c r="Z30" s="217"/>
      <c r="AA30" s="212">
        <f t="shared" si="60"/>
        <v>8.0523617362562083E-2</v>
      </c>
      <c r="AB30" s="212">
        <f t="shared" si="61"/>
        <v>0.40283279677150619</v>
      </c>
    </row>
    <row r="31" spans="1:33" ht="13" customHeight="1">
      <c r="B31" s="113" t="str">
        <f>IF('Summary | Sumário'!D$6=Names!B$3,Names!AV31,Names!AW31)</f>
        <v>Net result from services and commissions</v>
      </c>
      <c r="C31" s="218">
        <f>C11</f>
        <v>73829.660999999993</v>
      </c>
      <c r="D31" s="218">
        <f t="shared" ref="D31:S31" si="77">D11</f>
        <v>185534</v>
      </c>
      <c r="E31" s="218">
        <f t="shared" si="77"/>
        <v>442272</v>
      </c>
      <c r="F31" s="218">
        <f t="shared" si="77"/>
        <v>838806</v>
      </c>
      <c r="G31" s="218">
        <f t="shared" ref="G31:H31" si="78">G11</f>
        <v>1168800</v>
      </c>
      <c r="H31" s="218">
        <f t="shared" si="78"/>
        <v>1609850.2739999997</v>
      </c>
      <c r="I31" s="217"/>
      <c r="J31" s="218">
        <f t="shared" si="77"/>
        <v>77686</v>
      </c>
      <c r="K31" s="218">
        <f t="shared" si="77"/>
        <v>89070</v>
      </c>
      <c r="L31" s="218">
        <f t="shared" si="77"/>
        <v>122853</v>
      </c>
      <c r="M31" s="218">
        <f t="shared" si="77"/>
        <v>152663</v>
      </c>
      <c r="N31" s="218">
        <f t="shared" si="77"/>
        <v>177703</v>
      </c>
      <c r="O31" s="218">
        <f t="shared" si="77"/>
        <v>204561</v>
      </c>
      <c r="P31" s="218">
        <f t="shared" si="77"/>
        <v>217029</v>
      </c>
      <c r="Q31" s="218">
        <f t="shared" si="77"/>
        <v>239513</v>
      </c>
      <c r="R31" s="218">
        <f t="shared" si="77"/>
        <v>246675</v>
      </c>
      <c r="S31" s="218">
        <f t="shared" si="77"/>
        <v>266801</v>
      </c>
      <c r="T31" s="218">
        <f t="shared" ref="T31:U31" si="79">T11</f>
        <v>315509</v>
      </c>
      <c r="U31" s="218">
        <f t="shared" si="79"/>
        <v>339815.6</v>
      </c>
      <c r="V31" s="218">
        <f t="shared" ref="V31:W31" si="80">V11</f>
        <v>340317.39485153224</v>
      </c>
      <c r="W31" s="218">
        <f t="shared" si="80"/>
        <v>364200.86699999997</v>
      </c>
      <c r="X31" s="218">
        <f t="shared" ref="X31:Y31" si="81">X11</f>
        <v>429990.49199999997</v>
      </c>
      <c r="Y31" s="218">
        <f t="shared" si="81"/>
        <v>475341.5201484678</v>
      </c>
      <c r="Z31" s="217"/>
      <c r="AA31" s="459">
        <f t="shared" si="60"/>
        <v>0.10546983943186317</v>
      </c>
      <c r="AB31" s="459">
        <f t="shared" si="61"/>
        <v>0.39882194975294794</v>
      </c>
    </row>
    <row r="32" spans="1:33" s="134" customFormat="1" ht="13" customHeight="1">
      <c r="A32" s="133"/>
      <c r="B32" s="65" t="str">
        <f>IF('Summary | Sumário'!D$6=Names!B$3,Names!AV33,Names!AW33)</f>
        <v>Other revenues</v>
      </c>
      <c r="C32" s="217">
        <f>C12</f>
        <v>46867</v>
      </c>
      <c r="D32" s="217">
        <f t="shared" ref="D32:S32" si="82">D12</f>
        <v>92564</v>
      </c>
      <c r="E32" s="217">
        <f t="shared" si="82"/>
        <v>165415</v>
      </c>
      <c r="F32" s="217">
        <f t="shared" si="82"/>
        <v>288682</v>
      </c>
      <c r="G32" s="217">
        <f t="shared" ref="G32:H32" si="83">G12</f>
        <v>286980</v>
      </c>
      <c r="H32" s="217">
        <f t="shared" si="83"/>
        <v>333570.52926939999</v>
      </c>
      <c r="I32" s="217"/>
      <c r="J32" s="217">
        <f t="shared" si="82"/>
        <v>41623</v>
      </c>
      <c r="K32" s="217">
        <f t="shared" si="82"/>
        <v>69359</v>
      </c>
      <c r="L32" s="217">
        <f t="shared" si="82"/>
        <v>30496</v>
      </c>
      <c r="M32" s="217">
        <f t="shared" si="82"/>
        <v>23937</v>
      </c>
      <c r="N32" s="217">
        <f t="shared" si="82"/>
        <v>95374</v>
      </c>
      <c r="O32" s="217">
        <f t="shared" si="82"/>
        <v>85809</v>
      </c>
      <c r="P32" s="217">
        <f t="shared" si="82"/>
        <v>46550</v>
      </c>
      <c r="Q32" s="217">
        <f t="shared" si="82"/>
        <v>60949</v>
      </c>
      <c r="R32" s="217">
        <f t="shared" si="82"/>
        <v>50958</v>
      </c>
      <c r="S32" s="217">
        <f t="shared" si="82"/>
        <v>54967</v>
      </c>
      <c r="T32" s="217">
        <f t="shared" ref="T32:U32" si="84">T12</f>
        <v>104770.50028000001</v>
      </c>
      <c r="U32" s="217">
        <f t="shared" si="84"/>
        <v>76284.499719999993</v>
      </c>
      <c r="V32" s="217">
        <f t="shared" ref="V32:W32" si="85">V12</f>
        <v>68201</v>
      </c>
      <c r="W32" s="217">
        <f t="shared" si="85"/>
        <v>72531.218238679983</v>
      </c>
      <c r="X32" s="217">
        <f t="shared" ref="X32:Y32" si="86">X12</f>
        <v>81802.620979938802</v>
      </c>
      <c r="Y32" s="217">
        <f t="shared" si="86"/>
        <v>111035.69005078121</v>
      </c>
      <c r="Z32" s="217"/>
      <c r="AA32" s="212">
        <f t="shared" si="60"/>
        <v>0.35736103220960969</v>
      </c>
      <c r="AB32" s="212">
        <f t="shared" si="61"/>
        <v>0.4555472010478463</v>
      </c>
      <c r="AC32" s="133"/>
      <c r="AD32" s="133"/>
      <c r="AE32" s="133"/>
      <c r="AF32" s="133"/>
      <c r="AG32" s="133"/>
    </row>
    <row r="33" spans="2:28" ht="13" customHeight="1">
      <c r="B33" s="113" t="str">
        <f>IF('Summary | Sumário'!D$6=Names!B$3,Names!AV34,Names!AW34)</f>
        <v>Tax expenses</v>
      </c>
      <c r="C33" s="218">
        <f>C13</f>
        <v>0</v>
      </c>
      <c r="D33" s="218">
        <f t="shared" ref="D33:S33" si="87">D13</f>
        <v>0</v>
      </c>
      <c r="E33" s="218">
        <f t="shared" si="87"/>
        <v>-146721.22500000001</v>
      </c>
      <c r="F33" s="218">
        <f t="shared" si="87"/>
        <v>-248588</v>
      </c>
      <c r="G33" s="218">
        <f t="shared" ref="G33:H33" si="88">G13</f>
        <v>-326584</v>
      </c>
      <c r="H33" s="218">
        <f t="shared" si="88"/>
        <v>-477037.39600000001</v>
      </c>
      <c r="I33" s="217"/>
      <c r="J33" s="218">
        <f t="shared" si="87"/>
        <v>-27534.687000000002</v>
      </c>
      <c r="K33" s="218">
        <f t="shared" si="87"/>
        <v>-30373</v>
      </c>
      <c r="L33" s="218">
        <f t="shared" si="87"/>
        <v>-40645.811999999998</v>
      </c>
      <c r="M33" s="218">
        <f t="shared" si="87"/>
        <v>-48167.726000000002</v>
      </c>
      <c r="N33" s="218">
        <f t="shared" si="87"/>
        <v>-56693</v>
      </c>
      <c r="O33" s="218">
        <f t="shared" si="87"/>
        <v>-61600</v>
      </c>
      <c r="P33" s="218">
        <f t="shared" si="87"/>
        <v>-61544</v>
      </c>
      <c r="Q33" s="218">
        <f t="shared" si="87"/>
        <v>-68751</v>
      </c>
      <c r="R33" s="218">
        <f t="shared" si="87"/>
        <v>-68871</v>
      </c>
      <c r="S33" s="218">
        <f t="shared" si="87"/>
        <v>-72463</v>
      </c>
      <c r="T33" s="218">
        <f t="shared" ref="T33:U33" si="89">T13</f>
        <v>-94072</v>
      </c>
      <c r="U33" s="218">
        <f t="shared" si="89"/>
        <v>-91178</v>
      </c>
      <c r="V33" s="218">
        <f t="shared" ref="V33:W33" si="90">V13</f>
        <v>-86331</v>
      </c>
      <c r="W33" s="218">
        <f t="shared" si="90"/>
        <v>-99417.270999999993</v>
      </c>
      <c r="X33" s="218">
        <f t="shared" ref="X33:Y33" si="91">X13</f>
        <v>-123632.909</v>
      </c>
      <c r="Y33" s="218">
        <f t="shared" si="91"/>
        <v>-167656.21600000001</v>
      </c>
      <c r="Z33" s="217"/>
      <c r="AA33" s="459">
        <f t="shared" si="60"/>
        <v>0.35608081501989108</v>
      </c>
      <c r="AB33" s="459">
        <f t="shared" si="61"/>
        <v>0.83877926692842597</v>
      </c>
    </row>
    <row r="34" spans="2:28" ht="13" customHeight="1">
      <c r="B34" s="342" t="str">
        <f>IF('Summary | Sumário'!D$6=Names!B$3,Names!AV35,Names!AW35)</f>
        <v> (=) Administrative efficiency ratio (%)</v>
      </c>
      <c r="C34" s="357">
        <f t="shared" ref="C34:S34" si="92">C26/C29</f>
        <v>0.56691741949864827</v>
      </c>
      <c r="D34" s="357">
        <f t="shared" si="92"/>
        <v>0.67727930972703332</v>
      </c>
      <c r="E34" s="357">
        <f t="shared" si="92"/>
        <v>0.60647162637095398</v>
      </c>
      <c r="F34" s="357">
        <f t="shared" si="92"/>
        <v>0.5004228609927347</v>
      </c>
      <c r="G34" s="357">
        <f t="shared" ref="G34:H34" si="93">G26/G29</f>
        <v>0.36642353478643097</v>
      </c>
      <c r="H34" s="357">
        <f t="shared" si="93"/>
        <v>0.3339256932115296</v>
      </c>
      <c r="I34" s="404"/>
      <c r="J34" s="357">
        <f t="shared" si="92"/>
        <v>0.61213241979611666</v>
      </c>
      <c r="K34" s="357">
        <f t="shared" si="92"/>
        <v>0.68208576632857187</v>
      </c>
      <c r="L34" s="357">
        <f t="shared" si="92"/>
        <v>0.47049848727981075</v>
      </c>
      <c r="M34" s="357">
        <f t="shared" si="92"/>
        <v>0.66751890310218409</v>
      </c>
      <c r="N34" s="357">
        <f t="shared" si="92"/>
        <v>0.53201479866814538</v>
      </c>
      <c r="O34" s="357">
        <f t="shared" si="92"/>
        <v>0.47108098095927847</v>
      </c>
      <c r="P34" s="357">
        <f t="shared" si="92"/>
        <v>0.5268602373554776</v>
      </c>
      <c r="Q34" s="357">
        <f t="shared" si="92"/>
        <v>0.4774154275401617</v>
      </c>
      <c r="R34" s="357">
        <f t="shared" si="92"/>
        <v>0.44302020016424631</v>
      </c>
      <c r="S34" s="357">
        <f t="shared" si="92"/>
        <v>0.36099523836480379</v>
      </c>
      <c r="T34" s="357">
        <f t="shared" ref="T34:U34" si="94">T26/T29</f>
        <v>0.34442536172391863</v>
      </c>
      <c r="U34" s="357">
        <f t="shared" si="94"/>
        <v>0.33241502036465342</v>
      </c>
      <c r="V34" s="357">
        <f t="shared" ref="V34:W34" si="95">V26/V29</f>
        <v>0.33252799437987279</v>
      </c>
      <c r="W34" s="357">
        <f t="shared" si="95"/>
        <v>0.33053115220574575</v>
      </c>
      <c r="X34" s="357">
        <f t="shared" ref="X34:Y34" si="96">X26/X29</f>
        <v>0.34020707489310903</v>
      </c>
      <c r="Y34" s="357">
        <f t="shared" si="96"/>
        <v>0.33199776900247213</v>
      </c>
      <c r="Z34" s="404"/>
      <c r="AA34" s="455">
        <f>(Y34-X34)*100</f>
        <v>-0.82093058906368976</v>
      </c>
      <c r="AB34" s="455">
        <f>(Y34-U34)*100</f>
        <v>-4.1725136218129233E-2</v>
      </c>
    </row>
    <row r="35" spans="2:28" ht="13" customHeight="1">
      <c r="B35" s="72"/>
    </row>
  </sheetData>
  <sheetProtection algorithmName="SHA-512" hashValue="mv+IVQsMp5R5uMETf8n9qHNbmUJL3C2pEhbU2X0dtINhTHEfVDqAi9JmawfaRT/sPtqBk3pDZA7pQuK0P6zIuA==" saltValue="XpI/+IjEfRPY6xuTnuaLT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4061-A401-1843-A502-21FD0465969E}">
  <sheetPr>
    <tabColor theme="5" tint="0.59999389629810485"/>
  </sheetPr>
  <dimension ref="A1:AG32"/>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6" width="10.83203125" style="134" customWidth="1"/>
    <col min="7" max="7" width="10.83203125" style="134"/>
    <col min="8" max="8" width="10.83203125" style="133"/>
    <col min="9" max="9" width="3.83203125" style="133" customWidth="1"/>
    <col min="10" max="18" width="10.83203125" style="134" customWidth="1"/>
    <col min="19" max="24" width="10.83203125" style="134"/>
    <col min="25" max="25" width="10.83203125" style="133"/>
    <col min="26" max="26" width="5.83203125" style="133" customWidth="1"/>
    <col min="27" max="16384" width="10.83203125" style="133"/>
  </cols>
  <sheetData>
    <row r="1" spans="2:32" ht="13" customHeight="1">
      <c r="H1" s="134"/>
      <c r="I1" s="134"/>
      <c r="Y1" s="134"/>
      <c r="Z1" s="134"/>
      <c r="AA1" s="134"/>
      <c r="AB1" s="134"/>
      <c r="AC1" s="134"/>
    </row>
    <row r="2" spans="2:32" s="10" customFormat="1" ht="13" customHeight="1">
      <c r="B2" s="310" t="str">
        <f>IF('Summary | Sumário'!D$6=Names!B$3,Names!AF1,Names!AG1)</f>
        <v>Monthly Cost-to-serve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2:32" ht="13" customHeight="1">
      <c r="B3" s="47"/>
      <c r="C3" s="173"/>
      <c r="D3" s="173"/>
      <c r="E3" s="173"/>
      <c r="F3" s="173"/>
      <c r="G3" s="173"/>
      <c r="H3" s="145"/>
      <c r="I3" s="145"/>
      <c r="J3" s="173"/>
      <c r="K3" s="173"/>
      <c r="L3" s="173"/>
      <c r="M3" s="173"/>
      <c r="N3" s="173"/>
      <c r="O3" s="173"/>
      <c r="P3" s="173"/>
      <c r="Q3" s="173"/>
      <c r="R3" s="173"/>
      <c r="S3" s="173"/>
      <c r="T3" s="173"/>
      <c r="U3" s="173"/>
      <c r="V3" s="173"/>
      <c r="W3" s="173"/>
      <c r="X3" s="173"/>
      <c r="Y3" s="145"/>
      <c r="Z3" s="145"/>
      <c r="AA3" s="145"/>
      <c r="AB3" s="145"/>
      <c r="AC3" s="145"/>
    </row>
    <row r="4" spans="2:32" ht="13" customHeight="1">
      <c r="B4" s="3" t="str">
        <f>IF('Summary | Sumário'!D$6=Names!B$3,Names!AF3,Names!AG3)</f>
        <v>Cost-to-serve</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row>
    <row r="5" spans="2:32" ht="13" customHeight="1">
      <c r="B5" s="343" t="str">
        <f>IF('Summary | Sumário'!D$6=Names!B$3,Names!AF4,Names!AG4)</f>
        <v>Monthly average of cost-to-serve</v>
      </c>
      <c r="C5" s="344">
        <f>C6/12</f>
        <v>42794.025094127275</v>
      </c>
      <c r="D5" s="344">
        <f t="shared" ref="D5:H5" si="0">D6/12</f>
        <v>67177.754286566269</v>
      </c>
      <c r="E5" s="344">
        <f t="shared" si="0"/>
        <v>122553.85398560927</v>
      </c>
      <c r="F5" s="344">
        <f t="shared" si="0"/>
        <v>177431.74372495562</v>
      </c>
      <c r="G5" s="344">
        <f t="shared" si="0"/>
        <v>186292.69927320103</v>
      </c>
      <c r="H5" s="344">
        <f t="shared" si="0"/>
        <v>229710.55080653436</v>
      </c>
      <c r="I5" s="206"/>
      <c r="J5" s="344">
        <f>J6/3</f>
        <v>90358.620573333334</v>
      </c>
      <c r="K5" s="344">
        <f t="shared" ref="K5:Y5" si="1">K6/3</f>
        <v>113372.35140666667</v>
      </c>
      <c r="L5" s="344">
        <f t="shared" si="1"/>
        <v>108504.75255999999</v>
      </c>
      <c r="M5" s="344">
        <f t="shared" si="1"/>
        <v>177979.69140243714</v>
      </c>
      <c r="N5" s="344">
        <f t="shared" si="1"/>
        <v>163822.55539315593</v>
      </c>
      <c r="O5" s="344">
        <f t="shared" si="1"/>
        <v>161347.50881999999</v>
      </c>
      <c r="P5" s="344">
        <f t="shared" si="1"/>
        <v>176821.34316666666</v>
      </c>
      <c r="Q5" s="344">
        <f t="shared" si="1"/>
        <v>207735.56752000001</v>
      </c>
      <c r="R5" s="344">
        <f t="shared" si="1"/>
        <v>180808.90153333335</v>
      </c>
      <c r="S5" s="344">
        <f t="shared" si="1"/>
        <v>175584.57369999998</v>
      </c>
      <c r="T5" s="344">
        <f t="shared" si="1"/>
        <v>189620.87386666666</v>
      </c>
      <c r="U5" s="344">
        <f t="shared" si="1"/>
        <v>199156.44799280408</v>
      </c>
      <c r="V5" s="344">
        <f t="shared" si="1"/>
        <v>197441.74533333335</v>
      </c>
      <c r="W5" s="344">
        <f t="shared" si="1"/>
        <v>199245.96325666667</v>
      </c>
      <c r="X5" s="344">
        <f t="shared" si="1"/>
        <v>239200.97912666667</v>
      </c>
      <c r="Y5" s="344">
        <f t="shared" si="1"/>
        <v>260812.68414000003</v>
      </c>
      <c r="Z5" s="206"/>
      <c r="AA5" s="429">
        <f>Y5/X5-1</f>
        <v>9.0349567515311424E-2</v>
      </c>
      <c r="AB5" s="429">
        <f>Y5/U5-1</f>
        <v>0.30958694417678956</v>
      </c>
    </row>
    <row r="6" spans="2:32" ht="13" customHeight="1">
      <c r="B6" s="54" t="str">
        <f>IF('Summary | Sumário'!D$6=Names!B$3,Names!AF5,Names!AG5)</f>
        <v>Total cost-to-serve</v>
      </c>
      <c r="C6" s="206">
        <f>SUM(C7:C10)</f>
        <v>513528.30112952727</v>
      </c>
      <c r="D6" s="206">
        <f t="shared" ref="D6:R6" si="2">SUM(D7:D10)</f>
        <v>806133.05143879517</v>
      </c>
      <c r="E6" s="206">
        <f t="shared" si="2"/>
        <v>1470646.2478273113</v>
      </c>
      <c r="F6" s="206">
        <f t="shared" si="2"/>
        <v>2129180.9246994676</v>
      </c>
      <c r="G6" s="206">
        <f t="shared" ref="G6:H6" si="3">SUM(G7:G10)</f>
        <v>2235512.3912784122</v>
      </c>
      <c r="H6" s="206">
        <f t="shared" si="3"/>
        <v>2756526.6096784123</v>
      </c>
      <c r="I6" s="206"/>
      <c r="J6" s="206">
        <f t="shared" si="2"/>
        <v>271075.86171999999</v>
      </c>
      <c r="K6" s="206">
        <f t="shared" si="2"/>
        <v>340117.05421999999</v>
      </c>
      <c r="L6" s="206">
        <f t="shared" si="2"/>
        <v>325514.25767999998</v>
      </c>
      <c r="M6" s="206">
        <f t="shared" si="2"/>
        <v>533939.07420731138</v>
      </c>
      <c r="N6" s="206">
        <f t="shared" si="2"/>
        <v>491467.66617946781</v>
      </c>
      <c r="O6" s="206">
        <f t="shared" si="2"/>
        <v>484042.52645999996</v>
      </c>
      <c r="P6" s="206">
        <f t="shared" si="2"/>
        <v>530464.02949999995</v>
      </c>
      <c r="Q6" s="206">
        <f t="shared" si="2"/>
        <v>623206.70256000001</v>
      </c>
      <c r="R6" s="206">
        <f t="shared" si="2"/>
        <v>542426.70460000006</v>
      </c>
      <c r="S6" s="206">
        <f t="shared" ref="S6:T6" si="4">SUM(S7:S10)</f>
        <v>526753.72109999997</v>
      </c>
      <c r="T6" s="206">
        <f t="shared" si="4"/>
        <v>568862.62159999995</v>
      </c>
      <c r="U6" s="206">
        <f t="shared" ref="U6:V6" si="5">SUM(U7:U10)</f>
        <v>597469.34397841222</v>
      </c>
      <c r="V6" s="206">
        <f t="shared" si="5"/>
        <v>592325.23600000003</v>
      </c>
      <c r="W6" s="206">
        <f t="shared" ref="W6:X6" si="6">SUM(W7:W10)</f>
        <v>597737.88977000001</v>
      </c>
      <c r="X6" s="206">
        <f t="shared" si="6"/>
        <v>717602.93738000002</v>
      </c>
      <c r="Y6" s="206">
        <f t="shared" ref="Y6" si="7">SUM(Y7:Y10)</f>
        <v>782438.05242000008</v>
      </c>
      <c r="Z6" s="206"/>
      <c r="AA6" s="430">
        <f t="shared" ref="AA6:AA14" si="8">Y6/X6-1</f>
        <v>9.0349567515311424E-2</v>
      </c>
      <c r="AB6" s="430">
        <f t="shared" ref="AB6:AB14" si="9">Y6/U6-1</f>
        <v>0.30958694417678978</v>
      </c>
    </row>
    <row r="7" spans="2:32" ht="13" customHeight="1">
      <c r="B7" s="68" t="str">
        <f>IF('Summary | Sumário'!D$6=Names!B$3,Names!AF6,Names!AG6)</f>
        <v>Personnel expenses</v>
      </c>
      <c r="C7" s="201">
        <v>169198</v>
      </c>
      <c r="D7" s="201">
        <v>229096</v>
      </c>
      <c r="E7" s="201">
        <v>443328</v>
      </c>
      <c r="F7" s="201">
        <v>733605</v>
      </c>
      <c r="G7" s="201">
        <v>790739</v>
      </c>
      <c r="H7" s="201">
        <v>937761.13</v>
      </c>
      <c r="I7" s="206"/>
      <c r="J7" s="201">
        <v>81861</v>
      </c>
      <c r="K7" s="201">
        <v>93046</v>
      </c>
      <c r="L7" s="201">
        <v>121250</v>
      </c>
      <c r="M7" s="201">
        <v>147171</v>
      </c>
      <c r="N7" s="201">
        <v>145120</v>
      </c>
      <c r="O7" s="201">
        <v>172466</v>
      </c>
      <c r="P7" s="201">
        <v>176232</v>
      </c>
      <c r="Q7" s="201">
        <v>239787</v>
      </c>
      <c r="R7" s="201">
        <v>172412</v>
      </c>
      <c r="S7" s="201">
        <v>186249</v>
      </c>
      <c r="T7" s="201">
        <v>210661</v>
      </c>
      <c r="U7" s="201">
        <v>221417</v>
      </c>
      <c r="V7" s="201">
        <v>190463</v>
      </c>
      <c r="W7" s="201">
        <v>204206.56551999997</v>
      </c>
      <c r="X7" s="201">
        <v>258954.60447999998</v>
      </c>
      <c r="Y7" s="201">
        <v>284136.96000000008</v>
      </c>
      <c r="Z7" s="206"/>
      <c r="AA7" s="431">
        <f t="shared" si="8"/>
        <v>9.7246216457776979E-2</v>
      </c>
      <c r="AB7" s="431">
        <f t="shared" si="9"/>
        <v>0.28326623520325933</v>
      </c>
    </row>
    <row r="8" spans="2:32" ht="13" customHeight="1">
      <c r="B8" s="63" t="str">
        <f>IF('Summary | Sumário'!D$6=Names!B$3,Names!AF7,Names!AG7)</f>
        <v>Administrative expenses</v>
      </c>
      <c r="C8" s="206">
        <v>386309</v>
      </c>
      <c r="D8" s="206">
        <v>641327</v>
      </c>
      <c r="E8" s="206">
        <v>1164239.7749999999</v>
      </c>
      <c r="F8" s="206">
        <v>1494484</v>
      </c>
      <c r="G8" s="206">
        <v>1461348</v>
      </c>
      <c r="H8" s="206">
        <v>1769055.128</v>
      </c>
      <c r="I8" s="206"/>
      <c r="J8" s="206">
        <v>219095.31299999999</v>
      </c>
      <c r="K8" s="206">
        <v>272761</v>
      </c>
      <c r="L8" s="206">
        <v>235355.18799999999</v>
      </c>
      <c r="M8" s="206">
        <v>437028.27399999998</v>
      </c>
      <c r="N8" s="206">
        <v>376806</v>
      </c>
      <c r="O8" s="206">
        <v>348618</v>
      </c>
      <c r="P8" s="206">
        <v>379946</v>
      </c>
      <c r="Q8" s="206">
        <v>389114</v>
      </c>
      <c r="R8" s="206">
        <v>385615</v>
      </c>
      <c r="S8" s="206">
        <v>347868</v>
      </c>
      <c r="T8" s="206">
        <v>362877</v>
      </c>
      <c r="U8" s="206">
        <v>364988</v>
      </c>
      <c r="V8" s="206">
        <v>395244</v>
      </c>
      <c r="W8" s="206">
        <v>402827.25400000002</v>
      </c>
      <c r="X8" s="206">
        <v>474826</v>
      </c>
      <c r="Y8" s="206">
        <v>496157.87400000007</v>
      </c>
      <c r="Z8" s="206"/>
      <c r="AA8" s="430">
        <f t="shared" si="8"/>
        <v>4.4925665401642112E-2</v>
      </c>
      <c r="AB8" s="430">
        <f t="shared" si="9"/>
        <v>0.35938133308492359</v>
      </c>
    </row>
    <row r="9" spans="2:32" ht="13" customHeight="1">
      <c r="B9" s="68" t="str">
        <f>IF('Summary | Sumário'!D$6=Names!B$3,Names!AF8,Names!AG8)</f>
        <v>Depreciation and amortization</v>
      </c>
      <c r="C9" s="201">
        <v>17463</v>
      </c>
      <c r="D9" s="201">
        <v>43659</v>
      </c>
      <c r="E9" s="201">
        <v>94250.52</v>
      </c>
      <c r="F9" s="201">
        <v>163972</v>
      </c>
      <c r="G9" s="201">
        <v>160440</v>
      </c>
      <c r="H9" s="201">
        <v>208829.429</v>
      </c>
      <c r="I9" s="206"/>
      <c r="J9" s="201">
        <v>19166</v>
      </c>
      <c r="K9" s="201">
        <v>25338</v>
      </c>
      <c r="L9" s="201">
        <v>30883</v>
      </c>
      <c r="M9" s="201">
        <v>18863.520000000004</v>
      </c>
      <c r="N9" s="201">
        <v>36478</v>
      </c>
      <c r="O9" s="201">
        <v>35511</v>
      </c>
      <c r="P9" s="201">
        <v>35620</v>
      </c>
      <c r="Q9" s="201">
        <v>56363</v>
      </c>
      <c r="R9" s="201">
        <v>37577</v>
      </c>
      <c r="S9" s="201">
        <v>41130</v>
      </c>
      <c r="T9" s="201">
        <v>40591</v>
      </c>
      <c r="U9" s="201">
        <v>41142</v>
      </c>
      <c r="V9" s="201">
        <v>41900</v>
      </c>
      <c r="W9" s="201">
        <v>53034.879000000001</v>
      </c>
      <c r="X9" s="201">
        <v>53349</v>
      </c>
      <c r="Y9" s="201">
        <v>60545.549999999988</v>
      </c>
      <c r="Z9" s="206"/>
      <c r="AA9" s="431">
        <f t="shared" si="8"/>
        <v>0.13489568689197529</v>
      </c>
      <c r="AB9" s="431">
        <f t="shared" si="9"/>
        <v>0.47162388799766641</v>
      </c>
    </row>
    <row r="10" spans="2:32" ht="13" customHeight="1">
      <c r="B10" s="63" t="str">
        <f>IF('Summary | Sumário'!D$6=Names!B$3,Names!AF9,Names!AG9)</f>
        <v>CAC expenses</v>
      </c>
      <c r="C10" s="206">
        <v>-59441.698870472712</v>
      </c>
      <c r="D10" s="206">
        <v>-107948.94856120487</v>
      </c>
      <c r="E10" s="206">
        <v>-231172.04717268862</v>
      </c>
      <c r="F10" s="206">
        <v>-262880.07530053222</v>
      </c>
      <c r="G10" s="206">
        <f>SUM(R10:U10)</f>
        <v>-177014.60872158778</v>
      </c>
      <c r="H10" s="206">
        <f>SUM(S10:V10)</f>
        <v>-159119.07732158777</v>
      </c>
      <c r="I10" s="206"/>
      <c r="J10" s="206">
        <v>-49046.451279999994</v>
      </c>
      <c r="K10" s="206">
        <v>-51027.945780000002</v>
      </c>
      <c r="L10" s="206">
        <v>-61973.930319999999</v>
      </c>
      <c r="M10" s="206">
        <v>-69123.719792688615</v>
      </c>
      <c r="N10" s="206">
        <v>-66936.333820532222</v>
      </c>
      <c r="O10" s="206">
        <v>-72552.473540000006</v>
      </c>
      <c r="P10" s="206">
        <v>-61333.970500000003</v>
      </c>
      <c r="Q10" s="206">
        <v>-62057.297440000002</v>
      </c>
      <c r="R10" s="206">
        <v>-53177.295399999995</v>
      </c>
      <c r="S10" s="206">
        <v>-48493.278899999998</v>
      </c>
      <c r="T10" s="206">
        <v>-45266.378400000001</v>
      </c>
      <c r="U10" s="206">
        <v>-30077.656021587791</v>
      </c>
      <c r="V10" s="206">
        <v>-35281.764000000003</v>
      </c>
      <c r="W10" s="206">
        <v>-62330.808749999989</v>
      </c>
      <c r="X10" s="206">
        <v>-69526.667100000006</v>
      </c>
      <c r="Y10" s="206">
        <v>-58402.331579999998</v>
      </c>
      <c r="Z10" s="206"/>
      <c r="AA10" s="430">
        <f t="shared" si="8"/>
        <v>-0.16000098931824114</v>
      </c>
      <c r="AB10" s="430">
        <f t="shared" si="9"/>
        <v>0.94171818236376503</v>
      </c>
    </row>
    <row r="11" spans="2:32" ht="13" customHeight="1">
      <c r="B11" s="53" t="str">
        <f>IF('Summary | Sumário'!D$6=Names!B$3,Names!AF10,Names!AG10)</f>
        <v>(÷) Average active clients</v>
      </c>
      <c r="C11" s="201">
        <f>C12</f>
        <v>2282.6979999999999</v>
      </c>
      <c r="D11" s="201">
        <f>AVERAGE(C12:D12)</f>
        <v>3767.4889999999996</v>
      </c>
      <c r="E11" s="201">
        <f t="shared" ref="E11:H11" si="10">AVERAGE(D12:E12)</f>
        <v>7039.3045000000002</v>
      </c>
      <c r="F11" s="201">
        <f t="shared" si="10"/>
        <v>10705.3665</v>
      </c>
      <c r="G11" s="201">
        <f t="shared" si="10"/>
        <v>14494.899000000001</v>
      </c>
      <c r="H11" s="201">
        <f t="shared" si="10"/>
        <v>16909.548000000003</v>
      </c>
      <c r="I11" s="206"/>
      <c r="J11" s="201">
        <f>AVERAGE(J12,D12)</f>
        <v>5692.4650000000001</v>
      </c>
      <c r="K11" s="201">
        <f>AVERAGE(J12:K12)</f>
        <v>6597.8119999999999</v>
      </c>
      <c r="L11" s="201">
        <f t="shared" ref="L11:Y11" si="11">AVERAGE(K12:L12)</f>
        <v>7514.7129999999997</v>
      </c>
      <c r="M11" s="201">
        <f t="shared" si="11"/>
        <v>8396.3904999999995</v>
      </c>
      <c r="N11" s="201">
        <f t="shared" si="11"/>
        <v>9358.8734999999997</v>
      </c>
      <c r="O11" s="201">
        <f t="shared" si="11"/>
        <v>10303.8135</v>
      </c>
      <c r="P11" s="201">
        <f t="shared" si="11"/>
        <v>11182.7415</v>
      </c>
      <c r="Q11" s="201">
        <f t="shared" si="11"/>
        <v>12116.839</v>
      </c>
      <c r="R11" s="201">
        <f t="shared" si="11"/>
        <v>13062.486000000001</v>
      </c>
      <c r="S11" s="201">
        <f t="shared" si="11"/>
        <v>14017.737499999999</v>
      </c>
      <c r="T11" s="201">
        <f t="shared" si="11"/>
        <v>14984.0635</v>
      </c>
      <c r="U11" s="201">
        <f t="shared" si="11"/>
        <v>15939.307000000001</v>
      </c>
      <c r="V11" s="201">
        <f t="shared" si="11"/>
        <v>16909.548000000003</v>
      </c>
      <c r="W11" s="201">
        <f t="shared" si="11"/>
        <v>17907.845500000003</v>
      </c>
      <c r="X11" s="201">
        <f t="shared" si="11"/>
        <v>18970.246500000001</v>
      </c>
      <c r="Y11" s="201">
        <f t="shared" si="11"/>
        <v>20050.120000000003</v>
      </c>
      <c r="Z11" s="206"/>
      <c r="AA11" s="431">
        <f t="shared" si="8"/>
        <v>5.6924589777997969E-2</v>
      </c>
      <c r="AB11" s="431">
        <f t="shared" si="9"/>
        <v>0.25790412343522839</v>
      </c>
    </row>
    <row r="12" spans="2:32" ht="13" customHeight="1">
      <c r="B12" s="55" t="str">
        <f>IF('Summary | Sumário'!D$6=Names!B$3,Names!AF11,Names!AG11)</f>
        <v>Active clients</v>
      </c>
      <c r="C12" s="206">
        <v>2282.6979999999999</v>
      </c>
      <c r="D12" s="206">
        <v>5252.28</v>
      </c>
      <c r="E12" s="206">
        <v>8826.3289999999997</v>
      </c>
      <c r="F12" s="206">
        <v>12584.404</v>
      </c>
      <c r="G12" s="206">
        <f>U12</f>
        <v>16405.394</v>
      </c>
      <c r="H12" s="206">
        <f>V12</f>
        <v>17413.702000000001</v>
      </c>
      <c r="I12" s="206"/>
      <c r="J12" s="206">
        <v>6132.65</v>
      </c>
      <c r="K12" s="206">
        <v>7062.9740000000002</v>
      </c>
      <c r="L12" s="206">
        <v>7966.4520000000002</v>
      </c>
      <c r="M12" s="206">
        <v>8826.3289999999997</v>
      </c>
      <c r="N12" s="206">
        <v>9891.4179999999997</v>
      </c>
      <c r="O12" s="206">
        <v>10716.209000000001</v>
      </c>
      <c r="P12" s="206">
        <v>11649.273999999999</v>
      </c>
      <c r="Q12" s="206">
        <v>12584.404</v>
      </c>
      <c r="R12" s="206">
        <v>13540.567999999999</v>
      </c>
      <c r="S12" s="206">
        <v>14494.906999999999</v>
      </c>
      <c r="T12" s="206">
        <v>15473.22</v>
      </c>
      <c r="U12" s="206">
        <v>16405.394</v>
      </c>
      <c r="V12" s="206">
        <v>17413.702000000001</v>
      </c>
      <c r="W12" s="206">
        <v>18401.989000000001</v>
      </c>
      <c r="X12" s="206">
        <v>19538.504000000001</v>
      </c>
      <c r="Y12" s="206">
        <v>20561.736000000001</v>
      </c>
      <c r="Z12" s="206"/>
      <c r="AA12" s="430">
        <f t="shared" si="8"/>
        <v>5.2370027920254358E-2</v>
      </c>
      <c r="AB12" s="430">
        <f t="shared" si="9"/>
        <v>0.25335215966163327</v>
      </c>
    </row>
    <row r="13" spans="2:32" ht="13" customHeight="1">
      <c r="B13" s="83" t="str">
        <f>IF('Summary | Sumário'!D$6=Names!B$3,Names!AF12,Names!AG12)</f>
        <v>Active clients in the previous period</v>
      </c>
      <c r="C13" s="201">
        <f>C12</f>
        <v>2282.6979999999999</v>
      </c>
      <c r="D13" s="201">
        <f>C13</f>
        <v>2282.6979999999999</v>
      </c>
      <c r="E13" s="201">
        <f>D12</f>
        <v>5252.28</v>
      </c>
      <c r="F13" s="201">
        <f t="shared" ref="F13:Y13" si="12">E12</f>
        <v>8826.3289999999997</v>
      </c>
      <c r="G13" s="201">
        <f t="shared" si="12"/>
        <v>12584.404</v>
      </c>
      <c r="H13" s="201">
        <f t="shared" si="12"/>
        <v>16405.394</v>
      </c>
      <c r="I13" s="206"/>
      <c r="J13" s="201">
        <f>D12</f>
        <v>5252.28</v>
      </c>
      <c r="K13" s="201">
        <f t="shared" si="12"/>
        <v>6132.65</v>
      </c>
      <c r="L13" s="201">
        <f t="shared" si="12"/>
        <v>7062.9740000000002</v>
      </c>
      <c r="M13" s="201">
        <f t="shared" si="12"/>
        <v>7966.4520000000002</v>
      </c>
      <c r="N13" s="201">
        <f t="shared" si="12"/>
        <v>8826.3289999999997</v>
      </c>
      <c r="O13" s="201">
        <f t="shared" si="12"/>
        <v>9891.4179999999997</v>
      </c>
      <c r="P13" s="201">
        <f t="shared" si="12"/>
        <v>10716.209000000001</v>
      </c>
      <c r="Q13" s="201">
        <f t="shared" si="12"/>
        <v>11649.273999999999</v>
      </c>
      <c r="R13" s="201">
        <f t="shared" si="12"/>
        <v>12584.404</v>
      </c>
      <c r="S13" s="201">
        <f t="shared" si="12"/>
        <v>13540.567999999999</v>
      </c>
      <c r="T13" s="201">
        <f t="shared" si="12"/>
        <v>14494.906999999999</v>
      </c>
      <c r="U13" s="201">
        <f t="shared" si="12"/>
        <v>15473.22</v>
      </c>
      <c r="V13" s="201">
        <f t="shared" si="12"/>
        <v>16405.394</v>
      </c>
      <c r="W13" s="201">
        <f t="shared" si="12"/>
        <v>17413.702000000001</v>
      </c>
      <c r="X13" s="201">
        <f t="shared" si="12"/>
        <v>18401.989000000001</v>
      </c>
      <c r="Y13" s="201">
        <f t="shared" si="12"/>
        <v>19538.504000000001</v>
      </c>
      <c r="Z13" s="206"/>
      <c r="AA13" s="431">
        <f t="shared" si="8"/>
        <v>6.1760443395548092E-2</v>
      </c>
      <c r="AB13" s="431">
        <f t="shared" si="9"/>
        <v>0.26273031728366836</v>
      </c>
    </row>
    <row r="14" spans="2:32" ht="13" customHeight="1">
      <c r="B14" s="342" t="str">
        <f>IF('Summary | Sumário'!D$6=Names!B$3,Names!AF13,Names!AG13)</f>
        <v>(=) Cost-to-serve (R$)</v>
      </c>
      <c r="C14" s="364">
        <f>C5/C11</f>
        <v>18.74712515371165</v>
      </c>
      <c r="D14" s="364">
        <f t="shared" ref="D14:R14" si="13">D5/D11</f>
        <v>17.830909204132055</v>
      </c>
      <c r="E14" s="364">
        <f t="shared" si="13"/>
        <v>17.409937868948454</v>
      </c>
      <c r="F14" s="364">
        <f t="shared" si="13"/>
        <v>16.574093350746622</v>
      </c>
      <c r="G14" s="364">
        <f t="shared" ref="G14:H14" si="14">G5/G11</f>
        <v>12.852293711960394</v>
      </c>
      <c r="H14" s="364">
        <f t="shared" si="14"/>
        <v>13.584665350400515</v>
      </c>
      <c r="I14" s="405"/>
      <c r="J14" s="364">
        <f t="shared" si="13"/>
        <v>15.873373059532792</v>
      </c>
      <c r="K14" s="364">
        <f t="shared" si="13"/>
        <v>17.183325533777968</v>
      </c>
      <c r="L14" s="364">
        <f t="shared" si="13"/>
        <v>14.438974922927862</v>
      </c>
      <c r="M14" s="364">
        <f t="shared" si="13"/>
        <v>21.197166973408056</v>
      </c>
      <c r="N14" s="364">
        <f t="shared" si="13"/>
        <v>17.504516477667522</v>
      </c>
      <c r="O14" s="364">
        <f t="shared" si="13"/>
        <v>15.659009047475479</v>
      </c>
      <c r="P14" s="364">
        <f t="shared" si="13"/>
        <v>15.811985206549455</v>
      </c>
      <c r="Q14" s="364">
        <f t="shared" si="13"/>
        <v>17.144369708964526</v>
      </c>
      <c r="R14" s="364">
        <f t="shared" si="13"/>
        <v>13.841844617734584</v>
      </c>
      <c r="S14" s="364">
        <f t="shared" ref="S14:T14" si="15">S5/S11</f>
        <v>12.525885414818189</v>
      </c>
      <c r="T14" s="364">
        <f t="shared" si="15"/>
        <v>12.654836511248545</v>
      </c>
      <c r="U14" s="364">
        <f t="shared" ref="U14:V14" si="16">U5/U11</f>
        <v>12.494674203389399</v>
      </c>
      <c r="V14" s="364">
        <f t="shared" si="16"/>
        <v>11.676346720405142</v>
      </c>
      <c r="W14" s="364">
        <f t="shared" ref="W14:X14" si="17">W5/W11</f>
        <v>11.126182837386365</v>
      </c>
      <c r="X14" s="364">
        <f t="shared" si="17"/>
        <v>12.609271003761952</v>
      </c>
      <c r="Y14" s="364">
        <f t="shared" ref="Y14" si="18">Y5/Y11</f>
        <v>13.008036068612057</v>
      </c>
      <c r="Z14" s="405"/>
      <c r="AA14" s="357">
        <f t="shared" si="8"/>
        <v>3.1624751718884792E-2</v>
      </c>
      <c r="AB14" s="357">
        <f t="shared" si="9"/>
        <v>4.1086454665892669E-2</v>
      </c>
    </row>
    <row r="15" spans="2:32" ht="13" customHeight="1">
      <c r="B15" s="64"/>
    </row>
    <row r="16" spans="2:32" ht="13" customHeight="1">
      <c r="B16" s="72"/>
      <c r="C16" s="209"/>
      <c r="D16" s="209"/>
      <c r="E16" s="209"/>
      <c r="F16" s="209"/>
      <c r="G16" s="209"/>
      <c r="J16" s="209"/>
      <c r="K16" s="209"/>
      <c r="L16" s="209"/>
      <c r="M16" s="209"/>
      <c r="N16" s="209"/>
      <c r="O16" s="209"/>
      <c r="P16" s="209"/>
      <c r="Q16" s="209"/>
      <c r="R16" s="209"/>
      <c r="S16" s="209"/>
      <c r="T16" s="209"/>
      <c r="U16" s="209"/>
      <c r="V16" s="209"/>
      <c r="W16" s="209"/>
      <c r="X16" s="209"/>
    </row>
    <row r="17" spans="1:33" ht="13" customHeight="1">
      <c r="B17" s="73"/>
      <c r="C17" s="210"/>
      <c r="D17" s="210"/>
      <c r="E17" s="210"/>
      <c r="F17" s="210"/>
      <c r="G17" s="210"/>
      <c r="J17" s="210"/>
      <c r="K17" s="210"/>
      <c r="L17" s="210"/>
      <c r="M17" s="210"/>
      <c r="N17" s="210"/>
      <c r="O17" s="210"/>
      <c r="P17" s="210"/>
      <c r="Q17" s="210"/>
      <c r="R17" s="210"/>
      <c r="S17" s="210"/>
      <c r="T17" s="210"/>
      <c r="U17" s="210"/>
      <c r="V17" s="210"/>
      <c r="W17" s="210"/>
      <c r="X17" s="210"/>
    </row>
    <row r="18" spans="1:33" ht="13" customHeight="1">
      <c r="B18" s="74"/>
      <c r="C18" s="206"/>
      <c r="D18" s="206"/>
      <c r="E18" s="206"/>
      <c r="F18" s="206"/>
      <c r="G18" s="206"/>
      <c r="J18" s="206"/>
      <c r="K18" s="206"/>
      <c r="L18" s="206"/>
      <c r="M18" s="206"/>
      <c r="N18" s="206"/>
      <c r="O18" s="206"/>
      <c r="P18" s="206"/>
      <c r="Q18" s="206"/>
      <c r="R18" s="206"/>
      <c r="S18" s="206"/>
      <c r="T18" s="206"/>
      <c r="U18" s="206"/>
      <c r="V18" s="206"/>
      <c r="W18" s="206"/>
      <c r="X18" s="206"/>
    </row>
    <row r="19" spans="1:33" ht="13" customHeight="1">
      <c r="B19" s="63"/>
      <c r="C19" s="202"/>
      <c r="D19" s="202"/>
      <c r="E19" s="202"/>
      <c r="F19" s="202"/>
      <c r="G19" s="202"/>
      <c r="J19" s="202"/>
      <c r="K19" s="202"/>
      <c r="L19" s="202"/>
      <c r="M19" s="202"/>
      <c r="N19" s="202"/>
      <c r="O19" s="202"/>
      <c r="P19" s="202"/>
      <c r="Q19" s="202"/>
      <c r="R19" s="202"/>
      <c r="S19" s="202"/>
      <c r="T19" s="202"/>
      <c r="U19" s="202"/>
      <c r="V19" s="202"/>
      <c r="W19" s="202"/>
      <c r="X19" s="202"/>
    </row>
    <row r="20" spans="1:33" ht="13" customHeight="1">
      <c r="B20" s="63"/>
      <c r="C20" s="202"/>
      <c r="D20" s="202"/>
      <c r="E20" s="202"/>
      <c r="F20" s="202"/>
      <c r="G20" s="202"/>
      <c r="J20" s="202"/>
      <c r="K20" s="202"/>
      <c r="L20" s="202"/>
      <c r="M20" s="202"/>
      <c r="N20" s="202"/>
      <c r="O20" s="202"/>
      <c r="P20" s="202"/>
      <c r="Q20" s="202"/>
      <c r="R20" s="202"/>
      <c r="S20" s="202"/>
      <c r="T20" s="202"/>
      <c r="U20" s="202"/>
      <c r="V20" s="202"/>
      <c r="W20" s="202"/>
      <c r="X20" s="202"/>
    </row>
    <row r="21" spans="1:33" ht="13" customHeight="1">
      <c r="B21" s="63"/>
      <c r="C21" s="202"/>
      <c r="D21" s="202"/>
      <c r="E21" s="202"/>
      <c r="F21" s="202"/>
      <c r="G21" s="202"/>
      <c r="J21" s="202"/>
      <c r="K21" s="202"/>
      <c r="L21" s="202"/>
      <c r="M21" s="202"/>
      <c r="N21" s="202"/>
      <c r="O21" s="202"/>
      <c r="P21" s="202"/>
      <c r="Q21" s="202"/>
      <c r="R21" s="202"/>
      <c r="S21" s="202"/>
      <c r="T21" s="202"/>
      <c r="U21" s="202"/>
      <c r="V21" s="202"/>
      <c r="W21" s="202"/>
      <c r="X21" s="202"/>
    </row>
    <row r="22" spans="1:33" ht="13" customHeight="1">
      <c r="B22" s="75"/>
      <c r="C22" s="211"/>
      <c r="D22" s="211"/>
      <c r="E22" s="211"/>
      <c r="F22" s="211"/>
      <c r="G22" s="211"/>
      <c r="J22" s="211"/>
      <c r="K22" s="211"/>
      <c r="L22" s="211"/>
      <c r="M22" s="211"/>
      <c r="N22" s="211"/>
      <c r="O22" s="211"/>
      <c r="P22" s="211"/>
      <c r="Q22" s="211"/>
      <c r="R22" s="211"/>
      <c r="S22" s="211"/>
      <c r="T22" s="211"/>
      <c r="U22" s="211"/>
      <c r="V22" s="211"/>
      <c r="W22" s="211"/>
      <c r="X22" s="211"/>
    </row>
    <row r="23" spans="1:33" ht="13" customHeight="1">
      <c r="B23" s="65"/>
      <c r="C23" s="202"/>
      <c r="D23" s="202"/>
      <c r="E23" s="202"/>
      <c r="F23" s="202"/>
      <c r="G23" s="202"/>
      <c r="J23" s="202"/>
      <c r="K23" s="202"/>
      <c r="L23" s="202"/>
      <c r="M23" s="202"/>
      <c r="N23" s="202"/>
      <c r="O23" s="202"/>
      <c r="P23" s="202"/>
      <c r="Q23" s="202"/>
      <c r="R23" s="202"/>
      <c r="S23" s="202"/>
      <c r="T23" s="202"/>
      <c r="U23" s="202"/>
      <c r="V23" s="202"/>
      <c r="W23" s="202"/>
      <c r="X23" s="202"/>
    </row>
    <row r="24" spans="1:33" ht="13" customHeight="1">
      <c r="B24" s="63"/>
      <c r="C24" s="202"/>
      <c r="D24" s="202"/>
      <c r="E24" s="202"/>
      <c r="F24" s="202"/>
      <c r="G24" s="202"/>
      <c r="J24" s="202"/>
      <c r="K24" s="202"/>
      <c r="L24" s="202"/>
      <c r="M24" s="202"/>
      <c r="N24" s="202"/>
      <c r="O24" s="202"/>
      <c r="P24" s="202"/>
      <c r="Q24" s="202"/>
      <c r="R24" s="202"/>
      <c r="S24" s="202"/>
      <c r="T24" s="202"/>
      <c r="U24" s="202"/>
      <c r="V24" s="202"/>
      <c r="W24" s="202"/>
      <c r="X24" s="202"/>
    </row>
    <row r="25" spans="1:33" ht="13" customHeight="1">
      <c r="B25" s="63"/>
      <c r="C25" s="202"/>
      <c r="D25" s="202"/>
      <c r="E25" s="202"/>
      <c r="F25" s="202"/>
      <c r="G25" s="202"/>
      <c r="J25" s="202"/>
      <c r="K25" s="202"/>
      <c r="L25" s="202"/>
      <c r="M25" s="202"/>
      <c r="N25" s="202"/>
      <c r="O25" s="202"/>
      <c r="P25" s="202"/>
      <c r="Q25" s="202"/>
      <c r="R25" s="202"/>
      <c r="S25" s="202"/>
      <c r="T25" s="202"/>
      <c r="U25" s="202"/>
      <c r="V25" s="202"/>
      <c r="W25" s="202"/>
      <c r="X25" s="202"/>
    </row>
    <row r="26" spans="1:33" ht="13" customHeight="1">
      <c r="B26" s="66"/>
      <c r="C26" s="202"/>
      <c r="D26" s="202"/>
      <c r="E26" s="202"/>
      <c r="F26" s="202"/>
      <c r="G26" s="202"/>
      <c r="J26" s="202"/>
      <c r="K26" s="202"/>
      <c r="L26" s="202"/>
      <c r="M26" s="202"/>
      <c r="N26" s="202"/>
      <c r="O26" s="202"/>
      <c r="P26" s="202"/>
      <c r="Q26" s="202"/>
      <c r="R26" s="202"/>
      <c r="S26" s="202"/>
      <c r="T26" s="202"/>
      <c r="U26" s="202"/>
      <c r="V26" s="202"/>
      <c r="W26" s="202"/>
      <c r="X26" s="202"/>
    </row>
    <row r="27" spans="1:33" ht="13" customHeight="1">
      <c r="B27" s="67"/>
      <c r="C27" s="202"/>
      <c r="D27" s="202"/>
      <c r="E27" s="202"/>
      <c r="F27" s="202"/>
      <c r="G27" s="202"/>
      <c r="J27" s="202"/>
      <c r="K27" s="202"/>
      <c r="L27" s="202"/>
      <c r="M27" s="202"/>
      <c r="N27" s="202"/>
      <c r="O27" s="202"/>
      <c r="P27" s="202"/>
      <c r="Q27" s="202"/>
      <c r="R27" s="202"/>
      <c r="S27" s="202"/>
      <c r="T27" s="202"/>
      <c r="U27" s="202"/>
      <c r="V27" s="202"/>
      <c r="W27" s="202"/>
      <c r="X27" s="202"/>
    </row>
    <row r="28" spans="1:33" ht="13" customHeight="1">
      <c r="B28" s="67"/>
      <c r="C28" s="202"/>
      <c r="D28" s="202"/>
      <c r="E28" s="202"/>
      <c r="F28" s="202"/>
      <c r="G28" s="202"/>
      <c r="J28" s="202"/>
      <c r="K28" s="202"/>
      <c r="L28" s="202"/>
      <c r="M28" s="202"/>
      <c r="N28" s="202"/>
      <c r="O28" s="202"/>
      <c r="P28" s="202"/>
      <c r="Q28" s="202"/>
      <c r="R28" s="202"/>
      <c r="S28" s="202"/>
      <c r="T28" s="202"/>
      <c r="U28" s="202"/>
      <c r="V28" s="202"/>
      <c r="W28" s="202"/>
      <c r="X28" s="202"/>
    </row>
    <row r="29" spans="1:33" ht="13" customHeight="1">
      <c r="B29" s="65"/>
      <c r="C29" s="202"/>
      <c r="D29" s="202"/>
      <c r="E29" s="202"/>
      <c r="F29" s="202"/>
      <c r="G29" s="202"/>
      <c r="J29" s="202"/>
      <c r="K29" s="202"/>
      <c r="L29" s="202"/>
      <c r="M29" s="202"/>
      <c r="N29" s="202"/>
      <c r="O29" s="202"/>
      <c r="P29" s="202"/>
      <c r="Q29" s="202"/>
      <c r="R29" s="202"/>
      <c r="S29" s="202"/>
      <c r="T29" s="202"/>
      <c r="U29" s="202"/>
      <c r="V29" s="202"/>
      <c r="W29" s="202"/>
      <c r="X29" s="202"/>
    </row>
    <row r="30" spans="1:33" ht="13" customHeight="1">
      <c r="B30" s="15"/>
    </row>
    <row r="32" spans="1:33" s="134" customFormat="1" ht="13" customHeight="1">
      <c r="A32" s="133"/>
      <c r="B32" s="4"/>
      <c r="H32" s="133"/>
      <c r="I32" s="133"/>
      <c r="Y32" s="133"/>
      <c r="Z32" s="133"/>
      <c r="AA32" s="133"/>
      <c r="AB32" s="133"/>
      <c r="AC32" s="133"/>
      <c r="AD32" s="133"/>
      <c r="AE32" s="133"/>
      <c r="AF32" s="133"/>
      <c r="AG32" s="133"/>
    </row>
  </sheetData>
  <sheetProtection algorithmName="SHA-512" hashValue="b9n/OBLYPhdMdHdZwD7Zqb+9Yb74mlzv0fpTQeq7qsOZHg9pfl6n5vqlHRu3atp21C5nI+FeW38LXqzUrfB5LA==" saltValue="DGLWiJ1YobUgZ9fbx/HK2Q=="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11:R11 J13 C11: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B5F-B07D-9545-B96E-2FDDC6A4331C}">
  <sheetPr>
    <tabColor theme="5" tint="0.59999389629810485"/>
  </sheetPr>
  <dimension ref="A1:AG58"/>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25" customWidth="1"/>
    <col min="3" max="8" width="10.83203125" style="134" customWidth="1"/>
    <col min="9" max="9" width="3.83203125" style="134" customWidth="1"/>
    <col min="10" max="25" width="10.83203125" style="134" customWidth="1"/>
    <col min="26" max="26" width="5.83203125" style="134" customWidth="1"/>
    <col min="27" max="28" width="10.83203125" style="134" customWidth="1"/>
    <col min="29" max="30" width="10.83203125" style="133"/>
    <col min="31" max="31" width="21.1640625" style="133" bestFit="1" customWidth="1"/>
    <col min="32" max="16384" width="10.83203125" style="133"/>
  </cols>
  <sheetData>
    <row r="1" spans="1:32" ht="13" customHeight="1">
      <c r="AC1" s="134"/>
    </row>
    <row r="2" spans="1:32" s="10" customFormat="1" ht="13" customHeight="1">
      <c r="B2" s="310" t="str">
        <f>IF('Summary | Sumário'!D$6=Names!B$3,Names!AH1,Names!AI1)</f>
        <v>Monthly ARPAC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1"/>
      <c r="AE2" s="12"/>
      <c r="AF2" s="13"/>
    </row>
    <row r="3" spans="1:32" ht="13" customHeight="1">
      <c r="B3" s="47"/>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45"/>
    </row>
    <row r="4" spans="1:32" ht="13" customHeight="1">
      <c r="B4" s="5" t="str">
        <f>IF('Summary | Sumário'!D$6=Names!B$3,Names!AH3,Names!AI3)</f>
        <v>ARPAC (gross of cost of funding)</v>
      </c>
      <c r="C4" s="200"/>
      <c r="D4" s="200"/>
      <c r="E4" s="200"/>
      <c r="F4" s="200"/>
      <c r="G4" s="200"/>
      <c r="H4" s="200"/>
      <c r="I4" s="209"/>
      <c r="J4" s="200"/>
      <c r="K4" s="200"/>
      <c r="L4" s="200"/>
      <c r="M4" s="200"/>
      <c r="N4" s="200"/>
      <c r="O4" s="200"/>
      <c r="P4" s="200"/>
      <c r="Q4" s="200"/>
      <c r="R4" s="200"/>
      <c r="S4" s="200"/>
      <c r="T4" s="200"/>
      <c r="U4" s="200"/>
      <c r="V4" s="200"/>
      <c r="W4" s="200"/>
      <c r="X4" s="200"/>
      <c r="Y4" s="200"/>
      <c r="Z4" s="209"/>
      <c r="AA4" s="200"/>
      <c r="AB4" s="200"/>
    </row>
    <row r="5" spans="1:32" ht="13" customHeight="1">
      <c r="B5" s="76" t="str">
        <f>IF('Summary | Sumário'!D$6=Names!B$3,Names!AH4,Names!AI4)</f>
        <v>Monthly average of total gross revenues</v>
      </c>
      <c r="C5" s="201">
        <f>C6/12</f>
        <v>85464</v>
      </c>
      <c r="D5" s="201">
        <f t="shared" ref="D5:E5" si="0">D6/12</f>
        <v>110608.40793166666</v>
      </c>
      <c r="E5" s="201">
        <f t="shared" si="0"/>
        <v>259727.07599999997</v>
      </c>
      <c r="F5" s="201">
        <f>F6/12</f>
        <v>498851.51541666663</v>
      </c>
      <c r="G5" s="201">
        <f>G6/12</f>
        <v>673232.08333333337</v>
      </c>
      <c r="H5" s="201">
        <f>H6/12</f>
        <v>861835.79762929445</v>
      </c>
      <c r="I5" s="206"/>
      <c r="J5" s="201">
        <f>J6/3</f>
        <v>181362.33299999998</v>
      </c>
      <c r="K5" s="201">
        <f t="shared" ref="K5:Y5" si="1">K6/3</f>
        <v>211899.78233333337</v>
      </c>
      <c r="L5" s="201">
        <f t="shared" si="1"/>
        <v>279111.62666666665</v>
      </c>
      <c r="M5" s="201">
        <f t="shared" si="1"/>
        <v>366534.22866666666</v>
      </c>
      <c r="N5" s="201">
        <f t="shared" si="1"/>
        <v>427116.67166666663</v>
      </c>
      <c r="O5" s="201">
        <f t="shared" si="1"/>
        <v>487088.43700000009</v>
      </c>
      <c r="P5" s="201">
        <f t="shared" si="1"/>
        <v>513268.489</v>
      </c>
      <c r="Q5" s="201">
        <f t="shared" si="1"/>
        <v>567932.46400000004</v>
      </c>
      <c r="R5" s="201">
        <f t="shared" si="1"/>
        <v>599943.70799999998</v>
      </c>
      <c r="S5" s="201">
        <f t="shared" si="1"/>
        <v>646180.66666666663</v>
      </c>
      <c r="T5" s="201">
        <f t="shared" si="1"/>
        <v>714488.53607999999</v>
      </c>
      <c r="U5" s="201">
        <f t="shared" si="1"/>
        <v>732315.28925333347</v>
      </c>
      <c r="V5" s="201">
        <f t="shared" si="1"/>
        <v>763558.61658005824</v>
      </c>
      <c r="W5" s="201">
        <f t="shared" si="1"/>
        <v>801286.33217417682</v>
      </c>
      <c r="X5" s="201">
        <f t="shared" si="1"/>
        <v>894725.203004524</v>
      </c>
      <c r="Y5" s="201">
        <f t="shared" si="1"/>
        <v>987773.03862437431</v>
      </c>
      <c r="Z5" s="206"/>
      <c r="AA5" s="431">
        <f>Y5/X5-1</f>
        <v>0.10399599263258907</v>
      </c>
      <c r="AB5" s="431">
        <f>Y5/U5-1</f>
        <v>0.34883574482174851</v>
      </c>
    </row>
    <row r="6" spans="1:32" ht="13" customHeight="1">
      <c r="B6" s="54" t="str">
        <f>IF('Summary | Sumário'!D$6=Names!B$3,Names!AH5,Names!AI5)</f>
        <v>Total gross revenues</v>
      </c>
      <c r="C6" s="206">
        <f t="shared" ref="C6:R6" si="2">SUM(C7:C11)</f>
        <v>1025568</v>
      </c>
      <c r="D6" s="206">
        <f t="shared" si="2"/>
        <v>1327300.89518</v>
      </c>
      <c r="E6" s="206">
        <f t="shared" si="2"/>
        <v>3116724.9119999995</v>
      </c>
      <c r="F6" s="206">
        <f t="shared" si="2"/>
        <v>5986218.1849999996</v>
      </c>
      <c r="G6" s="206">
        <f>SUM(G7:G12)</f>
        <v>8078785</v>
      </c>
      <c r="H6" s="206">
        <f>SUM(H7:H12)</f>
        <v>10342029.571551533</v>
      </c>
      <c r="I6" s="206"/>
      <c r="J6" s="206">
        <f t="shared" si="2"/>
        <v>544086.99899999995</v>
      </c>
      <c r="K6" s="206">
        <f t="shared" si="2"/>
        <v>635699.34700000007</v>
      </c>
      <c r="L6" s="206">
        <f t="shared" si="2"/>
        <v>837334.88</v>
      </c>
      <c r="M6" s="206">
        <f t="shared" si="2"/>
        <v>1099602.686</v>
      </c>
      <c r="N6" s="206">
        <f t="shared" si="2"/>
        <v>1281350.0149999999</v>
      </c>
      <c r="O6" s="206">
        <f t="shared" si="2"/>
        <v>1461265.3110000002</v>
      </c>
      <c r="P6" s="206">
        <f t="shared" si="2"/>
        <v>1539805.4669999999</v>
      </c>
      <c r="Q6" s="206">
        <f t="shared" si="2"/>
        <v>1703797.392</v>
      </c>
      <c r="R6" s="206">
        <f t="shared" si="2"/>
        <v>1799831.1240000001</v>
      </c>
      <c r="S6" s="206">
        <f t="shared" ref="S6:X6" si="3">SUM(S7:S12)</f>
        <v>1938542</v>
      </c>
      <c r="T6" s="206">
        <f t="shared" si="3"/>
        <v>2143465.60824</v>
      </c>
      <c r="U6" s="206">
        <f t="shared" si="3"/>
        <v>2196945.8677600003</v>
      </c>
      <c r="V6" s="206">
        <f t="shared" si="3"/>
        <v>2290675.8497401746</v>
      </c>
      <c r="W6" s="206">
        <f t="shared" si="3"/>
        <v>2403858.9965225304</v>
      </c>
      <c r="X6" s="206">
        <f t="shared" si="3"/>
        <v>2684175.6090135719</v>
      </c>
      <c r="Y6" s="206">
        <f t="shared" ref="Y6" si="4">SUM(Y7:Y12)</f>
        <v>2963319.1158731231</v>
      </c>
      <c r="Z6" s="206"/>
      <c r="AA6" s="430">
        <f t="shared" ref="AA6:AA16" si="5">Y6/X6-1</f>
        <v>0.1039959926325893</v>
      </c>
      <c r="AB6" s="430">
        <f t="shared" ref="AB6:AB16" si="6">Y6/U6-1</f>
        <v>0.34883574482174873</v>
      </c>
    </row>
    <row r="7" spans="1:32" ht="13" customHeight="1">
      <c r="B7" s="68" t="str">
        <f>IF('Summary | Sumário'!D$6=Names!B$3,Names!AH6,Names!AI6)</f>
        <v>Interest income</v>
      </c>
      <c r="C7" s="201">
        <v>775515</v>
      </c>
      <c r="D7" s="201">
        <v>942655.89517999999</v>
      </c>
      <c r="E7" s="201">
        <v>1435428.2459999998</v>
      </c>
      <c r="F7" s="201">
        <v>2802658.0819999995</v>
      </c>
      <c r="G7" s="201">
        <v>4549827</v>
      </c>
      <c r="H7" s="201">
        <v>5139213</v>
      </c>
      <c r="I7" s="206"/>
      <c r="J7" s="201">
        <v>289003.935</v>
      </c>
      <c r="K7" s="201">
        <v>305659.75100000005</v>
      </c>
      <c r="L7" s="201">
        <v>367405.88</v>
      </c>
      <c r="M7" s="201">
        <v>473357.68</v>
      </c>
      <c r="N7" s="201">
        <v>521159.63199999993</v>
      </c>
      <c r="O7" s="201">
        <v>622312.6370000001</v>
      </c>
      <c r="P7" s="201">
        <v>788342.73100000003</v>
      </c>
      <c r="Q7" s="201">
        <v>870843.08199999994</v>
      </c>
      <c r="R7" s="201">
        <v>1012926.822</v>
      </c>
      <c r="S7" s="201">
        <v>1151105</v>
      </c>
      <c r="T7" s="201">
        <v>1106935.08874</v>
      </c>
      <c r="U7" s="201">
        <v>1278860.08926</v>
      </c>
      <c r="V7" s="201">
        <v>1217530.9999999998</v>
      </c>
      <c r="W7" s="201">
        <v>1172415.139</v>
      </c>
      <c r="X7" s="201">
        <v>1412226.140133633</v>
      </c>
      <c r="Y7" s="201">
        <v>1337040.7208663672</v>
      </c>
      <c r="Z7" s="206"/>
      <c r="AA7" s="431">
        <f t="shared" si="5"/>
        <v>-5.3238937540238007E-2</v>
      </c>
      <c r="AB7" s="431">
        <f t="shared" si="6"/>
        <v>4.549413348260245E-2</v>
      </c>
    </row>
    <row r="8" spans="1:32" ht="13" customHeight="1">
      <c r="A8" s="171" t="str">
        <f>IF('Summary | Sumário'!D$6=Names!B$3,Names!AH7,Names!AI7)</f>
        <v>Income from securities and derivatives</v>
      </c>
      <c r="B8" s="63" t="str">
        <f>IF('Summary | Sumário'!D$6=Names!B$3,Names!M4,Names!N4)</f>
        <v>Income from securities and derivatives and foreing exchange</v>
      </c>
      <c r="C8" s="202">
        <v>72729</v>
      </c>
      <c r="D8" s="202">
        <v>-25040</v>
      </c>
      <c r="E8" s="202">
        <v>721949.66599999997</v>
      </c>
      <c r="F8" s="202">
        <v>1605401.1030000001</v>
      </c>
      <c r="G8" s="202">
        <v>1634543</v>
      </c>
      <c r="H8" s="202">
        <v>2629169.8134021345</v>
      </c>
      <c r="I8" s="202"/>
      <c r="J8" s="202">
        <v>74012.403999999995</v>
      </c>
      <c r="K8" s="202">
        <v>89585.596000000005</v>
      </c>
      <c r="L8" s="202">
        <v>224342</v>
      </c>
      <c r="M8" s="202">
        <v>334009.66600000003</v>
      </c>
      <c r="N8" s="202">
        <v>376055.38300000003</v>
      </c>
      <c r="O8" s="202">
        <v>429378.674</v>
      </c>
      <c r="P8" s="202">
        <v>378059.73599999998</v>
      </c>
      <c r="Q8" s="202">
        <v>421907.31</v>
      </c>
      <c r="R8" s="202">
        <v>386325.30200000003</v>
      </c>
      <c r="S8" s="202">
        <v>369367</v>
      </c>
      <c r="T8" s="202">
        <v>508679.01922000002</v>
      </c>
      <c r="U8" s="202">
        <v>370171.67877999996</v>
      </c>
      <c r="V8" s="202">
        <v>537136.61082000006</v>
      </c>
      <c r="W8" s="202">
        <v>642093.19580384996</v>
      </c>
      <c r="X8" s="202">
        <v>587740.70944000012</v>
      </c>
      <c r="Y8" s="202">
        <v>862199.29693614994</v>
      </c>
      <c r="Z8" s="202"/>
      <c r="AA8" s="466">
        <f t="shared" si="5"/>
        <v>0.46697222616696776</v>
      </c>
      <c r="AB8" s="466">
        <f t="shared" si="6"/>
        <v>1.3291876347152192</v>
      </c>
    </row>
    <row r="9" spans="1:32" ht="13" customHeight="1">
      <c r="B9" s="68" t="str">
        <f>IF('Summary | Sumário'!D$6=Names!B$3,Names!AH8,Names!AI8)</f>
        <v xml:space="preserve">Revenues from services and commissions </v>
      </c>
      <c r="C9" s="203">
        <v>130457</v>
      </c>
      <c r="D9" s="203">
        <v>257145</v>
      </c>
      <c r="E9" s="203">
        <v>542569</v>
      </c>
      <c r="F9" s="203">
        <v>968039</v>
      </c>
      <c r="G9" s="203">
        <v>1304382</v>
      </c>
      <c r="H9" s="203">
        <v>1753280.4850000001</v>
      </c>
      <c r="I9" s="202"/>
      <c r="J9" s="203">
        <v>100965</v>
      </c>
      <c r="K9" s="203">
        <v>110911</v>
      </c>
      <c r="L9" s="203">
        <v>149283</v>
      </c>
      <c r="M9" s="203">
        <v>181410</v>
      </c>
      <c r="N9" s="203">
        <v>206219</v>
      </c>
      <c r="O9" s="203">
        <v>238515</v>
      </c>
      <c r="P9" s="203">
        <v>250433</v>
      </c>
      <c r="Q9" s="203">
        <v>272872</v>
      </c>
      <c r="R9" s="203">
        <v>282353</v>
      </c>
      <c r="S9" s="203">
        <v>298524</v>
      </c>
      <c r="T9" s="203">
        <v>347780</v>
      </c>
      <c r="U9" s="203">
        <v>375724.6</v>
      </c>
      <c r="V9" s="203">
        <v>374339.16833017452</v>
      </c>
      <c r="W9" s="203">
        <v>397142.87599999999</v>
      </c>
      <c r="X9" s="203">
        <v>467667</v>
      </c>
      <c r="Y9" s="203">
        <v>514131.44066982553</v>
      </c>
      <c r="Z9" s="202"/>
      <c r="AA9" s="467">
        <f t="shared" si="5"/>
        <v>9.935368685373458E-2</v>
      </c>
      <c r="AB9" s="467">
        <f t="shared" si="6"/>
        <v>0.36837311336501677</v>
      </c>
    </row>
    <row r="10" spans="1:32" ht="13" customHeight="1">
      <c r="B10" s="63" t="str">
        <f>IF('Summary | Sumário'!D$6=Names!B$3,Names!AH10,Names!AI10)</f>
        <v>Other revenues</v>
      </c>
      <c r="C10" s="202">
        <v>46867</v>
      </c>
      <c r="D10" s="202">
        <v>92564</v>
      </c>
      <c r="E10" s="202">
        <v>165415</v>
      </c>
      <c r="F10" s="202">
        <v>288682</v>
      </c>
      <c r="G10" s="202">
        <v>286980</v>
      </c>
      <c r="H10" s="202">
        <v>333570.52926939999</v>
      </c>
      <c r="I10" s="202"/>
      <c r="J10" s="202">
        <v>41623</v>
      </c>
      <c r="K10" s="202">
        <v>69359</v>
      </c>
      <c r="L10" s="202">
        <v>30496</v>
      </c>
      <c r="M10" s="202">
        <v>23937</v>
      </c>
      <c r="N10" s="202">
        <v>95374</v>
      </c>
      <c r="O10" s="202">
        <v>85809</v>
      </c>
      <c r="P10" s="202">
        <v>46550</v>
      </c>
      <c r="Q10" s="202">
        <v>60949</v>
      </c>
      <c r="R10" s="202">
        <v>50958</v>
      </c>
      <c r="S10" s="202">
        <v>54967</v>
      </c>
      <c r="T10" s="202">
        <v>104770.50028000001</v>
      </c>
      <c r="U10" s="202">
        <v>76284.499719999993</v>
      </c>
      <c r="V10" s="202">
        <v>68201</v>
      </c>
      <c r="W10" s="202">
        <v>72531.218238679983</v>
      </c>
      <c r="X10" s="202">
        <v>81802.620979938802</v>
      </c>
      <c r="Y10" s="202">
        <v>111035.69005078121</v>
      </c>
      <c r="Z10" s="202"/>
      <c r="AA10" s="466">
        <f t="shared" si="5"/>
        <v>0.35736103220960969</v>
      </c>
      <c r="AB10" s="466">
        <f t="shared" si="6"/>
        <v>0.4555472010478463</v>
      </c>
    </row>
    <row r="11" spans="1:32" ht="13" customHeight="1">
      <c r="B11" s="68" t="str">
        <f>IF('Summary | Sumário'!D$6=Names!B$3,Names!AH11,Names!AI11)</f>
        <v>(+) Cashback expenses</v>
      </c>
      <c r="C11" s="203">
        <v>0</v>
      </c>
      <c r="D11" s="203">
        <v>59976</v>
      </c>
      <c r="E11" s="203">
        <v>251363</v>
      </c>
      <c r="F11" s="203">
        <v>321438</v>
      </c>
      <c r="G11" s="203">
        <v>236482</v>
      </c>
      <c r="H11" s="203">
        <v>360561.95250999997</v>
      </c>
      <c r="I11" s="202"/>
      <c r="J11" s="203">
        <v>38482.660000000003</v>
      </c>
      <c r="K11" s="203">
        <v>60184</v>
      </c>
      <c r="L11" s="203">
        <v>65808</v>
      </c>
      <c r="M11" s="203">
        <v>86888.34</v>
      </c>
      <c r="N11" s="203">
        <v>82542</v>
      </c>
      <c r="O11" s="203">
        <v>85250</v>
      </c>
      <c r="P11" s="203">
        <v>76420</v>
      </c>
      <c r="Q11" s="203">
        <v>77226</v>
      </c>
      <c r="R11" s="203">
        <v>67268</v>
      </c>
      <c r="S11" s="203">
        <v>58005</v>
      </c>
      <c r="T11" s="203">
        <v>48391</v>
      </c>
      <c r="U11" s="203">
        <v>62818</v>
      </c>
      <c r="V11" s="203">
        <v>63381.686999999998</v>
      </c>
      <c r="W11" s="203">
        <v>91044.550029999999</v>
      </c>
      <c r="X11" s="203">
        <v>104280.54006</v>
      </c>
      <c r="Y11" s="203">
        <v>101855.17541999999</v>
      </c>
      <c r="Z11" s="202"/>
      <c r="AA11" s="467">
        <f t="shared" si="5"/>
        <v>-2.3258075174951487E-2</v>
      </c>
      <c r="AB11" s="467">
        <f t="shared" si="6"/>
        <v>0.62143295584068237</v>
      </c>
    </row>
    <row r="12" spans="1:32" ht="13" customHeight="1">
      <c r="B12" s="63" t="str">
        <f>IF('Summary | Sumário'!D$6=Names!B$3,Names!AH32,Names!AI32)</f>
        <v>(+) Inter rewards</v>
      </c>
      <c r="C12" s="202">
        <v>0</v>
      </c>
      <c r="D12" s="202">
        <v>0</v>
      </c>
      <c r="E12" s="202">
        <v>0</v>
      </c>
      <c r="F12" s="202">
        <v>0</v>
      </c>
      <c r="G12" s="202">
        <v>66571</v>
      </c>
      <c r="H12" s="202">
        <v>126233.79137000001</v>
      </c>
      <c r="I12" s="202"/>
      <c r="J12" s="202">
        <v>0</v>
      </c>
      <c r="K12" s="202">
        <v>0</v>
      </c>
      <c r="L12" s="202">
        <v>0</v>
      </c>
      <c r="M12" s="202">
        <v>0</v>
      </c>
      <c r="N12" s="202">
        <v>0</v>
      </c>
      <c r="O12" s="202">
        <v>0</v>
      </c>
      <c r="P12" s="202">
        <v>0</v>
      </c>
      <c r="Q12" s="202">
        <v>0</v>
      </c>
      <c r="R12" s="202">
        <v>0</v>
      </c>
      <c r="S12" s="202">
        <v>6574</v>
      </c>
      <c r="T12" s="202">
        <v>26910</v>
      </c>
      <c r="U12" s="202">
        <v>33087</v>
      </c>
      <c r="V12" s="202">
        <v>30086.383590000005</v>
      </c>
      <c r="W12" s="202">
        <v>28632.017450000003</v>
      </c>
      <c r="X12" s="202">
        <v>30458.598399999999</v>
      </c>
      <c r="Y12" s="202">
        <v>37056.791929999992</v>
      </c>
      <c r="Z12" s="202"/>
      <c r="AA12" s="466">
        <f t="shared" si="5"/>
        <v>0.21662827170668475</v>
      </c>
      <c r="AB12" s="466">
        <f t="shared" si="6"/>
        <v>0.11998041315320185</v>
      </c>
    </row>
    <row r="13" spans="1:32" ht="13" customHeight="1">
      <c r="B13" s="53" t="str">
        <f>IF('Summary | Sumário'!D$6=Names!B$3,Names!AH12,Names!AI12)</f>
        <v>(÷) Average of active clients</v>
      </c>
      <c r="C13" s="201">
        <f>C14</f>
        <v>2282.6979999999999</v>
      </c>
      <c r="D13" s="201">
        <f>AVERAGE(C14:D14)</f>
        <v>3767.4889999999996</v>
      </c>
      <c r="E13" s="201">
        <f t="shared" ref="E13:H13" si="7">AVERAGE(D14:E14)</f>
        <v>7039.3045000000002</v>
      </c>
      <c r="F13" s="201">
        <f t="shared" si="7"/>
        <v>10705.3665</v>
      </c>
      <c r="G13" s="201">
        <f t="shared" si="7"/>
        <v>14494.899000000001</v>
      </c>
      <c r="H13" s="201">
        <f t="shared" si="7"/>
        <v>18483.565000000002</v>
      </c>
      <c r="I13" s="206"/>
      <c r="J13" s="201">
        <f>AVERAGE(J14,D14)</f>
        <v>5692.4650000000001</v>
      </c>
      <c r="K13" s="201">
        <f>AVERAGE(J14:K14)</f>
        <v>6597.8119999999999</v>
      </c>
      <c r="L13" s="201">
        <f t="shared" ref="L13:R13" si="8">AVERAGE(K14:L14)</f>
        <v>7514.7129999999997</v>
      </c>
      <c r="M13" s="201">
        <f t="shared" si="8"/>
        <v>8396.3904999999995</v>
      </c>
      <c r="N13" s="201">
        <f t="shared" si="8"/>
        <v>9358.8734999999997</v>
      </c>
      <c r="O13" s="201">
        <f t="shared" si="8"/>
        <v>10303.8135</v>
      </c>
      <c r="P13" s="201">
        <f t="shared" si="8"/>
        <v>11182.7415</v>
      </c>
      <c r="Q13" s="201">
        <f t="shared" si="8"/>
        <v>12116.839</v>
      </c>
      <c r="R13" s="201">
        <f t="shared" si="8"/>
        <v>13062.486000000001</v>
      </c>
      <c r="S13" s="201">
        <f t="shared" ref="S13:Y13" si="9">AVERAGE(R14:S14)</f>
        <v>14017.737499999999</v>
      </c>
      <c r="T13" s="201">
        <f t="shared" si="9"/>
        <v>14984.0635</v>
      </c>
      <c r="U13" s="201">
        <f t="shared" si="9"/>
        <v>15939.307000000001</v>
      </c>
      <c r="V13" s="201">
        <f t="shared" si="9"/>
        <v>16909.548000000003</v>
      </c>
      <c r="W13" s="201">
        <f t="shared" si="9"/>
        <v>17907.845500000003</v>
      </c>
      <c r="X13" s="201">
        <f t="shared" si="9"/>
        <v>18970.246500000001</v>
      </c>
      <c r="Y13" s="201">
        <f t="shared" si="9"/>
        <v>20050.120000000003</v>
      </c>
      <c r="Z13" s="206"/>
      <c r="AA13" s="431">
        <f t="shared" si="5"/>
        <v>5.6924589777997969E-2</v>
      </c>
      <c r="AB13" s="431">
        <f t="shared" si="6"/>
        <v>0.25790412343522839</v>
      </c>
    </row>
    <row r="14" spans="1:32" ht="13" customHeight="1">
      <c r="B14" s="55" t="str">
        <f>IF('Summary | Sumário'!D$6=Names!B$3,Names!AH13,Names!AI13)</f>
        <v>Active clients</v>
      </c>
      <c r="C14" s="206">
        <v>2282.6979999999999</v>
      </c>
      <c r="D14" s="206">
        <v>5252.28</v>
      </c>
      <c r="E14" s="206">
        <v>8826.3289999999997</v>
      </c>
      <c r="F14" s="206">
        <v>12584.404</v>
      </c>
      <c r="G14" s="206">
        <f>U14</f>
        <v>16405.394</v>
      </c>
      <c r="H14" s="206">
        <f>Y14</f>
        <v>20561.736000000001</v>
      </c>
      <c r="I14" s="206"/>
      <c r="J14" s="206">
        <v>6132.65</v>
      </c>
      <c r="K14" s="206">
        <v>7062.9740000000002</v>
      </c>
      <c r="L14" s="206">
        <v>7966.4520000000002</v>
      </c>
      <c r="M14" s="206">
        <v>8826.3289999999997</v>
      </c>
      <c r="N14" s="206">
        <v>9891.4179999999997</v>
      </c>
      <c r="O14" s="206">
        <v>10716.209000000001</v>
      </c>
      <c r="P14" s="206">
        <v>11649.273999999999</v>
      </c>
      <c r="Q14" s="206">
        <v>12584.404</v>
      </c>
      <c r="R14" s="206">
        <v>13540.567999999999</v>
      </c>
      <c r="S14" s="206">
        <v>14494.906999999999</v>
      </c>
      <c r="T14" s="206">
        <v>15473.22</v>
      </c>
      <c r="U14" s="206">
        <v>16405.394</v>
      </c>
      <c r="V14" s="206">
        <v>17413.702000000001</v>
      </c>
      <c r="W14" s="206">
        <v>18401.989000000001</v>
      </c>
      <c r="X14" s="206">
        <v>19538.504000000001</v>
      </c>
      <c r="Y14" s="206">
        <v>20561.736000000001</v>
      </c>
      <c r="Z14" s="206"/>
      <c r="AA14" s="430">
        <f t="shared" si="5"/>
        <v>5.2370027920254358E-2</v>
      </c>
      <c r="AB14" s="430">
        <f t="shared" si="6"/>
        <v>0.25335215966163327</v>
      </c>
    </row>
    <row r="15" spans="1:32" ht="13" customHeight="1">
      <c r="B15" s="60" t="str">
        <f>IF('Summary | Sumário'!D$6=Names!B$3,Names!AH14,Names!AI14)</f>
        <v>Active clients in the previus period</v>
      </c>
      <c r="C15" s="201">
        <f>C14</f>
        <v>2282.6979999999999</v>
      </c>
      <c r="D15" s="201">
        <f>C15</f>
        <v>2282.6979999999999</v>
      </c>
      <c r="E15" s="201">
        <f>D14</f>
        <v>5252.28</v>
      </c>
      <c r="F15" s="201">
        <f t="shared" ref="F15:H15" si="10">E14</f>
        <v>8826.3289999999997</v>
      </c>
      <c r="G15" s="201">
        <f t="shared" si="10"/>
        <v>12584.404</v>
      </c>
      <c r="H15" s="201">
        <f t="shared" si="10"/>
        <v>16405.394</v>
      </c>
      <c r="I15" s="206"/>
      <c r="J15" s="201">
        <f>D14</f>
        <v>5252.28</v>
      </c>
      <c r="K15" s="201">
        <f t="shared" ref="K15" si="11">J14</f>
        <v>6132.65</v>
      </c>
      <c r="L15" s="201">
        <f t="shared" ref="L15" si="12">K14</f>
        <v>7062.9740000000002</v>
      </c>
      <c r="M15" s="201">
        <f t="shared" ref="M15" si="13">L14</f>
        <v>7966.4520000000002</v>
      </c>
      <c r="N15" s="201">
        <f t="shared" ref="N15" si="14">M14</f>
        <v>8826.3289999999997</v>
      </c>
      <c r="O15" s="201">
        <f t="shared" ref="O15" si="15">N14</f>
        <v>9891.4179999999997</v>
      </c>
      <c r="P15" s="201">
        <f t="shared" ref="P15" si="16">O14</f>
        <v>10716.209000000001</v>
      </c>
      <c r="Q15" s="201">
        <f t="shared" ref="Q15" si="17">P14</f>
        <v>11649.273999999999</v>
      </c>
      <c r="R15" s="201">
        <f t="shared" ref="R15" si="18">Q14</f>
        <v>12584.404</v>
      </c>
      <c r="S15" s="201">
        <f t="shared" ref="S15:Y15" si="19">R14</f>
        <v>13540.567999999999</v>
      </c>
      <c r="T15" s="201">
        <f t="shared" si="19"/>
        <v>14494.906999999999</v>
      </c>
      <c r="U15" s="201">
        <f t="shared" si="19"/>
        <v>15473.22</v>
      </c>
      <c r="V15" s="201">
        <f t="shared" si="19"/>
        <v>16405.394</v>
      </c>
      <c r="W15" s="201">
        <f t="shared" si="19"/>
        <v>17413.702000000001</v>
      </c>
      <c r="X15" s="201">
        <f t="shared" si="19"/>
        <v>18401.989000000001</v>
      </c>
      <c r="Y15" s="201">
        <f t="shared" si="19"/>
        <v>19538.504000000001</v>
      </c>
      <c r="Z15" s="206"/>
      <c r="AA15" s="431">
        <f t="shared" si="5"/>
        <v>6.1760443395548092E-2</v>
      </c>
      <c r="AB15" s="431">
        <f t="shared" si="6"/>
        <v>0.26273031728366836</v>
      </c>
    </row>
    <row r="16" spans="1:32" ht="13" customHeight="1">
      <c r="B16" s="6" t="str">
        <f>IF('Summary | Sumário'!D$6=Names!B$3,Names!AH15,Names!AI15)</f>
        <v>(=) Gross ARPAC (R$)</v>
      </c>
      <c r="C16" s="207">
        <f t="shared" ref="C16:R16" si="20">C5/C13</f>
        <v>37.439906636795584</v>
      </c>
      <c r="D16" s="207">
        <f t="shared" si="20"/>
        <v>29.358654512771416</v>
      </c>
      <c r="E16" s="207">
        <f t="shared" si="20"/>
        <v>36.896695689183495</v>
      </c>
      <c r="F16" s="207">
        <f t="shared" si="20"/>
        <v>46.598265964707196</v>
      </c>
      <c r="G16" s="207">
        <f t="shared" ref="G16:H16" si="21">G5/G13</f>
        <v>46.446138281704023</v>
      </c>
      <c r="H16" s="207">
        <f t="shared" si="21"/>
        <v>46.627141334980259</v>
      </c>
      <c r="I16" s="405"/>
      <c r="J16" s="207">
        <f t="shared" si="20"/>
        <v>31.860069934553831</v>
      </c>
      <c r="K16" s="207">
        <f t="shared" si="20"/>
        <v>32.116674790571992</v>
      </c>
      <c r="L16" s="207">
        <f t="shared" si="20"/>
        <v>37.142020815254909</v>
      </c>
      <c r="M16" s="207">
        <f t="shared" si="20"/>
        <v>43.653785357728026</v>
      </c>
      <c r="N16" s="207">
        <f t="shared" si="20"/>
        <v>45.637615645372989</v>
      </c>
      <c r="O16" s="207">
        <f t="shared" si="20"/>
        <v>47.27263716487105</v>
      </c>
      <c r="P16" s="207">
        <f t="shared" si="20"/>
        <v>45.898270026182757</v>
      </c>
      <c r="Q16" s="207">
        <f t="shared" si="20"/>
        <v>46.871338638732432</v>
      </c>
      <c r="R16" s="207">
        <f t="shared" si="20"/>
        <v>45.928754143736498</v>
      </c>
      <c r="S16" s="207">
        <f t="shared" ref="S16:X16" si="22">S5/S13</f>
        <v>46.097358198258931</v>
      </c>
      <c r="T16" s="207">
        <f t="shared" si="22"/>
        <v>47.683229324275089</v>
      </c>
      <c r="U16" s="207">
        <f t="shared" si="22"/>
        <v>45.943985472726851</v>
      </c>
      <c r="V16" s="207">
        <f t="shared" si="22"/>
        <v>45.155471724025865</v>
      </c>
      <c r="W16" s="207">
        <f t="shared" si="22"/>
        <v>44.744988009538986</v>
      </c>
      <c r="X16" s="207">
        <f t="shared" si="22"/>
        <v>47.164658772595494</v>
      </c>
      <c r="Y16" s="207">
        <f t="shared" ref="Y16" si="23">Y5/Y13</f>
        <v>49.265193356666899</v>
      </c>
      <c r="Z16" s="405"/>
      <c r="AA16" s="468">
        <f t="shared" si="5"/>
        <v>4.4536198050305842E-2</v>
      </c>
      <c r="AB16" s="468">
        <f t="shared" si="6"/>
        <v>7.2288197242086794E-2</v>
      </c>
    </row>
    <row r="17" spans="2:30" ht="13" customHeight="1">
      <c r="B17" s="70"/>
      <c r="C17" s="205"/>
      <c r="D17" s="205"/>
      <c r="E17" s="205"/>
      <c r="F17" s="205"/>
      <c r="G17" s="205"/>
      <c r="H17" s="205"/>
      <c r="J17" s="205"/>
      <c r="K17" s="205"/>
      <c r="L17" s="205"/>
      <c r="M17" s="205"/>
      <c r="N17" s="205"/>
      <c r="O17" s="205"/>
      <c r="P17" s="205"/>
      <c r="Q17" s="205"/>
      <c r="R17" s="205"/>
      <c r="S17" s="205"/>
      <c r="T17" s="205"/>
      <c r="U17" s="205"/>
      <c r="V17" s="205"/>
      <c r="W17" s="205"/>
      <c r="X17" s="205"/>
      <c r="Y17" s="205"/>
      <c r="AA17" s="205"/>
      <c r="AB17" s="205"/>
    </row>
    <row r="18" spans="2:30" ht="13" customHeight="1">
      <c r="B18" s="5" t="str">
        <f>IF('Summary | Sumário'!D$6=Names!B$3,Names!AH17,Names!AI17)</f>
        <v>ARPAC (net of cost of funding)</v>
      </c>
      <c r="C18" s="200"/>
      <c r="D18" s="200"/>
      <c r="E18" s="200"/>
      <c r="F18" s="200"/>
      <c r="G18" s="200"/>
      <c r="H18" s="200"/>
      <c r="I18" s="209"/>
      <c r="J18" s="200"/>
      <c r="K18" s="200"/>
      <c r="L18" s="200"/>
      <c r="M18" s="200"/>
      <c r="N18" s="200"/>
      <c r="O18" s="200"/>
      <c r="P18" s="200"/>
      <c r="Q18" s="200"/>
      <c r="R18" s="200"/>
      <c r="S18" s="200"/>
      <c r="T18" s="200"/>
      <c r="U18" s="200"/>
      <c r="V18" s="200"/>
      <c r="W18" s="200"/>
      <c r="X18" s="200"/>
      <c r="Y18" s="200"/>
      <c r="Z18" s="209"/>
      <c r="AA18" s="200"/>
      <c r="AB18" s="200"/>
    </row>
    <row r="19" spans="2:30" ht="13" customHeight="1">
      <c r="B19" s="84" t="str">
        <f>IF('Summary | Sumário'!D$6=Names!B$3,Names!AH18,Names!AI18)</f>
        <v>Monthly average total revenues net of cost of funding</v>
      </c>
      <c r="C19" s="201">
        <f>C20/12</f>
        <v>64070.916666666664</v>
      </c>
      <c r="D19" s="201">
        <f t="shared" ref="D19" si="24">D20/12</f>
        <v>95247.157931666661</v>
      </c>
      <c r="E19" s="201">
        <f t="shared" ref="E19" si="25">E20/12</f>
        <v>214456.90933333329</v>
      </c>
      <c r="F19" s="201">
        <f>F20/12</f>
        <v>334447.34874999995</v>
      </c>
      <c r="G19" s="201">
        <f>G20/12</f>
        <v>432601</v>
      </c>
      <c r="H19" s="201">
        <f>H20/12</f>
        <v>585865.92937446118</v>
      </c>
      <c r="I19" s="206"/>
      <c r="J19" s="201">
        <f>J20/3</f>
        <v>159509.33299999998</v>
      </c>
      <c r="K19" s="201">
        <f t="shared" ref="K19" si="26">K20/3</f>
        <v>183146.11566666668</v>
      </c>
      <c r="L19" s="201">
        <f t="shared" ref="L19" si="27">L20/3</f>
        <v>232915.96</v>
      </c>
      <c r="M19" s="201">
        <f t="shared" ref="M19" si="28">M20/3</f>
        <v>282255.89533333335</v>
      </c>
      <c r="N19" s="201">
        <f t="shared" ref="N19" si="29">N20/3</f>
        <v>314859.67166666663</v>
      </c>
      <c r="O19" s="201">
        <f t="shared" ref="O19" si="30">O20/3</f>
        <v>332074.77033333341</v>
      </c>
      <c r="P19" s="201">
        <f t="shared" ref="P19" si="31">P20/3</f>
        <v>320042.489</v>
      </c>
      <c r="Q19" s="201">
        <f t="shared" ref="Q19" si="32">Q20/3</f>
        <v>370812.46399999998</v>
      </c>
      <c r="R19" s="201">
        <f t="shared" ref="R19:Y19" si="33">R20/3</f>
        <v>375686.70800000004</v>
      </c>
      <c r="S19" s="201">
        <f t="shared" si="33"/>
        <v>415445.33333333331</v>
      </c>
      <c r="T19" s="201">
        <f t="shared" si="33"/>
        <v>457689.20274666668</v>
      </c>
      <c r="U19" s="201">
        <f t="shared" si="33"/>
        <v>481582.62092000007</v>
      </c>
      <c r="V19" s="201">
        <f t="shared" si="33"/>
        <v>509476.31981339148</v>
      </c>
      <c r="W19" s="201">
        <f t="shared" si="33"/>
        <v>543738.79584084346</v>
      </c>
      <c r="X19" s="201">
        <f t="shared" si="33"/>
        <v>616186.29700452404</v>
      </c>
      <c r="Y19" s="201">
        <f t="shared" si="33"/>
        <v>674062.30470504111</v>
      </c>
      <c r="Z19" s="206"/>
      <c r="AA19" s="431">
        <f>Y19/X19-1</f>
        <v>9.3926151850293627E-2</v>
      </c>
      <c r="AB19" s="431">
        <f>Y19/U19-1</f>
        <v>0.39968154045371063</v>
      </c>
      <c r="AD19" s="622"/>
    </row>
    <row r="20" spans="2:30" ht="13" customHeight="1">
      <c r="B20" s="54" t="str">
        <f>IF('Summary | Sumário'!D$6=Names!B$3,Names!AH19,Names!AI19)</f>
        <v>Total revenues net of cost of funding</v>
      </c>
      <c r="C20" s="206">
        <f t="shared" ref="C20:S20" si="34">SUM(C21:C27)</f>
        <v>768851</v>
      </c>
      <c r="D20" s="206">
        <f t="shared" si="34"/>
        <v>1142965.89518</v>
      </c>
      <c r="E20" s="206">
        <f t="shared" si="34"/>
        <v>2573482.9119999995</v>
      </c>
      <c r="F20" s="206">
        <f t="shared" si="34"/>
        <v>4013368.1849999996</v>
      </c>
      <c r="G20" s="206">
        <f t="shared" ref="G20:H20" si="35">SUM(G21:G27)</f>
        <v>5191212</v>
      </c>
      <c r="H20" s="206">
        <f t="shared" si="35"/>
        <v>7030391.1524935337</v>
      </c>
      <c r="I20" s="206"/>
      <c r="J20" s="206">
        <f t="shared" si="34"/>
        <v>478527.99899999995</v>
      </c>
      <c r="K20" s="206">
        <f t="shared" si="34"/>
        <v>549438.34700000007</v>
      </c>
      <c r="L20" s="206">
        <f t="shared" si="34"/>
        <v>698747.88</v>
      </c>
      <c r="M20" s="206">
        <f t="shared" si="34"/>
        <v>846767.68599999999</v>
      </c>
      <c r="N20" s="206">
        <f t="shared" si="34"/>
        <v>944579.0149999999</v>
      </c>
      <c r="O20" s="206">
        <f t="shared" si="34"/>
        <v>996224.31100000022</v>
      </c>
      <c r="P20" s="206">
        <f t="shared" si="34"/>
        <v>960127.46699999995</v>
      </c>
      <c r="Q20" s="206">
        <f t="shared" si="34"/>
        <v>1112437.392</v>
      </c>
      <c r="R20" s="206">
        <f t="shared" si="34"/>
        <v>1127060.1240000001</v>
      </c>
      <c r="S20" s="206">
        <f t="shared" si="34"/>
        <v>1246336</v>
      </c>
      <c r="T20" s="206">
        <f t="shared" ref="T20:U20" si="36">SUM(T21:T27)</f>
        <v>1373067.60824</v>
      </c>
      <c r="U20" s="206">
        <f t="shared" si="36"/>
        <v>1444747.8627600002</v>
      </c>
      <c r="V20" s="206">
        <f t="shared" ref="V20:W20" si="37">SUM(V21:V27)</f>
        <v>1528428.9594401745</v>
      </c>
      <c r="W20" s="206">
        <f t="shared" si="37"/>
        <v>1631216.3875225303</v>
      </c>
      <c r="X20" s="206">
        <f t="shared" ref="X20:Y20" si="38">SUM(X21:X27)</f>
        <v>1848558.891013572</v>
      </c>
      <c r="Y20" s="206">
        <f t="shared" si="38"/>
        <v>2022186.9141151232</v>
      </c>
      <c r="Z20" s="206"/>
      <c r="AA20" s="430">
        <f t="shared" ref="AA20:AA31" si="39">Y20/X20-1</f>
        <v>9.3926151850293627E-2</v>
      </c>
      <c r="AB20" s="430">
        <f t="shared" ref="AB20:AB31" si="40">Y20/U20-1</f>
        <v>0.39968154045371063</v>
      </c>
      <c r="AD20" s="622"/>
    </row>
    <row r="21" spans="2:30" ht="13" customHeight="1">
      <c r="B21" s="68" t="str">
        <f>IF('Summary | Sumário'!D$6=Names!B$3,Names!AH20,Names!AI20)</f>
        <v>Interest income</v>
      </c>
      <c r="C21" s="201">
        <v>775515</v>
      </c>
      <c r="D21" s="201">
        <v>942655.89517999999</v>
      </c>
      <c r="E21" s="201">
        <v>1435428.2459999998</v>
      </c>
      <c r="F21" s="201">
        <v>2802658.0819999995</v>
      </c>
      <c r="G21" s="201">
        <v>4549827</v>
      </c>
      <c r="H21" s="201">
        <v>5139213</v>
      </c>
      <c r="I21" s="206"/>
      <c r="J21" s="201">
        <v>289003.935</v>
      </c>
      <c r="K21" s="201">
        <v>305659.75100000005</v>
      </c>
      <c r="L21" s="201">
        <v>367405.88</v>
      </c>
      <c r="M21" s="201">
        <v>473357.68</v>
      </c>
      <c r="N21" s="201">
        <v>521159.63199999993</v>
      </c>
      <c r="O21" s="201">
        <v>622312.6370000001</v>
      </c>
      <c r="P21" s="201">
        <v>788342.73100000003</v>
      </c>
      <c r="Q21" s="201">
        <v>870843.08199999994</v>
      </c>
      <c r="R21" s="201">
        <v>1012926.822</v>
      </c>
      <c r="S21" s="201">
        <v>1151105</v>
      </c>
      <c r="T21" s="201">
        <v>1106935.08874</v>
      </c>
      <c r="U21" s="201">
        <v>1278860.08926</v>
      </c>
      <c r="V21" s="201">
        <v>1217530.9999999998</v>
      </c>
      <c r="W21" s="201">
        <v>1172415.139</v>
      </c>
      <c r="X21" s="201">
        <v>1412226.140133633</v>
      </c>
      <c r="Y21" s="201">
        <v>1337040.7208663672</v>
      </c>
      <c r="Z21" s="206"/>
      <c r="AA21" s="431">
        <f t="shared" si="39"/>
        <v>-5.3238937540238007E-2</v>
      </c>
      <c r="AB21" s="431">
        <f t="shared" si="40"/>
        <v>4.549413348260245E-2</v>
      </c>
    </row>
    <row r="22" spans="2:30" ht="13" customHeight="1">
      <c r="B22" s="63" t="str">
        <f>IF('Summary | Sumário'!D$6=Names!B$3,Names!AH21,Names!AI21)</f>
        <v>Income from securities and derivatives</v>
      </c>
      <c r="C22" s="202">
        <v>72729</v>
      </c>
      <c r="D22" s="202">
        <v>-25040</v>
      </c>
      <c r="E22" s="202">
        <v>721949.66599999997</v>
      </c>
      <c r="F22" s="202">
        <v>1605401.1030000001</v>
      </c>
      <c r="G22" s="202">
        <v>1634543</v>
      </c>
      <c r="H22" s="202">
        <v>2629169.8134021345</v>
      </c>
      <c r="I22" s="202"/>
      <c r="J22" s="202">
        <v>74012.403999999995</v>
      </c>
      <c r="K22" s="202">
        <v>89585.596000000005</v>
      </c>
      <c r="L22" s="202">
        <v>224342</v>
      </c>
      <c r="M22" s="202">
        <v>334009.66600000003</v>
      </c>
      <c r="N22" s="202">
        <v>376055.38300000003</v>
      </c>
      <c r="O22" s="202">
        <v>429378.674</v>
      </c>
      <c r="P22" s="202">
        <v>378059.73599999998</v>
      </c>
      <c r="Q22" s="202">
        <v>421907.31</v>
      </c>
      <c r="R22" s="202">
        <v>386325.30200000003</v>
      </c>
      <c r="S22" s="202">
        <v>369367</v>
      </c>
      <c r="T22" s="202">
        <v>508679.01922000002</v>
      </c>
      <c r="U22" s="202">
        <v>370171.67877999996</v>
      </c>
      <c r="V22" s="202">
        <v>537136.61082000006</v>
      </c>
      <c r="W22" s="202">
        <v>642093.19580384996</v>
      </c>
      <c r="X22" s="202">
        <v>587740.70944000012</v>
      </c>
      <c r="Y22" s="202">
        <v>862199.29693614994</v>
      </c>
      <c r="Z22" s="202"/>
      <c r="AA22" s="466">
        <f t="shared" si="39"/>
        <v>0.46697222616696776</v>
      </c>
      <c r="AB22" s="466">
        <f t="shared" si="40"/>
        <v>1.3291876347152192</v>
      </c>
    </row>
    <row r="23" spans="2:30" ht="13" customHeight="1">
      <c r="B23" s="68" t="str">
        <f>IF('Summary | Sumário'!D$6=Names!B$3,Names!AH22,Names!AI22)</f>
        <v xml:space="preserve">Revenues from services and commissions </v>
      </c>
      <c r="C23" s="203">
        <v>130457</v>
      </c>
      <c r="D23" s="203">
        <v>257145</v>
      </c>
      <c r="E23" s="203">
        <v>542569</v>
      </c>
      <c r="F23" s="203">
        <v>968039</v>
      </c>
      <c r="G23" s="203">
        <v>1304382</v>
      </c>
      <c r="H23" s="203">
        <v>1753280.4850000001</v>
      </c>
      <c r="I23" s="202"/>
      <c r="J23" s="203">
        <v>100965</v>
      </c>
      <c r="K23" s="203">
        <v>110911</v>
      </c>
      <c r="L23" s="203">
        <v>149283</v>
      </c>
      <c r="M23" s="203">
        <v>181410</v>
      </c>
      <c r="N23" s="203">
        <v>206219</v>
      </c>
      <c r="O23" s="203">
        <v>238515</v>
      </c>
      <c r="P23" s="203">
        <v>250433</v>
      </c>
      <c r="Q23" s="203">
        <v>272872</v>
      </c>
      <c r="R23" s="203">
        <v>282353</v>
      </c>
      <c r="S23" s="203">
        <v>298524</v>
      </c>
      <c r="T23" s="203">
        <v>347780</v>
      </c>
      <c r="U23" s="203">
        <v>375724.6</v>
      </c>
      <c r="V23" s="203">
        <v>374339.16833017452</v>
      </c>
      <c r="W23" s="203">
        <v>397142.87599999999</v>
      </c>
      <c r="X23" s="203">
        <v>467667</v>
      </c>
      <c r="Y23" s="203">
        <v>514131.44066982553</v>
      </c>
      <c r="Z23" s="202"/>
      <c r="AA23" s="467">
        <f t="shared" si="39"/>
        <v>9.935368685373458E-2</v>
      </c>
      <c r="AB23" s="467">
        <f t="shared" si="40"/>
        <v>0.36837311336501677</v>
      </c>
    </row>
    <row r="24" spans="2:30" ht="13" customHeight="1">
      <c r="B24" s="63" t="str">
        <f>IF('Summary | Sumário'!D$6=Names!B$3,Names!AH24,Names!AI24)</f>
        <v>Other revenues</v>
      </c>
      <c r="C24" s="202">
        <v>46867</v>
      </c>
      <c r="D24" s="202">
        <v>92564</v>
      </c>
      <c r="E24" s="202">
        <v>165415</v>
      </c>
      <c r="F24" s="202">
        <v>288682</v>
      </c>
      <c r="G24" s="202">
        <v>286980</v>
      </c>
      <c r="H24" s="202">
        <v>333570.52926939999</v>
      </c>
      <c r="I24" s="202"/>
      <c r="J24" s="202">
        <v>41623</v>
      </c>
      <c r="K24" s="202">
        <v>69359</v>
      </c>
      <c r="L24" s="202">
        <v>30496</v>
      </c>
      <c r="M24" s="202">
        <v>23937</v>
      </c>
      <c r="N24" s="202">
        <v>95374</v>
      </c>
      <c r="O24" s="202">
        <v>85809</v>
      </c>
      <c r="P24" s="202">
        <v>46550</v>
      </c>
      <c r="Q24" s="202">
        <v>60949</v>
      </c>
      <c r="R24" s="202">
        <v>50958</v>
      </c>
      <c r="S24" s="202">
        <v>54967</v>
      </c>
      <c r="T24" s="202">
        <v>104770.50028000001</v>
      </c>
      <c r="U24" s="202">
        <v>76284.499719999993</v>
      </c>
      <c r="V24" s="202">
        <v>68201</v>
      </c>
      <c r="W24" s="202">
        <v>72531.218238679983</v>
      </c>
      <c r="X24" s="202">
        <v>81802.620979938802</v>
      </c>
      <c r="Y24" s="202">
        <v>111035.69005078121</v>
      </c>
      <c r="Z24" s="202"/>
      <c r="AA24" s="466">
        <f t="shared" si="39"/>
        <v>0.35736103220960969</v>
      </c>
      <c r="AB24" s="466">
        <f t="shared" si="40"/>
        <v>0.4555472010478463</v>
      </c>
    </row>
    <row r="25" spans="2:30" ht="13" customHeight="1">
      <c r="B25" s="68" t="str">
        <f>IF('Summary | Sumário'!D$6=Names!B$3,Names!AH25,Names!AI25)</f>
        <v>(+) Cashback expenses</v>
      </c>
      <c r="C25" s="203">
        <f t="shared" ref="C25:S26" si="41">C11</f>
        <v>0</v>
      </c>
      <c r="D25" s="203">
        <f t="shared" si="41"/>
        <v>59976</v>
      </c>
      <c r="E25" s="203">
        <f t="shared" si="41"/>
        <v>251363</v>
      </c>
      <c r="F25" s="203">
        <f t="shared" si="41"/>
        <v>321438</v>
      </c>
      <c r="G25" s="203">
        <f t="shared" ref="G25:H25" si="42">G11</f>
        <v>236482</v>
      </c>
      <c r="H25" s="203">
        <f t="shared" si="42"/>
        <v>360561.95250999997</v>
      </c>
      <c r="I25" s="202"/>
      <c r="J25" s="203">
        <f t="shared" si="41"/>
        <v>38482.660000000003</v>
      </c>
      <c r="K25" s="203">
        <f t="shared" si="41"/>
        <v>60184</v>
      </c>
      <c r="L25" s="203">
        <f t="shared" si="41"/>
        <v>65808</v>
      </c>
      <c r="M25" s="203">
        <f t="shared" si="41"/>
        <v>86888.34</v>
      </c>
      <c r="N25" s="203">
        <f t="shared" si="41"/>
        <v>82542</v>
      </c>
      <c r="O25" s="203">
        <f t="shared" si="41"/>
        <v>85250</v>
      </c>
      <c r="P25" s="203">
        <f t="shared" si="41"/>
        <v>76420</v>
      </c>
      <c r="Q25" s="203">
        <f t="shared" si="41"/>
        <v>77226</v>
      </c>
      <c r="R25" s="203">
        <f t="shared" si="41"/>
        <v>67268</v>
      </c>
      <c r="S25" s="203">
        <f t="shared" si="41"/>
        <v>58005</v>
      </c>
      <c r="T25" s="203">
        <f t="shared" ref="T25:U25" si="43">T11</f>
        <v>48391</v>
      </c>
      <c r="U25" s="203">
        <f t="shared" si="43"/>
        <v>62818</v>
      </c>
      <c r="V25" s="203">
        <f t="shared" ref="V25:W25" si="44">V11</f>
        <v>63381.686999999998</v>
      </c>
      <c r="W25" s="203">
        <f t="shared" si="44"/>
        <v>91044.550029999999</v>
      </c>
      <c r="X25" s="203">
        <f t="shared" ref="X25:Y25" si="45">X11</f>
        <v>104280.54006</v>
      </c>
      <c r="Y25" s="203">
        <f t="shared" si="45"/>
        <v>101855.17541999999</v>
      </c>
      <c r="Z25" s="202"/>
      <c r="AA25" s="467">
        <f t="shared" si="39"/>
        <v>-2.3258075174951487E-2</v>
      </c>
      <c r="AB25" s="467">
        <f t="shared" si="40"/>
        <v>0.62143295584068237</v>
      </c>
    </row>
    <row r="26" spans="2:30" ht="13" customHeight="1">
      <c r="B26" s="63" t="str">
        <f>IF('Summary | Sumário'!D$6=Names!B$3,Names!AH32,Names!AI32)</f>
        <v>(+) Inter rewards</v>
      </c>
      <c r="C26" s="202">
        <f t="shared" si="41"/>
        <v>0</v>
      </c>
      <c r="D26" s="202">
        <f t="shared" si="41"/>
        <v>0</v>
      </c>
      <c r="E26" s="202">
        <f t="shared" si="41"/>
        <v>0</v>
      </c>
      <c r="F26" s="202">
        <f t="shared" si="41"/>
        <v>0</v>
      </c>
      <c r="G26" s="202">
        <f t="shared" ref="G26:H26" si="46">G12</f>
        <v>66571</v>
      </c>
      <c r="H26" s="202">
        <f t="shared" si="46"/>
        <v>126233.79137000001</v>
      </c>
      <c r="I26" s="202"/>
      <c r="J26" s="202">
        <f t="shared" si="41"/>
        <v>0</v>
      </c>
      <c r="K26" s="202">
        <f t="shared" si="41"/>
        <v>0</v>
      </c>
      <c r="L26" s="202">
        <f t="shared" si="41"/>
        <v>0</v>
      </c>
      <c r="M26" s="202">
        <f t="shared" si="41"/>
        <v>0</v>
      </c>
      <c r="N26" s="202">
        <f t="shared" si="41"/>
        <v>0</v>
      </c>
      <c r="O26" s="202">
        <f t="shared" si="41"/>
        <v>0</v>
      </c>
      <c r="P26" s="202">
        <f t="shared" si="41"/>
        <v>0</v>
      </c>
      <c r="Q26" s="202">
        <f t="shared" si="41"/>
        <v>0</v>
      </c>
      <c r="R26" s="202">
        <f t="shared" si="41"/>
        <v>0</v>
      </c>
      <c r="S26" s="202">
        <f t="shared" si="41"/>
        <v>6574</v>
      </c>
      <c r="T26" s="202">
        <f t="shared" ref="T26:U26" si="47">T12</f>
        <v>26910</v>
      </c>
      <c r="U26" s="202">
        <f t="shared" si="47"/>
        <v>33087</v>
      </c>
      <c r="V26" s="202">
        <f t="shared" ref="V26:W26" si="48">V12</f>
        <v>30086.383590000005</v>
      </c>
      <c r="W26" s="202">
        <f t="shared" si="48"/>
        <v>28632.017450000003</v>
      </c>
      <c r="X26" s="202">
        <f t="shared" ref="X26:Y26" si="49">X12</f>
        <v>30458.598399999999</v>
      </c>
      <c r="Y26" s="202">
        <f t="shared" si="49"/>
        <v>37056.791929999992</v>
      </c>
      <c r="Z26" s="202"/>
      <c r="AA26" s="466">
        <f t="shared" si="39"/>
        <v>0.21662827170668475</v>
      </c>
      <c r="AB26" s="466">
        <f t="shared" si="40"/>
        <v>0.11998041315320185</v>
      </c>
    </row>
    <row r="27" spans="2:30" ht="13" customHeight="1">
      <c r="B27" s="85" t="str">
        <f>IF('Summary | Sumário'!D$6=Names!B$3,Names!AH26,Names!AI26)</f>
        <v>Interest expenses</v>
      </c>
      <c r="C27" s="203">
        <v>-256717</v>
      </c>
      <c r="D27" s="203">
        <v>-184335</v>
      </c>
      <c r="E27" s="203">
        <v>-543242</v>
      </c>
      <c r="F27" s="203">
        <v>-1972850</v>
      </c>
      <c r="G27" s="203">
        <v>-2887573</v>
      </c>
      <c r="H27" s="203">
        <v>-3311638.4190579997</v>
      </c>
      <c r="I27" s="202"/>
      <c r="J27" s="203">
        <v>-65559</v>
      </c>
      <c r="K27" s="203">
        <v>-86261</v>
      </c>
      <c r="L27" s="203">
        <v>-138587</v>
      </c>
      <c r="M27" s="203">
        <v>-252835</v>
      </c>
      <c r="N27" s="203">
        <v>-336771</v>
      </c>
      <c r="O27" s="203">
        <v>-465041</v>
      </c>
      <c r="P27" s="203">
        <v>-579678</v>
      </c>
      <c r="Q27" s="203">
        <v>-591360</v>
      </c>
      <c r="R27" s="203">
        <v>-672771</v>
      </c>
      <c r="S27" s="203">
        <v>-692206</v>
      </c>
      <c r="T27" s="203">
        <v>-770398</v>
      </c>
      <c r="U27" s="203">
        <v>-752198.00500000012</v>
      </c>
      <c r="V27" s="203">
        <v>-762246.89030000009</v>
      </c>
      <c r="W27" s="203">
        <v>-772642.60900000005</v>
      </c>
      <c r="X27" s="203">
        <v>-835616.71799999999</v>
      </c>
      <c r="Y27" s="203">
        <v>-941132.20175799984</v>
      </c>
      <c r="Z27" s="202"/>
      <c r="AA27" s="467">
        <f t="shared" si="39"/>
        <v>0.12627258584599055</v>
      </c>
      <c r="AB27" s="467">
        <f t="shared" si="40"/>
        <v>0.25117614710770164</v>
      </c>
    </row>
    <row r="28" spans="2:30" ht="13" customHeight="1">
      <c r="B28" s="51" t="str">
        <f>IF('Summary | Sumário'!D$6=Names!B$3,Names!AH27,Names!AI27)</f>
        <v>(÷) Average active clients</v>
      </c>
      <c r="C28" s="206">
        <f>C29</f>
        <v>2282.6979999999999</v>
      </c>
      <c r="D28" s="206">
        <f>AVERAGE(C29:D29)</f>
        <v>3767.4889999999996</v>
      </c>
      <c r="E28" s="206">
        <f t="shared" ref="E28" si="50">AVERAGE(D29:E29)</f>
        <v>7039.3045000000002</v>
      </c>
      <c r="F28" s="206">
        <f t="shared" ref="F28:H28" si="51">AVERAGE(E29:F29)</f>
        <v>10705.3665</v>
      </c>
      <c r="G28" s="206">
        <f t="shared" si="51"/>
        <v>14494.899000000001</v>
      </c>
      <c r="H28" s="206">
        <f t="shared" si="51"/>
        <v>16909.548000000003</v>
      </c>
      <c r="I28" s="206"/>
      <c r="J28" s="206">
        <f>AVERAGE(J29,D29)</f>
        <v>5692.4650000000001</v>
      </c>
      <c r="K28" s="206">
        <f>AVERAGE(J29:K29)</f>
        <v>6597.8119999999999</v>
      </c>
      <c r="L28" s="206">
        <f t="shared" ref="L28" si="52">AVERAGE(K29:L29)</f>
        <v>7514.7129999999997</v>
      </c>
      <c r="M28" s="206">
        <f t="shared" ref="M28" si="53">AVERAGE(L29:M29)</f>
        <v>8396.3904999999995</v>
      </c>
      <c r="N28" s="206">
        <f t="shared" ref="N28" si="54">AVERAGE(M29:N29)</f>
        <v>9358.8734999999997</v>
      </c>
      <c r="O28" s="206">
        <f t="shared" ref="O28" si="55">AVERAGE(N29:O29)</f>
        <v>10303.8135</v>
      </c>
      <c r="P28" s="206">
        <f t="shared" ref="P28" si="56">AVERAGE(O29:P29)</f>
        <v>11182.7415</v>
      </c>
      <c r="Q28" s="206">
        <f t="shared" ref="Q28" si="57">AVERAGE(P29:Q29)</f>
        <v>12116.839</v>
      </c>
      <c r="R28" s="206">
        <f t="shared" ref="R28:Y28" si="58">AVERAGE(Q29:R29)</f>
        <v>13062.486000000001</v>
      </c>
      <c r="S28" s="206">
        <f t="shared" si="58"/>
        <v>14017.737499999999</v>
      </c>
      <c r="T28" s="206">
        <f t="shared" si="58"/>
        <v>14984.0635</v>
      </c>
      <c r="U28" s="206">
        <f t="shared" si="58"/>
        <v>15939.307000000001</v>
      </c>
      <c r="V28" s="206">
        <f t="shared" si="58"/>
        <v>16909.548000000003</v>
      </c>
      <c r="W28" s="206">
        <f t="shared" si="58"/>
        <v>17907.845500000003</v>
      </c>
      <c r="X28" s="206">
        <f t="shared" si="58"/>
        <v>18970.246500000001</v>
      </c>
      <c r="Y28" s="206">
        <f t="shared" si="58"/>
        <v>20050.120000000003</v>
      </c>
      <c r="Z28" s="206"/>
      <c r="AA28" s="430">
        <f t="shared" si="39"/>
        <v>5.6924589777997969E-2</v>
      </c>
      <c r="AB28" s="430">
        <f t="shared" si="40"/>
        <v>0.25790412343522839</v>
      </c>
    </row>
    <row r="29" spans="2:30" ht="13" customHeight="1">
      <c r="B29" s="60" t="str">
        <f>IF('Summary | Sumário'!D$6=Names!B$3,Names!AH28,Names!AI28)</f>
        <v>Active clients</v>
      </c>
      <c r="C29" s="201">
        <v>2282.6979999999999</v>
      </c>
      <c r="D29" s="201">
        <v>5252.28</v>
      </c>
      <c r="E29" s="201">
        <v>8826.3289999999997</v>
      </c>
      <c r="F29" s="201">
        <v>12584.404</v>
      </c>
      <c r="G29" s="201">
        <f>U29</f>
        <v>16405.394</v>
      </c>
      <c r="H29" s="201">
        <f>V29</f>
        <v>17413.702000000001</v>
      </c>
      <c r="I29" s="206"/>
      <c r="J29" s="201">
        <v>6132.65</v>
      </c>
      <c r="K29" s="201">
        <v>7062.9740000000002</v>
      </c>
      <c r="L29" s="201">
        <v>7966.4520000000002</v>
      </c>
      <c r="M29" s="201">
        <v>8826.3289999999997</v>
      </c>
      <c r="N29" s="201">
        <v>9891.4179999999997</v>
      </c>
      <c r="O29" s="201">
        <v>10716.209000000001</v>
      </c>
      <c r="P29" s="201">
        <v>11649.273999999999</v>
      </c>
      <c r="Q29" s="201">
        <v>12584.404</v>
      </c>
      <c r="R29" s="201">
        <v>13540.567999999999</v>
      </c>
      <c r="S29" s="201">
        <v>14494.906999999999</v>
      </c>
      <c r="T29" s="201">
        <v>15473.22</v>
      </c>
      <c r="U29" s="201">
        <v>16405.394</v>
      </c>
      <c r="V29" s="201">
        <v>17413.702000000001</v>
      </c>
      <c r="W29" s="201">
        <v>18401.989000000001</v>
      </c>
      <c r="X29" s="201">
        <v>19538.504000000001</v>
      </c>
      <c r="Y29" s="201">
        <v>20561.736000000001</v>
      </c>
      <c r="Z29" s="206"/>
      <c r="AA29" s="431">
        <f t="shared" si="39"/>
        <v>5.2370027920254358E-2</v>
      </c>
      <c r="AB29" s="431">
        <f t="shared" si="40"/>
        <v>0.25335215966163327</v>
      </c>
    </row>
    <row r="30" spans="2:30" ht="13" customHeight="1">
      <c r="B30" s="55" t="str">
        <f>IF('Summary | Sumário'!D$6=Names!B$3,Names!AH29,Names!AI29)</f>
        <v>Active clients in the previus period</v>
      </c>
      <c r="C30" s="206">
        <f>C29</f>
        <v>2282.6979999999999</v>
      </c>
      <c r="D30" s="206">
        <f>C30</f>
        <v>2282.6979999999999</v>
      </c>
      <c r="E30" s="206">
        <f>D29</f>
        <v>5252.28</v>
      </c>
      <c r="F30" s="206">
        <f t="shared" ref="F30:Y30" si="59">E29</f>
        <v>8826.3289999999997</v>
      </c>
      <c r="G30" s="206">
        <f t="shared" si="59"/>
        <v>12584.404</v>
      </c>
      <c r="H30" s="206">
        <f t="shared" si="59"/>
        <v>16405.394</v>
      </c>
      <c r="I30" s="206"/>
      <c r="J30" s="206">
        <f>D29</f>
        <v>5252.28</v>
      </c>
      <c r="K30" s="206">
        <f t="shared" si="59"/>
        <v>6132.65</v>
      </c>
      <c r="L30" s="206">
        <f t="shared" si="59"/>
        <v>7062.9740000000002</v>
      </c>
      <c r="M30" s="206">
        <f t="shared" si="59"/>
        <v>7966.4520000000002</v>
      </c>
      <c r="N30" s="206">
        <f t="shared" si="59"/>
        <v>8826.3289999999997</v>
      </c>
      <c r="O30" s="206">
        <f t="shared" si="59"/>
        <v>9891.4179999999997</v>
      </c>
      <c r="P30" s="206">
        <f t="shared" si="59"/>
        <v>10716.209000000001</v>
      </c>
      <c r="Q30" s="206">
        <f t="shared" si="59"/>
        <v>11649.273999999999</v>
      </c>
      <c r="R30" s="206">
        <f t="shared" si="59"/>
        <v>12584.404</v>
      </c>
      <c r="S30" s="206">
        <f t="shared" si="59"/>
        <v>13540.567999999999</v>
      </c>
      <c r="T30" s="206">
        <f t="shared" si="59"/>
        <v>14494.906999999999</v>
      </c>
      <c r="U30" s="206">
        <f t="shared" si="59"/>
        <v>15473.22</v>
      </c>
      <c r="V30" s="206">
        <f t="shared" si="59"/>
        <v>16405.394</v>
      </c>
      <c r="W30" s="206">
        <f t="shared" si="59"/>
        <v>17413.702000000001</v>
      </c>
      <c r="X30" s="206">
        <f t="shared" si="59"/>
        <v>18401.989000000001</v>
      </c>
      <c r="Y30" s="206">
        <f t="shared" si="59"/>
        <v>19538.504000000001</v>
      </c>
      <c r="Z30" s="206"/>
      <c r="AA30" s="430">
        <f t="shared" si="39"/>
        <v>6.1760443395548092E-2</v>
      </c>
      <c r="AB30" s="430">
        <f t="shared" si="40"/>
        <v>0.26273031728366836</v>
      </c>
    </row>
    <row r="31" spans="2:30" ht="13" customHeight="1">
      <c r="B31" s="82" t="str">
        <f>IF('Summary | Sumário'!D$6=Names!B$3,Names!AH30,Names!AI30)</f>
        <v>(=) Net ARPAC (R$)</v>
      </c>
      <c r="C31" s="208">
        <f t="shared" ref="C31:S31" si="60">C19/C28</f>
        <v>28.068065362420551</v>
      </c>
      <c r="D31" s="208">
        <f t="shared" si="60"/>
        <v>25.281336702420809</v>
      </c>
      <c r="E31" s="208">
        <f t="shared" si="60"/>
        <v>30.465638946764312</v>
      </c>
      <c r="F31" s="208">
        <f t="shared" si="60"/>
        <v>31.241092843481812</v>
      </c>
      <c r="G31" s="208">
        <f t="shared" ref="G31:H31" si="61">G19/G28</f>
        <v>29.845051007254341</v>
      </c>
      <c r="H31" s="208">
        <f t="shared" si="61"/>
        <v>34.647048482576892</v>
      </c>
      <c r="I31" s="405"/>
      <c r="J31" s="208">
        <f t="shared" si="60"/>
        <v>28.021135483485622</v>
      </c>
      <c r="K31" s="208">
        <f t="shared" si="60"/>
        <v>27.758613865728016</v>
      </c>
      <c r="L31" s="208">
        <f t="shared" si="60"/>
        <v>30.994658079423658</v>
      </c>
      <c r="M31" s="208">
        <f t="shared" si="60"/>
        <v>33.616337321773372</v>
      </c>
      <c r="N31" s="208">
        <f t="shared" si="60"/>
        <v>33.64290282015957</v>
      </c>
      <c r="O31" s="208">
        <f t="shared" si="60"/>
        <v>32.22833665742624</v>
      </c>
      <c r="P31" s="208">
        <f t="shared" si="60"/>
        <v>28.619322819900649</v>
      </c>
      <c r="Q31" s="208">
        <f t="shared" si="60"/>
        <v>30.603069331861221</v>
      </c>
      <c r="R31" s="208">
        <f t="shared" si="60"/>
        <v>28.760735743563668</v>
      </c>
      <c r="S31" s="208">
        <f t="shared" si="60"/>
        <v>29.637117497266114</v>
      </c>
      <c r="T31" s="208">
        <f t="shared" ref="T31:U31" si="62">T19/T28</f>
        <v>30.545065612319828</v>
      </c>
      <c r="U31" s="208">
        <f t="shared" si="62"/>
        <v>30.213523142505508</v>
      </c>
      <c r="V31" s="208">
        <f t="shared" ref="V31:W31" si="63">V19/V28</f>
        <v>30.129505520395423</v>
      </c>
      <c r="W31" s="208">
        <f t="shared" si="63"/>
        <v>30.36316098666606</v>
      </c>
      <c r="X31" s="208">
        <f t="shared" ref="X31:Y31" si="64">X19/X28</f>
        <v>32.481723260924625</v>
      </c>
      <c r="Y31" s="208">
        <f t="shared" si="64"/>
        <v>33.618866356163508</v>
      </c>
      <c r="Z31" s="405"/>
      <c r="AA31" s="469">
        <f t="shared" si="39"/>
        <v>3.5008705852957789E-2</v>
      </c>
      <c r="AB31" s="469">
        <f t="shared" si="40"/>
        <v>0.11270923942223865</v>
      </c>
    </row>
    <row r="32" spans="2:30" ht="13" customHeight="1">
      <c r="B32" s="66"/>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33" ht="13" customHeight="1">
      <c r="B33" s="7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row r="34" spans="1:33" ht="13" customHeight="1">
      <c r="B34" s="67"/>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row>
    <row r="35" spans="1:33" ht="13" customHeight="1">
      <c r="B35" s="65"/>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row>
    <row r="36" spans="1:33" ht="13" customHeight="1">
      <c r="B36" s="15"/>
    </row>
    <row r="38" spans="1:33" s="134" customFormat="1" ht="13" customHeight="1">
      <c r="A38" s="133"/>
      <c r="B38" s="48"/>
      <c r="AC38" s="133"/>
      <c r="AD38" s="133"/>
      <c r="AE38" s="133"/>
      <c r="AF38" s="133"/>
      <c r="AG38" s="133"/>
    </row>
    <row r="39" spans="1:33" ht="13" customHeight="1">
      <c r="W39" s="222"/>
      <c r="X39" s="222"/>
      <c r="Y39" s="222"/>
      <c r="AA39" s="625"/>
      <c r="AB39" s="625"/>
      <c r="AC39" s="180"/>
      <c r="AD39" s="626"/>
      <c r="AF39" s="627"/>
    </row>
    <row r="40" spans="1:33" ht="13" customHeight="1">
      <c r="W40" s="222"/>
      <c r="X40" s="222"/>
      <c r="Y40" s="222"/>
      <c r="AA40" s="625"/>
      <c r="AB40" s="625"/>
      <c r="AC40" s="180"/>
      <c r="AD40" s="626"/>
    </row>
    <row r="41" spans="1:33" ht="13" customHeight="1">
      <c r="V41" s="222"/>
      <c r="W41" s="222"/>
      <c r="X41" s="222"/>
      <c r="Y41" s="222"/>
      <c r="AD41" s="626"/>
    </row>
    <row r="42" spans="1:33" ht="13" customHeight="1">
      <c r="V42" s="222"/>
      <c r="W42" s="222"/>
      <c r="X42" s="222"/>
      <c r="Y42" s="222"/>
      <c r="AA42" s="625"/>
      <c r="AB42" s="625"/>
      <c r="AC42" s="180"/>
      <c r="AD42" s="626"/>
    </row>
    <row r="43" spans="1:33" ht="13" customHeight="1">
      <c r="V43" s="222"/>
      <c r="W43" s="222"/>
      <c r="X43" s="222"/>
      <c r="Y43" s="222"/>
      <c r="AD43" s="626"/>
    </row>
    <row r="44" spans="1:33" ht="13" customHeight="1">
      <c r="W44" s="222"/>
      <c r="X44" s="222"/>
      <c r="Y44" s="222"/>
      <c r="AA44" s="625"/>
      <c r="AB44" s="625"/>
      <c r="AC44" s="180"/>
      <c r="AD44" s="626"/>
    </row>
    <row r="45" spans="1:33" ht="13" customHeight="1">
      <c r="AA45" s="625"/>
      <c r="AB45" s="625"/>
      <c r="AC45" s="180"/>
      <c r="AD45" s="626"/>
    </row>
    <row r="46" spans="1:33" ht="13" customHeight="1">
      <c r="AD46" s="626"/>
    </row>
    <row r="47" spans="1:33" ht="13" customHeight="1">
      <c r="AA47" s="625"/>
      <c r="AB47" s="625"/>
      <c r="AC47" s="180"/>
      <c r="AD47" s="626"/>
    </row>
    <row r="48" spans="1:33" ht="13" customHeight="1">
      <c r="AA48" s="625"/>
      <c r="AB48" s="625"/>
      <c r="AC48" s="180"/>
      <c r="AD48" s="626"/>
    </row>
    <row r="49" spans="29:31" ht="13" customHeight="1">
      <c r="AD49" s="626"/>
    </row>
    <row r="54" spans="29:31" ht="13" customHeight="1">
      <c r="AC54" s="623"/>
    </row>
    <row r="55" spans="29:31" ht="13" customHeight="1">
      <c r="AC55" s="623"/>
      <c r="AE55" s="261"/>
    </row>
    <row r="56" spans="29:31" ht="13" customHeight="1">
      <c r="AC56" s="623"/>
      <c r="AE56" s="624"/>
    </row>
    <row r="57" spans="29:31" ht="13" customHeight="1">
      <c r="AE57" s="624"/>
    </row>
    <row r="58" spans="29:31" ht="13" customHeight="1">
      <c r="AE58" s="624"/>
    </row>
  </sheetData>
  <sheetProtection algorithmName="SHA-512" hashValue="OPaVYGTT5Hzo0AjCh5MLud9GptIUqf9Yh1jZ466yZtahUfqD94OE8bzx0Qu2etZt3ZHbzVTYiFGzrgNgyJV5Sg==" saltValue="Bi7YL9eJpCjSFSTiqiTrPg=="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C25:F25 J25:R25 J13 J28 J15:J20 J30" formula="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663E-DD15-1C4A-B2F4-C7AF4A73C099}">
  <sheetPr>
    <tabColor theme="5" tint="0.59999389629810485"/>
  </sheetPr>
  <dimension ref="A1:AH20"/>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133" customWidth="1"/>
    <col min="3" max="8" width="10.83203125" style="134" customWidth="1"/>
    <col min="9" max="9" width="3.83203125" style="134" customWidth="1"/>
    <col min="10" max="25" width="10.83203125" style="134" customWidth="1"/>
    <col min="26" max="26" width="5.83203125" style="134" customWidth="1"/>
    <col min="27" max="28" width="10.83203125" style="134" customWidth="1"/>
    <col min="29" max="31" width="10.83203125" style="133"/>
    <col min="32" max="32" width="19.33203125" style="133" bestFit="1" customWidth="1"/>
    <col min="33" max="16384" width="10.83203125" style="133"/>
  </cols>
  <sheetData>
    <row r="1" spans="1:34" ht="13" customHeight="1">
      <c r="AC1" s="134"/>
    </row>
    <row r="2" spans="1:34" s="140" customFormat="1" ht="13" customHeight="1">
      <c r="B2" s="310" t="str">
        <f>IF('Summary | Sumário'!D$6=Names!B$3,Names!AB1,Names!AC1)</f>
        <v>Cost of Risk (R$ Thousands)</v>
      </c>
      <c r="C2" s="132">
        <f>IF('Summary | Sumário'!D6=Names!B3,Names!C2,Names!D2)</f>
        <v>2019</v>
      </c>
      <c r="D2" s="132">
        <f>IF('Summary | Sumário'!D6=Names!B3,Names!C3,Names!D3)</f>
        <v>2020</v>
      </c>
      <c r="E2" s="132">
        <f>IF('Summary | Sumário'!D6=Names!B3,Names!C4,Names!D4)</f>
        <v>2021</v>
      </c>
      <c r="F2" s="132">
        <f>IF('Summary | Sumário'!D6=Names!B3,Names!C5,Names!D5)</f>
        <v>2022</v>
      </c>
      <c r="G2" s="132">
        <f>IF('Summary | Sumário'!D6=Names!B3,Names!C18,Names!D18)</f>
        <v>2023</v>
      </c>
      <c r="H2" s="562">
        <f>IF('Summary | Sumário'!D6=Names!B3,Names!C23,Names!D23)</f>
        <v>2024</v>
      </c>
      <c r="I2" s="399"/>
      <c r="J2" s="20" t="str">
        <f>IF('Summary | Sumário'!D6=Names!B3,Names!C6,Names!D6)</f>
        <v>1Q21</v>
      </c>
      <c r="K2" s="21" t="str">
        <f>IF('Summary | Sumário'!D6=Names!B3,Names!C7,Names!D7)</f>
        <v>2Q21</v>
      </c>
      <c r="L2" s="21" t="str">
        <f>IF('Summary | Sumário'!D6=Names!B3,Names!C8,Names!D8)</f>
        <v>3Q21</v>
      </c>
      <c r="M2" s="21" t="str">
        <f>IF('Summary | Sumário'!D6=Names!B3,Names!C9,Names!D9)</f>
        <v>4Q21</v>
      </c>
      <c r="N2" s="21" t="str">
        <f>IF('Summary | Sumário'!D6=Names!B3,Names!C10,Names!D10)</f>
        <v>1Q22</v>
      </c>
      <c r="O2" s="21" t="str">
        <f>IF('Summary | Sumário'!D6=Names!B3,Names!C11,Names!D11)</f>
        <v>2Q22</v>
      </c>
      <c r="P2" s="21" t="str">
        <f>IF('Summary | Sumário'!D6=Names!B3,Names!C12,Names!D12)</f>
        <v>3Q22</v>
      </c>
      <c r="Q2" s="21" t="str">
        <f>IF('Summary | Sumário'!D6=Names!B3,Names!C13,Names!D13)</f>
        <v>4Q22</v>
      </c>
      <c r="R2" s="21" t="str">
        <f>IF('Summary | Sumário'!D6=Names!B3,Names!C14,Names!D14)</f>
        <v>1Q23</v>
      </c>
      <c r="S2" s="21" t="str">
        <f>IF('Summary | Sumário'!D6=Names!B3,Names!C15,Names!D15)</f>
        <v>2Q23</v>
      </c>
      <c r="T2" s="21" t="str">
        <f>IF('Summary | Sumário'!D6=Names!B3,Names!C16,Names!D16)</f>
        <v>3Q23</v>
      </c>
      <c r="U2" s="21" t="str">
        <f>IF('Summary | Sumário'!D6=Names!B3,Names!C17,Names!D17)</f>
        <v>4Q23</v>
      </c>
      <c r="V2" s="21" t="str">
        <f>IF('Summary | Sumário'!D6=Names!B3,Names!C19,Names!D19)</f>
        <v>1Q24</v>
      </c>
      <c r="W2" s="21" t="str">
        <f>IF('Summary | Sumário'!D6=Names!B3,Names!C20,Names!D20)</f>
        <v>2Q24</v>
      </c>
      <c r="X2" s="21" t="str">
        <f>IF('Summary | Sumário'!D6=Names!B3,Names!C21,Names!D21)</f>
        <v>3Q24</v>
      </c>
      <c r="Y2" s="311" t="str">
        <f>IF('Summary | Sumário'!D6=Names!B3,Names!C22,Names!D22)</f>
        <v>4Q24</v>
      </c>
      <c r="Z2" s="398"/>
      <c r="AA2" s="114" t="str">
        <f>IF('Summary | Sumário'!$D$6=Names!$B$3,Names!$I$24,Names!$J$24)</f>
        <v>QoQ Variation</v>
      </c>
      <c r="AB2" s="114" t="str">
        <f>IF('Summary | Sumário'!$D$6=Names!$B$3,Names!$I$25,Names!$J$25)</f>
        <v>YoY Variation</v>
      </c>
      <c r="AC2" s="139"/>
      <c r="AE2" s="141"/>
      <c r="AF2" s="142"/>
    </row>
    <row r="3" spans="1:34" ht="13" customHeight="1">
      <c r="B3" s="47"/>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45"/>
    </row>
    <row r="4" spans="1:34" ht="13" customHeight="1">
      <c r="B4" s="3" t="str">
        <f>IF('Summary | Sumário'!D$6=Names!B$3,Names!AB11,Names!AC11)</f>
        <v>Cost of risk</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row>
    <row r="5" spans="1:34" ht="13" customHeight="1">
      <c r="B5" s="365" t="str">
        <f>IF('Summary | Sumário'!D$6=Names!B$3,Names!AB12,Names!AC12)</f>
        <v>Anuallized impairment losses on financial assets</v>
      </c>
      <c r="C5" s="344">
        <f>C6</f>
        <v>138570</v>
      </c>
      <c r="D5" s="344">
        <f t="shared" ref="D5:H5" si="0">D6</f>
        <v>213688</v>
      </c>
      <c r="E5" s="344">
        <f t="shared" si="0"/>
        <v>595581</v>
      </c>
      <c r="F5" s="344">
        <f t="shared" si="0"/>
        <v>1083237</v>
      </c>
      <c r="G5" s="344">
        <f t="shared" si="0"/>
        <v>1541584</v>
      </c>
      <c r="H5" s="344">
        <f t="shared" si="0"/>
        <v>1799452.3359999999</v>
      </c>
      <c r="I5" s="206"/>
      <c r="J5" s="344">
        <f>J6*4</f>
        <v>426676</v>
      </c>
      <c r="K5" s="344">
        <f t="shared" ref="K5:Y5" si="1">K6*4</f>
        <v>669764</v>
      </c>
      <c r="L5" s="344">
        <f t="shared" si="1"/>
        <v>552020</v>
      </c>
      <c r="M5" s="344">
        <f t="shared" si="1"/>
        <v>733864</v>
      </c>
      <c r="N5" s="344">
        <f t="shared" si="1"/>
        <v>1251784</v>
      </c>
      <c r="O5" s="344">
        <f t="shared" si="1"/>
        <v>969856</v>
      </c>
      <c r="P5" s="344">
        <f t="shared" si="1"/>
        <v>1052452</v>
      </c>
      <c r="Q5" s="344">
        <v>868408</v>
      </c>
      <c r="R5" s="344">
        <f t="shared" si="1"/>
        <v>1402724</v>
      </c>
      <c r="S5" s="344">
        <f t="shared" si="1"/>
        <v>1594240</v>
      </c>
      <c r="T5" s="344">
        <f t="shared" si="1"/>
        <v>1631596</v>
      </c>
      <c r="U5" s="344">
        <f t="shared" si="1"/>
        <v>1537776</v>
      </c>
      <c r="V5" s="344">
        <f t="shared" si="1"/>
        <v>1644192</v>
      </c>
      <c r="W5" s="344">
        <f t="shared" si="1"/>
        <v>1684990.6440000001</v>
      </c>
      <c r="X5" s="344">
        <f t="shared" si="1"/>
        <v>1885706.6</v>
      </c>
      <c r="Y5" s="344">
        <f t="shared" si="1"/>
        <v>1982920.0999999987</v>
      </c>
      <c r="Z5" s="206"/>
      <c r="AA5" s="429">
        <f>Y5/X5-1</f>
        <v>5.1552823753174826E-2</v>
      </c>
      <c r="AB5" s="429">
        <f>Y5/U5-1</f>
        <v>0.28947265401462796</v>
      </c>
      <c r="AD5" s="217"/>
      <c r="AE5" s="217"/>
    </row>
    <row r="6" spans="1:34" ht="13" customHeight="1">
      <c r="B6" s="77" t="str">
        <f>IF('Summary | Sumário'!D$6=Names!B$3,Names!AB13,Names!AC13)</f>
        <v>Impairment losses on financial assets</v>
      </c>
      <c r="C6" s="202">
        <v>138570</v>
      </c>
      <c r="D6" s="202">
        <v>213688</v>
      </c>
      <c r="E6" s="202">
        <v>595581</v>
      </c>
      <c r="F6" s="202">
        <v>1083237</v>
      </c>
      <c r="G6" s="202">
        <v>1541584</v>
      </c>
      <c r="H6" s="202">
        <v>1799452.3359999999</v>
      </c>
      <c r="I6" s="202"/>
      <c r="J6" s="202">
        <v>106669</v>
      </c>
      <c r="K6" s="202">
        <v>167441</v>
      </c>
      <c r="L6" s="202">
        <v>138005</v>
      </c>
      <c r="M6" s="202">
        <v>183466</v>
      </c>
      <c r="N6" s="202">
        <v>312946</v>
      </c>
      <c r="O6" s="202">
        <v>242464</v>
      </c>
      <c r="P6" s="202">
        <v>263113</v>
      </c>
      <c r="Q6" s="202">
        <v>217102</v>
      </c>
      <c r="R6" s="202">
        <v>350681</v>
      </c>
      <c r="S6" s="202">
        <v>398560</v>
      </c>
      <c r="T6" s="202">
        <v>407899</v>
      </c>
      <c r="U6" s="202">
        <v>384444</v>
      </c>
      <c r="V6" s="202">
        <v>411048</v>
      </c>
      <c r="W6" s="202">
        <v>421247.66100000002</v>
      </c>
      <c r="X6" s="202">
        <v>471426.65</v>
      </c>
      <c r="Y6" s="202">
        <v>495730.02499999967</v>
      </c>
      <c r="Z6" s="202"/>
      <c r="AA6" s="466">
        <f t="shared" ref="AA6:AA9" si="2">Y6/X6-1</f>
        <v>5.1552823753174826E-2</v>
      </c>
      <c r="AB6" s="466">
        <f t="shared" ref="AB6:AB9" si="3">Y6/U6-1</f>
        <v>0.28947265401462796</v>
      </c>
      <c r="AD6" s="217"/>
      <c r="AE6" s="217"/>
      <c r="AF6" s="217"/>
    </row>
    <row r="7" spans="1:34" ht="13" customHeight="1">
      <c r="B7" s="86" t="str">
        <f>IF('Summary | Sumário'!D$6=Names!B$3,Names!AB14,Names!AC14)</f>
        <v>(÷) Avg of the last two periods of gross loans and advances to customers</v>
      </c>
      <c r="C7" s="203">
        <f t="shared" ref="C7:S7" si="4">AVERAGE(C8:C9)</f>
        <v>4777387</v>
      </c>
      <c r="D7" s="203">
        <f t="shared" si="4"/>
        <v>6783722.5</v>
      </c>
      <c r="E7" s="203">
        <f t="shared" si="4"/>
        <v>13152262</v>
      </c>
      <c r="F7" s="203">
        <f t="shared" si="4"/>
        <v>21029229.5</v>
      </c>
      <c r="G7" s="203">
        <f t="shared" ref="G7:H7" si="5">AVERAGE(G8:G9)</f>
        <v>27782415</v>
      </c>
      <c r="H7" s="203">
        <f t="shared" si="5"/>
        <v>36101825.15258</v>
      </c>
      <c r="I7" s="202"/>
      <c r="J7" s="203">
        <f t="shared" si="4"/>
        <v>9559371.8131499998</v>
      </c>
      <c r="K7" s="203">
        <f t="shared" si="4"/>
        <v>11463723.34365</v>
      </c>
      <c r="L7" s="203">
        <f t="shared" si="4"/>
        <v>13778199.9965</v>
      </c>
      <c r="M7" s="203">
        <f t="shared" si="4"/>
        <v>16236052.466</v>
      </c>
      <c r="N7" s="203">
        <f t="shared" si="4"/>
        <v>18019061.792999998</v>
      </c>
      <c r="O7" s="203">
        <f t="shared" si="4"/>
        <v>19194110.597999997</v>
      </c>
      <c r="P7" s="203">
        <f t="shared" si="4"/>
        <v>20949808.805</v>
      </c>
      <c r="Q7" s="203">
        <v>18017684.089499999</v>
      </c>
      <c r="R7" s="203">
        <f t="shared" si="4"/>
        <v>21826477.792999998</v>
      </c>
      <c r="S7" s="203">
        <f t="shared" si="4"/>
        <v>25801829</v>
      </c>
      <c r="T7" s="203">
        <f t="shared" ref="T7:Y7" si="6">AVERAGE(T8:T9)</f>
        <v>27366551.5</v>
      </c>
      <c r="U7" s="203">
        <f t="shared" si="6"/>
        <v>29639790</v>
      </c>
      <c r="V7" s="203">
        <f t="shared" si="6"/>
        <v>31582230.265975103</v>
      </c>
      <c r="W7" s="203">
        <f t="shared" si="6"/>
        <v>33908997.474265099</v>
      </c>
      <c r="X7" s="203">
        <f t="shared" si="6"/>
        <v>36867129.109815001</v>
      </c>
      <c r="Y7" s="203">
        <f t="shared" si="6"/>
        <v>39621350.054104999</v>
      </c>
      <c r="Z7" s="202"/>
      <c r="AA7" s="467">
        <f t="shared" si="2"/>
        <v>7.4706683454686118E-2</v>
      </c>
      <c r="AB7" s="467">
        <f t="shared" si="3"/>
        <v>0.33676217186778312</v>
      </c>
      <c r="AE7" s="217"/>
      <c r="AF7" s="217"/>
      <c r="AH7" s="181"/>
    </row>
    <row r="8" spans="1:34" ht="13" customHeight="1">
      <c r="A8" s="171" t="s">
        <v>732</v>
      </c>
      <c r="B8" s="65" t="str">
        <f>IF('Summary | Sumário'!D$6=Names!B$3,Names!AB15,Names!AC15)</f>
        <v>Gross loan portfolio</v>
      </c>
      <c r="C8" s="202">
        <v>4777387</v>
      </c>
      <c r="D8" s="202">
        <v>8790058</v>
      </c>
      <c r="E8" s="202">
        <v>17514466</v>
      </c>
      <c r="F8" s="202">
        <v>24543993</v>
      </c>
      <c r="G8" s="202">
        <f>U8</f>
        <v>31020837</v>
      </c>
      <c r="H8" s="202">
        <f>Y8</f>
        <v>41182813.305160001</v>
      </c>
      <c r="I8" s="202"/>
      <c r="J8" s="202">
        <v>10328685.6263</v>
      </c>
      <c r="K8" s="202">
        <v>12598761.061000001</v>
      </c>
      <c r="L8" s="202">
        <v>14957638.932</v>
      </c>
      <c r="M8" s="202">
        <v>17514466</v>
      </c>
      <c r="N8" s="202">
        <v>18523657.585999999</v>
      </c>
      <c r="O8" s="202">
        <v>19864563.609999999</v>
      </c>
      <c r="P8" s="202">
        <v>22035054</v>
      </c>
      <c r="Q8" s="202">
        <v>18523657.585999999</v>
      </c>
      <c r="R8" s="202">
        <v>25129298</v>
      </c>
      <c r="S8" s="202">
        <v>26474360</v>
      </c>
      <c r="T8" s="202">
        <v>28258743</v>
      </c>
      <c r="U8" s="202">
        <v>31020837</v>
      </c>
      <c r="V8" s="202">
        <v>32143623.531950202</v>
      </c>
      <c r="W8" s="202">
        <v>35674371.416579999</v>
      </c>
      <c r="X8" s="202">
        <v>38059886.803049996</v>
      </c>
      <c r="Y8" s="202">
        <v>41182813.305160001</v>
      </c>
      <c r="Z8" s="202"/>
      <c r="AA8" s="466">
        <f t="shared" si="2"/>
        <v>8.2052963485423236E-2</v>
      </c>
      <c r="AB8" s="466">
        <f t="shared" si="3"/>
        <v>0.32758549697288952</v>
      </c>
    </row>
    <row r="9" spans="1:34" ht="13" customHeight="1">
      <c r="B9" s="69" t="str">
        <f>IF('Summary | Sumário'!D$6=Names!B$3,Names!AB16,Names!AC16)</f>
        <v>Gross loan portfolio in the previous period</v>
      </c>
      <c r="C9" s="203">
        <f>C8</f>
        <v>4777387</v>
      </c>
      <c r="D9" s="203">
        <f>C8</f>
        <v>4777387</v>
      </c>
      <c r="E9" s="203">
        <f t="shared" ref="E9:H9" si="7">D8</f>
        <v>8790058</v>
      </c>
      <c r="F9" s="203">
        <f t="shared" si="7"/>
        <v>17514466</v>
      </c>
      <c r="G9" s="203">
        <f t="shared" si="7"/>
        <v>24543993</v>
      </c>
      <c r="H9" s="203">
        <f t="shared" si="7"/>
        <v>31020837</v>
      </c>
      <c r="I9" s="202"/>
      <c r="J9" s="203">
        <f>D8</f>
        <v>8790058</v>
      </c>
      <c r="K9" s="203">
        <f>J8</f>
        <v>10328685.6263</v>
      </c>
      <c r="L9" s="203">
        <f t="shared" ref="L9:Y9" si="8">K8</f>
        <v>12598761.061000001</v>
      </c>
      <c r="M9" s="203">
        <f t="shared" si="8"/>
        <v>14957638.932</v>
      </c>
      <c r="N9" s="203">
        <f t="shared" si="8"/>
        <v>17514466</v>
      </c>
      <c r="O9" s="203">
        <f t="shared" si="8"/>
        <v>18523657.585999999</v>
      </c>
      <c r="P9" s="203">
        <f t="shared" si="8"/>
        <v>19864563.609999999</v>
      </c>
      <c r="Q9" s="203">
        <v>17511710.592999998</v>
      </c>
      <c r="R9" s="203">
        <f t="shared" si="8"/>
        <v>18523657.585999999</v>
      </c>
      <c r="S9" s="203">
        <f t="shared" si="8"/>
        <v>25129298</v>
      </c>
      <c r="T9" s="203">
        <f t="shared" si="8"/>
        <v>26474360</v>
      </c>
      <c r="U9" s="203">
        <f t="shared" si="8"/>
        <v>28258743</v>
      </c>
      <c r="V9" s="203">
        <f t="shared" si="8"/>
        <v>31020837</v>
      </c>
      <c r="W9" s="203">
        <f t="shared" si="8"/>
        <v>32143623.531950202</v>
      </c>
      <c r="X9" s="203">
        <f t="shared" si="8"/>
        <v>35674371.416579999</v>
      </c>
      <c r="Y9" s="203">
        <f t="shared" si="8"/>
        <v>38059886.803049996</v>
      </c>
      <c r="Z9" s="202"/>
      <c r="AA9" s="467">
        <f t="shared" si="2"/>
        <v>6.686916382109831E-2</v>
      </c>
      <c r="AB9" s="467">
        <f t="shared" si="3"/>
        <v>0.34683580239397038</v>
      </c>
    </row>
    <row r="10" spans="1:34" ht="13" customHeight="1">
      <c r="B10" s="342" t="str">
        <f>IF('Summary | Sumário'!D$6=Names!B$3,Names!AB17,Names!AC17)</f>
        <v>Cost of risk (%)</v>
      </c>
      <c r="C10" s="357">
        <f>C5/C7</f>
        <v>2.9005395627358637E-2</v>
      </c>
      <c r="D10" s="357">
        <f t="shared" ref="D10:S10" si="9">D5/D7</f>
        <v>3.1500109268915409E-2</v>
      </c>
      <c r="E10" s="357">
        <f t="shared" si="9"/>
        <v>4.5283541340645432E-2</v>
      </c>
      <c r="F10" s="357">
        <f>F5/F7</f>
        <v>5.1511017082199802E-2</v>
      </c>
      <c r="G10" s="357">
        <f t="shared" ref="G10:H10" si="10">G5/G7</f>
        <v>5.5487760873199829E-2</v>
      </c>
      <c r="H10" s="357">
        <f t="shared" si="10"/>
        <v>4.984380508173291E-2</v>
      </c>
      <c r="I10" s="404"/>
      <c r="J10" s="357">
        <f t="shared" si="9"/>
        <v>4.4634313670387712E-2</v>
      </c>
      <c r="K10" s="357">
        <f t="shared" si="9"/>
        <v>5.8424647902114324E-2</v>
      </c>
      <c r="L10" s="357">
        <f t="shared" si="9"/>
        <v>4.0064739961695038E-2</v>
      </c>
      <c r="M10" s="357">
        <f t="shared" si="9"/>
        <v>4.5199656846193884E-2</v>
      </c>
      <c r="N10" s="357">
        <f t="shared" si="9"/>
        <v>6.9469987637552258E-2</v>
      </c>
      <c r="O10" s="357">
        <f t="shared" si="9"/>
        <v>5.052883253163383E-2</v>
      </c>
      <c r="P10" s="357">
        <f t="shared" si="9"/>
        <v>5.0236830789062659E-2</v>
      </c>
      <c r="Q10" s="357">
        <v>4.8197537246536262E-2</v>
      </c>
      <c r="R10" s="357">
        <f t="shared" si="9"/>
        <v>6.4267080254692757E-2</v>
      </c>
      <c r="S10" s="357">
        <f t="shared" si="9"/>
        <v>6.1787867829059713E-2</v>
      </c>
      <c r="T10" s="357">
        <v>5.8999999999999997E-2</v>
      </c>
      <c r="U10" s="357">
        <f t="shared" ref="U10:V10" si="11">U5/U7</f>
        <v>5.1882148962593862E-2</v>
      </c>
      <c r="V10" s="357">
        <f t="shared" si="11"/>
        <v>5.2060667855093147E-2</v>
      </c>
      <c r="W10" s="357">
        <f t="shared" ref="W10:X10" si="12">W5/W7</f>
        <v>4.9691550016446435E-2</v>
      </c>
      <c r="X10" s="357">
        <f t="shared" si="12"/>
        <v>5.1148723687789818E-2</v>
      </c>
      <c r="Y10" s="357">
        <f t="shared" ref="Y10" si="13">Y5/Y7</f>
        <v>5.0046757550972369E-2</v>
      </c>
      <c r="Z10" s="404"/>
      <c r="AA10" s="455">
        <f>(Y10-X10)*100</f>
        <v>-0.11019661368174491</v>
      </c>
      <c r="AB10" s="455">
        <f>(Y10-U10)*100</f>
        <v>-0.18353914116214926</v>
      </c>
      <c r="AD10" s="181"/>
      <c r="AE10" s="181"/>
      <c r="AF10" s="181"/>
    </row>
    <row r="11" spans="1:34" ht="13" customHeight="1">
      <c r="B11" s="8"/>
      <c r="C11" s="205"/>
      <c r="D11" s="205"/>
      <c r="E11" s="205"/>
      <c r="F11" s="205"/>
      <c r="G11" s="205"/>
      <c r="H11" s="205"/>
      <c r="J11" s="205"/>
      <c r="K11" s="205"/>
      <c r="L11" s="205"/>
      <c r="M11" s="205"/>
      <c r="N11" s="205"/>
      <c r="O11" s="205"/>
      <c r="P11" s="205"/>
      <c r="Q11" s="205"/>
      <c r="R11" s="205"/>
      <c r="S11" s="205"/>
      <c r="T11" s="205"/>
      <c r="U11" s="205"/>
      <c r="V11" s="205"/>
      <c r="W11" s="205"/>
      <c r="X11" s="205"/>
      <c r="Y11" s="205"/>
      <c r="AA11" s="205"/>
      <c r="AB11" s="205"/>
      <c r="AE11" s="181"/>
      <c r="AF11" s="181"/>
    </row>
    <row r="12" spans="1:34" s="134" customFormat="1" ht="13" customHeight="1">
      <c r="A12" s="133"/>
      <c r="B12" s="3" t="str">
        <f>IF('Summary | Sumário'!D$6=Names!B$3,Names!AB2,Names!AC2)</f>
        <v>Cost of risk  (Excl. Antic. of CC Receivables)</v>
      </c>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133"/>
      <c r="AD12" s="133"/>
      <c r="AE12" s="133"/>
      <c r="AF12" s="133"/>
      <c r="AG12" s="133"/>
    </row>
    <row r="13" spans="1:34" s="134" customFormat="1" ht="13" customHeight="1">
      <c r="A13" s="133"/>
      <c r="B13" s="365" t="str">
        <f>IF('Summary | Sumário'!D$6=Names!B$3,Names!AB3,Names!AC3)</f>
        <v>Anuallized impairment losses on financial assets</v>
      </c>
      <c r="C13" s="344">
        <f>C14</f>
        <v>138570</v>
      </c>
      <c r="D13" s="344">
        <f t="shared" ref="D13:H13" si="14">D14</f>
        <v>213688</v>
      </c>
      <c r="E13" s="344">
        <f t="shared" si="14"/>
        <v>595581</v>
      </c>
      <c r="F13" s="344">
        <f t="shared" si="14"/>
        <v>1083237</v>
      </c>
      <c r="G13" s="344">
        <f t="shared" si="14"/>
        <v>1541584</v>
      </c>
      <c r="H13" s="344">
        <f t="shared" si="14"/>
        <v>1799452.3359999999</v>
      </c>
      <c r="I13" s="206"/>
      <c r="J13" s="344">
        <f>J14*4</f>
        <v>426676</v>
      </c>
      <c r="K13" s="344">
        <f t="shared" ref="K13:Y13" si="15">K14*4</f>
        <v>669764</v>
      </c>
      <c r="L13" s="344">
        <f t="shared" si="15"/>
        <v>552020</v>
      </c>
      <c r="M13" s="344">
        <f t="shared" si="15"/>
        <v>733864</v>
      </c>
      <c r="N13" s="344">
        <f t="shared" si="15"/>
        <v>1251784</v>
      </c>
      <c r="O13" s="344">
        <f t="shared" si="15"/>
        <v>969856</v>
      </c>
      <c r="P13" s="344">
        <f t="shared" si="15"/>
        <v>1052452</v>
      </c>
      <c r="Q13" s="344">
        <v>868408</v>
      </c>
      <c r="R13" s="344">
        <f t="shared" si="15"/>
        <v>1402724</v>
      </c>
      <c r="S13" s="344">
        <f t="shared" si="15"/>
        <v>1594240</v>
      </c>
      <c r="T13" s="344">
        <f t="shared" si="15"/>
        <v>1631596</v>
      </c>
      <c r="U13" s="344">
        <f t="shared" si="15"/>
        <v>1537776</v>
      </c>
      <c r="V13" s="344">
        <f t="shared" si="15"/>
        <v>1644192</v>
      </c>
      <c r="W13" s="344">
        <f t="shared" si="15"/>
        <v>1684990.6440000001</v>
      </c>
      <c r="X13" s="344">
        <f t="shared" si="15"/>
        <v>1885706.6</v>
      </c>
      <c r="Y13" s="344">
        <f t="shared" si="15"/>
        <v>1982920.0999999987</v>
      </c>
      <c r="Z13" s="206"/>
      <c r="AA13" s="429">
        <f>Y13/X13-1</f>
        <v>5.1552823753174826E-2</v>
      </c>
      <c r="AB13" s="429">
        <f>Y13/U13-1</f>
        <v>0.28947265401462796</v>
      </c>
      <c r="AC13" s="133"/>
      <c r="AD13" s="133"/>
      <c r="AE13" s="133"/>
      <c r="AF13" s="133"/>
      <c r="AG13" s="133"/>
    </row>
    <row r="14" spans="1:34" s="134" customFormat="1" ht="13" customHeight="1">
      <c r="A14" s="133"/>
      <c r="B14" s="77" t="str">
        <f>IF('Summary | Sumário'!D$6=Names!B$3,Names!AB4,Names!AC4)</f>
        <v>Impairment losses on financial assets</v>
      </c>
      <c r="C14" s="202">
        <v>138570</v>
      </c>
      <c r="D14" s="202">
        <v>213688</v>
      </c>
      <c r="E14" s="202">
        <v>595581</v>
      </c>
      <c r="F14" s="202">
        <v>1083237</v>
      </c>
      <c r="G14" s="202">
        <v>1541584</v>
      </c>
      <c r="H14" s="202">
        <v>1799452.3359999999</v>
      </c>
      <c r="I14" s="202"/>
      <c r="J14" s="202">
        <v>106669</v>
      </c>
      <c r="K14" s="202">
        <v>167441</v>
      </c>
      <c r="L14" s="202">
        <v>138005</v>
      </c>
      <c r="M14" s="202">
        <v>183466</v>
      </c>
      <c r="N14" s="202">
        <v>312946</v>
      </c>
      <c r="O14" s="202">
        <v>242464</v>
      </c>
      <c r="P14" s="202">
        <v>263113</v>
      </c>
      <c r="Q14" s="202">
        <v>217102</v>
      </c>
      <c r="R14" s="202">
        <v>350681</v>
      </c>
      <c r="S14" s="202">
        <v>398560</v>
      </c>
      <c r="T14" s="202">
        <v>407899</v>
      </c>
      <c r="U14" s="202">
        <v>384444</v>
      </c>
      <c r="V14" s="202">
        <v>411048</v>
      </c>
      <c r="W14" s="202">
        <v>421247.66100000002</v>
      </c>
      <c r="X14" s="202">
        <v>471426.65</v>
      </c>
      <c r="Y14" s="202">
        <v>495730.02499999967</v>
      </c>
      <c r="Z14" s="202"/>
      <c r="AA14" s="466">
        <f t="shared" ref="AA14:AA17" si="16">Y14/X14-1</f>
        <v>5.1552823753174826E-2</v>
      </c>
      <c r="AB14" s="466">
        <f t="shared" ref="AB14:AB17" si="17">Y14/U14-1</f>
        <v>0.28947265401462796</v>
      </c>
      <c r="AC14" s="133"/>
      <c r="AD14" s="133"/>
      <c r="AE14" s="133"/>
      <c r="AF14" s="133"/>
      <c r="AG14" s="133"/>
    </row>
    <row r="15" spans="1:34" s="134" customFormat="1" ht="13" customHeight="1">
      <c r="A15" s="133"/>
      <c r="B15" s="86" t="str">
        <f>IF('Summary | Sumário'!D$6=Names!B$3,Names!AB5,Names!AC5)</f>
        <v>(÷) Avg of the last two periods of gross loans and advances to customers</v>
      </c>
      <c r="C15" s="203">
        <f>AVERAGE(C16,C17)</f>
        <v>4777387</v>
      </c>
      <c r="D15" s="203">
        <f t="shared" ref="D15:S15" si="18">AVERAGE(D16,D17)</f>
        <v>6783722.5</v>
      </c>
      <c r="E15" s="203">
        <f t="shared" si="18"/>
        <v>13003210</v>
      </c>
      <c r="F15" s="203">
        <f t="shared" si="18"/>
        <v>17696333</v>
      </c>
      <c r="G15" s="203">
        <f t="shared" ref="G15:H15" si="19">AVERAGE(G16,G17)</f>
        <v>23980302.5</v>
      </c>
      <c r="H15" s="203">
        <f t="shared" si="19"/>
        <v>32690297</v>
      </c>
      <c r="I15" s="202"/>
      <c r="J15" s="203">
        <f t="shared" si="18"/>
        <v>9516483.6721500009</v>
      </c>
      <c r="K15" s="203">
        <f t="shared" si="18"/>
        <v>11385077.672150001</v>
      </c>
      <c r="L15" s="203">
        <f t="shared" si="18"/>
        <v>13693664.5</v>
      </c>
      <c r="M15" s="203">
        <f t="shared" si="18"/>
        <v>16038222.5</v>
      </c>
      <c r="N15" s="203">
        <f t="shared" si="18"/>
        <v>17696333</v>
      </c>
      <c r="O15" s="203">
        <f t="shared" si="18"/>
        <v>18830475.199999999</v>
      </c>
      <c r="P15" s="203">
        <f t="shared" si="18"/>
        <v>20244957.199999999</v>
      </c>
      <c r="Q15" s="203">
        <v>17696333</v>
      </c>
      <c r="R15" s="203">
        <f t="shared" si="18"/>
        <v>21004589</v>
      </c>
      <c r="S15" s="203">
        <f t="shared" si="18"/>
        <v>24487128.5</v>
      </c>
      <c r="T15" s="203">
        <f t="shared" ref="T15:U15" si="20">AVERAGE(T16,T17)</f>
        <v>26092492</v>
      </c>
      <c r="U15" s="203">
        <f t="shared" si="20"/>
        <v>28413951</v>
      </c>
      <c r="V15" s="203">
        <f t="shared" ref="V15:W15" si="21">AVERAGE(V16,V17)</f>
        <v>30321463.940545101</v>
      </c>
      <c r="W15" s="203">
        <f t="shared" si="21"/>
        <v>31915089.440545101</v>
      </c>
      <c r="X15" s="203">
        <f t="shared" ref="X15:Y15" si="22">AVERAGE(X16,X17)</f>
        <v>33338720</v>
      </c>
      <c r="Y15" s="203">
        <f t="shared" si="22"/>
        <v>34651090.5</v>
      </c>
      <c r="Z15" s="202"/>
      <c r="AA15" s="467">
        <f t="shared" si="16"/>
        <v>3.936475365580927E-2</v>
      </c>
      <c r="AB15" s="467">
        <f t="shared" si="17"/>
        <v>0.21950975772429526</v>
      </c>
      <c r="AC15" s="133"/>
      <c r="AD15" s="181"/>
      <c r="AE15" s="133"/>
      <c r="AF15" s="133"/>
      <c r="AG15" s="133"/>
    </row>
    <row r="16" spans="1:34" s="134" customFormat="1" ht="13" customHeight="1">
      <c r="A16" s="133"/>
      <c r="B16" s="65" t="str">
        <f>IF('Summary | Sumário'!D$6=Names!B$3,Names!AB6,Names!AC6)</f>
        <v>Gross loans and advances to customers</v>
      </c>
      <c r="C16" s="202">
        <v>4777387</v>
      </c>
      <c r="D16" s="202">
        <v>8790058</v>
      </c>
      <c r="E16" s="202">
        <f>M16</f>
        <v>17216362</v>
      </c>
      <c r="F16" s="202">
        <f>Q16</f>
        <v>18176304</v>
      </c>
      <c r="G16" s="202">
        <f>U16</f>
        <v>29784301</v>
      </c>
      <c r="H16" s="202">
        <f>Y16</f>
        <v>35596293</v>
      </c>
      <c r="I16" s="202"/>
      <c r="J16" s="202">
        <v>10242909.3443</v>
      </c>
      <c r="K16" s="202">
        <v>12527246</v>
      </c>
      <c r="L16" s="202">
        <v>14860083</v>
      </c>
      <c r="M16" s="202">
        <v>17216362</v>
      </c>
      <c r="N16" s="202">
        <v>18176304</v>
      </c>
      <c r="O16" s="202">
        <v>19484646.399999999</v>
      </c>
      <c r="P16" s="202">
        <v>21005268</v>
      </c>
      <c r="Q16" s="202">
        <v>18176304</v>
      </c>
      <c r="R16" s="202">
        <v>23832874</v>
      </c>
      <c r="S16" s="202">
        <v>25141383</v>
      </c>
      <c r="T16" s="202">
        <v>27043601</v>
      </c>
      <c r="U16" s="202">
        <v>29784301</v>
      </c>
      <c r="V16" s="202">
        <v>30858626.881090201</v>
      </c>
      <c r="W16" s="202">
        <v>32971552</v>
      </c>
      <c r="X16" s="202">
        <v>33705888</v>
      </c>
      <c r="Y16" s="202">
        <v>35596293</v>
      </c>
      <c r="Z16" s="202"/>
      <c r="AA16" s="466">
        <f t="shared" si="16"/>
        <v>5.60853047396348E-2</v>
      </c>
      <c r="AB16" s="466">
        <f t="shared" si="17"/>
        <v>0.19513608863944798</v>
      </c>
      <c r="AC16" s="133"/>
      <c r="AD16" s="133"/>
      <c r="AE16" s="133"/>
      <c r="AF16" s="133"/>
      <c r="AG16" s="133"/>
    </row>
    <row r="17" spans="1:33" s="134" customFormat="1" ht="13" customHeight="1">
      <c r="A17" s="133"/>
      <c r="B17" s="69" t="str">
        <f>IF('Summary | Sumário'!D$6=Names!B$3,Names!AB7,Names!AC7)</f>
        <v>Gross loans and advances to customers in the previous period</v>
      </c>
      <c r="C17" s="203">
        <f>C16</f>
        <v>4777387</v>
      </c>
      <c r="D17" s="203">
        <f>C16</f>
        <v>4777387</v>
      </c>
      <c r="E17" s="203">
        <f t="shared" ref="E17:H17" si="23">D16</f>
        <v>8790058</v>
      </c>
      <c r="F17" s="203">
        <f t="shared" si="23"/>
        <v>17216362</v>
      </c>
      <c r="G17" s="203">
        <f t="shared" si="23"/>
        <v>18176304</v>
      </c>
      <c r="H17" s="203">
        <f t="shared" si="23"/>
        <v>29784301</v>
      </c>
      <c r="I17" s="202"/>
      <c r="J17" s="203">
        <f>D16</f>
        <v>8790058</v>
      </c>
      <c r="K17" s="203">
        <f>J16</f>
        <v>10242909.3443</v>
      </c>
      <c r="L17" s="203">
        <f t="shared" ref="L17:Y17" si="24">K16</f>
        <v>12527246</v>
      </c>
      <c r="M17" s="203">
        <f t="shared" si="24"/>
        <v>14860083</v>
      </c>
      <c r="N17" s="203">
        <f t="shared" si="24"/>
        <v>17216362</v>
      </c>
      <c r="O17" s="203">
        <f t="shared" si="24"/>
        <v>18176304</v>
      </c>
      <c r="P17" s="203">
        <f t="shared" si="24"/>
        <v>19484646.399999999</v>
      </c>
      <c r="Q17" s="203">
        <v>17216362</v>
      </c>
      <c r="R17" s="203">
        <f t="shared" si="24"/>
        <v>18176304</v>
      </c>
      <c r="S17" s="203">
        <f t="shared" si="24"/>
        <v>23832874</v>
      </c>
      <c r="T17" s="203">
        <f t="shared" si="24"/>
        <v>25141383</v>
      </c>
      <c r="U17" s="203">
        <f t="shared" si="24"/>
        <v>27043601</v>
      </c>
      <c r="V17" s="203">
        <f t="shared" si="24"/>
        <v>29784301</v>
      </c>
      <c r="W17" s="203">
        <f t="shared" si="24"/>
        <v>30858626.881090201</v>
      </c>
      <c r="X17" s="203">
        <f t="shared" si="24"/>
        <v>32971552</v>
      </c>
      <c r="Y17" s="203">
        <f t="shared" si="24"/>
        <v>33705888</v>
      </c>
      <c r="Z17" s="202"/>
      <c r="AA17" s="467">
        <f t="shared" si="16"/>
        <v>2.2271805706931769E-2</v>
      </c>
      <c r="AB17" s="467">
        <f t="shared" si="17"/>
        <v>0.24635354589057878</v>
      </c>
      <c r="AC17" s="133"/>
      <c r="AD17" s="133"/>
      <c r="AE17" s="133"/>
      <c r="AF17" s="133"/>
      <c r="AG17" s="133"/>
    </row>
    <row r="18" spans="1:33" s="134" customFormat="1" ht="13" customHeight="1">
      <c r="A18" s="133"/>
      <c r="B18" s="342" t="str">
        <f>IF('Summary | Sumário'!D$6=Names!B$3,Names!AB8,Names!AC8)</f>
        <v>Cost of risk (%) (Excl. Antic. of CC Receivables)</v>
      </c>
      <c r="C18" s="357">
        <f>C13/C15</f>
        <v>2.9005395627358637E-2</v>
      </c>
      <c r="D18" s="357">
        <f t="shared" ref="D18:S18" si="25">D13/D15</f>
        <v>3.1500109268915409E-2</v>
      </c>
      <c r="E18" s="357">
        <f t="shared" si="25"/>
        <v>4.5802613354702419E-2</v>
      </c>
      <c r="F18" s="357">
        <f t="shared" si="25"/>
        <v>6.1212512219339453E-2</v>
      </c>
      <c r="G18" s="357">
        <f t="shared" ref="G18:H18" si="26">G13/G15</f>
        <v>6.4285427592083125E-2</v>
      </c>
      <c r="H18" s="357">
        <f t="shared" si="26"/>
        <v>5.5045456943997782E-2</v>
      </c>
      <c r="I18" s="404"/>
      <c r="J18" s="357">
        <f t="shared" si="25"/>
        <v>4.4835468088771882E-2</v>
      </c>
      <c r="K18" s="357">
        <f t="shared" si="25"/>
        <v>5.8828232822545096E-2</v>
      </c>
      <c r="L18" s="357">
        <f t="shared" si="25"/>
        <v>4.0312072783731487E-2</v>
      </c>
      <c r="M18" s="357">
        <f t="shared" si="25"/>
        <v>4.5757190361961866E-2</v>
      </c>
      <c r="N18" s="357">
        <f t="shared" si="25"/>
        <v>7.0736914817324012E-2</v>
      </c>
      <c r="O18" s="357">
        <f t="shared" si="25"/>
        <v>5.1504595061945123E-2</v>
      </c>
      <c r="P18" s="357">
        <f t="shared" si="25"/>
        <v>5.1985884168725238E-2</v>
      </c>
      <c r="Q18" s="357">
        <v>4.9072765527185772E-2</v>
      </c>
      <c r="R18" s="357">
        <f t="shared" si="25"/>
        <v>6.6781787541760521E-2</v>
      </c>
      <c r="S18" s="357">
        <f t="shared" si="25"/>
        <v>6.5105224567266029E-2</v>
      </c>
      <c r="T18" s="357">
        <f t="shared" ref="T18:U18" si="27">T13/T15</f>
        <v>6.2531244620099916E-2</v>
      </c>
      <c r="U18" s="357">
        <f t="shared" si="27"/>
        <v>5.4120456532074687E-2</v>
      </c>
      <c r="V18" s="357">
        <f t="shared" ref="V18:W18" si="28">V13/V15</f>
        <v>5.4225350175175012E-2</v>
      </c>
      <c r="W18" s="357">
        <f t="shared" si="28"/>
        <v>5.2796049565801279E-2</v>
      </c>
      <c r="X18" s="357">
        <f t="shared" ref="X18:Y18" si="29">X13/X15</f>
        <v>5.6562057571496446E-2</v>
      </c>
      <c r="Y18" s="357">
        <f t="shared" si="29"/>
        <v>5.7225330325462592E-2</v>
      </c>
      <c r="Z18" s="404"/>
      <c r="AA18" s="455">
        <f>(Y18-X18)*100</f>
        <v>6.6327275396614593E-2</v>
      </c>
      <c r="AB18" s="455">
        <f>(Y18-U18)*100</f>
        <v>0.3104873793387905</v>
      </c>
      <c r="AC18" s="133"/>
      <c r="AD18" s="133"/>
      <c r="AE18" s="133"/>
      <c r="AF18" s="133"/>
      <c r="AG18" s="133"/>
    </row>
    <row r="19" spans="1:33" s="134" customFormat="1" ht="13" customHeight="1">
      <c r="A19" s="133"/>
      <c r="AC19" s="133"/>
      <c r="AD19" s="133"/>
      <c r="AE19" s="133"/>
      <c r="AF19" s="133"/>
      <c r="AG19" s="133"/>
    </row>
    <row r="20" spans="1:33" ht="13" customHeight="1">
      <c r="B20" s="133" t="str">
        <f>IF('Summary | Sumário'!D$6=Names!B$3,Names!AB9,Names!AC9)</f>
        <v>Note 1: 1Q22 managerial figure, excluding non-recurrent provision.</v>
      </c>
    </row>
  </sheetData>
  <sheetProtection algorithmName="SHA-512" hashValue="l7THQJelN1QN3F8E5o5xZ0iw9YWVfD/TDPddID45TDmD6CJ0b+OHm9eU3zuaLcD13L9c5Ctxl5OjDiAxGaMtgQ==" saltValue="Y76LdVXdDpkbw8l2DeA2sA==" spinCount="100000"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ignoredErrors>
    <ignoredError sqref="J2:S3 B20 B2:F3" unlockedFormula="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C9E7-C15F-C54E-91DA-FB1743B8D9A3}">
  <sheetPr codeName="Sheet18">
    <tabColor rgb="FFFFCA96"/>
  </sheetPr>
  <dimension ref="A1:AC64"/>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5" style="163" customWidth="1"/>
    <col min="2" max="2" width="68.33203125" style="163" customWidth="1"/>
    <col min="3" max="20" width="10.83203125" style="163" customWidth="1"/>
    <col min="21" max="21" width="5.83203125" style="163" customWidth="1"/>
    <col min="22" max="23" width="10.83203125" style="163" customWidth="1"/>
    <col min="24" max="16384" width="10.83203125" style="163"/>
  </cols>
  <sheetData>
    <row r="1" spans="1:29" s="133" customFormat="1" ht="13" customHeight="1">
      <c r="C1" s="172" t="s">
        <v>54</v>
      </c>
      <c r="D1" s="172" t="s">
        <v>84</v>
      </c>
      <c r="E1" s="172"/>
      <c r="F1" s="172"/>
      <c r="G1" s="134"/>
      <c r="H1" s="134"/>
      <c r="I1" s="134"/>
      <c r="J1" s="134"/>
      <c r="K1" s="134"/>
      <c r="L1" s="134"/>
      <c r="M1" s="134"/>
      <c r="N1" s="134"/>
      <c r="O1" s="134"/>
      <c r="P1" s="134"/>
      <c r="Q1" s="134"/>
      <c r="R1" s="134"/>
      <c r="S1" s="134"/>
      <c r="T1" s="134"/>
      <c r="U1" s="134"/>
      <c r="V1" s="134"/>
      <c r="W1" s="134"/>
      <c r="X1" s="134"/>
    </row>
    <row r="2" spans="1:29" s="140" customFormat="1" ht="13" customHeight="1">
      <c r="B2" s="310" t="str">
        <f>IF('Summary | Sumário'!D$6=Names!B$3,Names!AX1,Names!AY1)</f>
        <v>Inter Invest (Managerial, R$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311" t="str">
        <f>IF('Summary | Sumário'!D$6=Names!B$3,Names!E19,Names!F19)</f>
        <v>4Q24</v>
      </c>
      <c r="U2" s="398"/>
      <c r="V2" s="114" t="str">
        <f>IF('Summary | Sumário'!$D$6=Names!$B$3,Names!$I$24,Names!$J$24)</f>
        <v>QoQ Variation</v>
      </c>
      <c r="W2" s="114" t="str">
        <f>IF('Summary | Sumário'!$D$6=Names!$B$3,Names!$I$25,Names!$J$25)</f>
        <v>YoY Variation</v>
      </c>
      <c r="X2" s="136"/>
      <c r="Y2" s="138"/>
      <c r="Z2" s="139"/>
      <c r="AB2" s="141"/>
      <c r="AC2" s="142"/>
    </row>
    <row r="3" spans="1:29" s="133" customFormat="1" ht="13" customHeight="1">
      <c r="B3" s="14"/>
      <c r="C3" s="144"/>
      <c r="D3" s="144"/>
      <c r="E3" s="145"/>
      <c r="F3" s="145"/>
      <c r="G3" s="145"/>
      <c r="H3" s="145"/>
      <c r="I3" s="145"/>
      <c r="J3" s="145"/>
      <c r="K3" s="145"/>
      <c r="L3" s="145"/>
      <c r="M3" s="145"/>
      <c r="N3" s="145"/>
      <c r="O3" s="145"/>
      <c r="P3" s="145"/>
      <c r="Q3" s="145"/>
      <c r="R3" s="145"/>
      <c r="S3" s="145"/>
      <c r="T3" s="145"/>
      <c r="U3" s="145"/>
      <c r="V3" s="145"/>
      <c r="W3" s="145"/>
      <c r="X3" s="145"/>
    </row>
    <row r="4" spans="1:29" ht="13" customHeight="1">
      <c r="A4" s="161"/>
      <c r="B4" s="3" t="str">
        <f>IF('Summary | Sumário'!D$6=Names!B$3,Names!AX3,Names!AY3)</f>
        <v>Inter invest</v>
      </c>
      <c r="C4" s="165"/>
      <c r="D4" s="165"/>
      <c r="E4" s="165"/>
      <c r="F4" s="165"/>
      <c r="G4" s="165"/>
      <c r="H4" s="165"/>
      <c r="I4" s="165"/>
      <c r="J4" s="165"/>
      <c r="K4" s="165"/>
      <c r="L4" s="165"/>
      <c r="M4" s="165"/>
      <c r="N4" s="165"/>
      <c r="O4" s="165"/>
      <c r="P4" s="165"/>
      <c r="Q4" s="165"/>
      <c r="R4" s="165"/>
      <c r="S4" s="165"/>
      <c r="T4" s="165"/>
      <c r="U4" s="165"/>
      <c r="V4" s="165"/>
      <c r="W4" s="165"/>
    </row>
    <row r="5" spans="1:29" ht="13" customHeight="1">
      <c r="A5" s="161"/>
      <c r="B5" s="365" t="str">
        <f>IF('Summary | Sumário'!D$6=Names!B$3,Names!AX4,Names!AY4)</f>
        <v>Total AUC</v>
      </c>
      <c r="C5" s="366">
        <f>SUM(C6:C8)</f>
        <v>18334.29077</v>
      </c>
      <c r="D5" s="366">
        <f t="shared" ref="D5:M5" si="0">SUM(D6:D8)</f>
        <v>44099.232784510008</v>
      </c>
      <c r="E5" s="366">
        <f t="shared" si="0"/>
        <v>52376.706477599975</v>
      </c>
      <c r="F5" s="366">
        <f t="shared" si="0"/>
        <v>63464.019114700051</v>
      </c>
      <c r="G5" s="366">
        <f t="shared" si="0"/>
        <v>60324.526333440008</v>
      </c>
      <c r="H5" s="366">
        <f t="shared" si="0"/>
        <v>56887.303352699601</v>
      </c>
      <c r="I5" s="366">
        <f t="shared" si="0"/>
        <v>58138.286373499977</v>
      </c>
      <c r="J5" s="366">
        <f t="shared" si="0"/>
        <v>54559.79457161</v>
      </c>
      <c r="K5" s="366">
        <f t="shared" si="0"/>
        <v>62349.211153180004</v>
      </c>
      <c r="L5" s="366">
        <f t="shared" si="0"/>
        <v>66723.736438719992</v>
      </c>
      <c r="M5" s="366">
        <f t="shared" si="0"/>
        <v>67986.417997459968</v>
      </c>
      <c r="N5" s="366">
        <f t="shared" ref="N5:O5" si="1">SUM(N6:N8)</f>
        <v>76842.170568875445</v>
      </c>
      <c r="O5" s="366">
        <f t="shared" si="1"/>
        <v>82892.927662269998</v>
      </c>
      <c r="P5" s="366">
        <f t="shared" ref="P5:Q5" si="2">SUM(P6:P8)</f>
        <v>91798.553434000001</v>
      </c>
      <c r="Q5" s="366">
        <f t="shared" si="2"/>
        <v>94882.291527389752</v>
      </c>
      <c r="R5" s="366">
        <f t="shared" ref="R5:S5" si="3">SUM(R6:R8)</f>
        <v>105218.94690225135</v>
      </c>
      <c r="S5" s="366">
        <f t="shared" si="3"/>
        <v>122489.5022303232</v>
      </c>
      <c r="T5" s="366">
        <f t="shared" ref="T5" si="4">SUM(T6:T8)</f>
        <v>141240.89867975749</v>
      </c>
      <c r="U5" s="461"/>
      <c r="V5" s="470">
        <f>T5/S5-1</f>
        <v>0.15308574292493327</v>
      </c>
      <c r="W5" s="470">
        <f>T5/P5-1</f>
        <v>0.53859612593247275</v>
      </c>
    </row>
    <row r="6" spans="1:29" ht="13" customHeight="1">
      <c r="A6" s="161"/>
      <c r="B6" s="79" t="str">
        <f>IF('Summary | Sumário'!D$6=Names!B$3,Names!AX5,Names!AY5)</f>
        <v>Funding (includes deposits and other on-balance funding)</v>
      </c>
      <c r="C6" s="164">
        <v>6434.0190000000002</v>
      </c>
      <c r="D6" s="164">
        <v>14166.066999999999</v>
      </c>
      <c r="E6" s="164">
        <v>15097.571</v>
      </c>
      <c r="F6" s="164">
        <v>17710.853999999999</v>
      </c>
      <c r="G6" s="164">
        <v>20186.793000000001</v>
      </c>
      <c r="H6" s="164">
        <v>21905.634999999998</v>
      </c>
      <c r="I6" s="164">
        <v>23239.074000000001</v>
      </c>
      <c r="J6" s="164">
        <v>25850.632000000001</v>
      </c>
      <c r="K6" s="164">
        <v>28368.945</v>
      </c>
      <c r="L6" s="164">
        <v>29844.969000000001</v>
      </c>
      <c r="M6" s="164">
        <v>30822.562999999998</v>
      </c>
      <c r="N6" s="164">
        <v>33305.51704074</v>
      </c>
      <c r="O6" s="164">
        <v>36526.552537269999</v>
      </c>
      <c r="P6" s="164">
        <v>40746.661999999997</v>
      </c>
      <c r="Q6" s="164">
        <v>40892.586921435941</v>
      </c>
      <c r="R6" s="164">
        <v>44521.566244000001</v>
      </c>
      <c r="S6" s="164">
        <v>48177.41561366</v>
      </c>
      <c r="T6" s="164">
        <v>52693.448118564796</v>
      </c>
      <c r="U6" s="164"/>
      <c r="V6" s="440">
        <f t="shared" ref="V6:V11" si="5">T6/S6-1</f>
        <v>9.3737541696286897E-2</v>
      </c>
      <c r="W6" s="440">
        <f t="shared" ref="W6:W11" si="6">T6/P6-1</f>
        <v>0.29319668243167496</v>
      </c>
    </row>
    <row r="7" spans="1:29" ht="13" customHeight="1">
      <c r="A7" s="161"/>
      <c r="B7" s="78" t="str">
        <f>IF('Summary | Sumário'!D$6=Names!B$3,Names!AX6,Names!AY6)</f>
        <v>Inter Asset AuM + Inter Securities AuM</v>
      </c>
      <c r="C7" s="162">
        <v>0</v>
      </c>
      <c r="D7" s="162">
        <v>3732.8115669999997</v>
      </c>
      <c r="E7" s="162">
        <v>4166.4707679100002</v>
      </c>
      <c r="F7" s="162">
        <v>4701</v>
      </c>
      <c r="G7" s="162">
        <v>5087</v>
      </c>
      <c r="H7" s="162">
        <v>5208</v>
      </c>
      <c r="I7" s="162">
        <v>5383</v>
      </c>
      <c r="J7" s="162">
        <v>5781</v>
      </c>
      <c r="K7" s="162">
        <v>7156</v>
      </c>
      <c r="L7" s="162">
        <v>8391.2768336400004</v>
      </c>
      <c r="M7" s="162">
        <v>7657</v>
      </c>
      <c r="N7" s="162">
        <v>7870.6031021400004</v>
      </c>
      <c r="O7" s="162">
        <v>8194.2440079999997</v>
      </c>
      <c r="P7" s="162">
        <v>9276.8147730000001</v>
      </c>
      <c r="Q7" s="162">
        <v>9534.9427183100015</v>
      </c>
      <c r="R7" s="162">
        <v>10577.920844316301</v>
      </c>
      <c r="S7" s="162">
        <v>17593.237260040001</v>
      </c>
      <c r="T7" s="162">
        <v>22223.029831</v>
      </c>
      <c r="U7" s="164"/>
      <c r="V7" s="441">
        <f t="shared" si="5"/>
        <v>0.26315751345409133</v>
      </c>
      <c r="W7" s="441">
        <f t="shared" si="6"/>
        <v>1.3955452787178335</v>
      </c>
    </row>
    <row r="8" spans="1:29" ht="13" customHeight="1">
      <c r="A8" s="160"/>
      <c r="B8" s="79" t="str">
        <f>IF('Summary | Sumário'!D$6=Names!B$3,Names!AX7,Names!AY7)</f>
        <v>Inter DTVM - management, distribution and custody</v>
      </c>
      <c r="C8" s="164">
        <v>11900.271769999999</v>
      </c>
      <c r="D8" s="164">
        <v>26200.354217510005</v>
      </c>
      <c r="E8" s="164">
        <v>33112.664709689976</v>
      </c>
      <c r="F8" s="164">
        <v>41052.165114700052</v>
      </c>
      <c r="G8" s="164">
        <v>35050.733333440003</v>
      </c>
      <c r="H8" s="164">
        <v>29773.668352699602</v>
      </c>
      <c r="I8" s="164">
        <v>29516.212373499977</v>
      </c>
      <c r="J8" s="164">
        <v>22928.162571609999</v>
      </c>
      <c r="K8" s="164">
        <v>26824.26615318</v>
      </c>
      <c r="L8" s="164">
        <v>28487.490605079998</v>
      </c>
      <c r="M8" s="164">
        <v>29506.854997459966</v>
      </c>
      <c r="N8" s="164">
        <v>35666.050425995447</v>
      </c>
      <c r="O8" s="164">
        <v>38172.131116999997</v>
      </c>
      <c r="P8" s="164">
        <v>41775.076660999999</v>
      </c>
      <c r="Q8" s="164">
        <v>44454.761887643806</v>
      </c>
      <c r="R8" s="164">
        <v>50119.459813935049</v>
      </c>
      <c r="S8" s="164">
        <v>56718.849356623192</v>
      </c>
      <c r="T8" s="164">
        <v>66324.420730192709</v>
      </c>
      <c r="U8" s="164"/>
      <c r="V8" s="440">
        <f t="shared" si="5"/>
        <v>0.1693541297562986</v>
      </c>
      <c r="W8" s="440">
        <f t="shared" si="6"/>
        <v>0.58765527274570539</v>
      </c>
      <c r="X8" s="192"/>
    </row>
    <row r="9" spans="1:29" ht="13" customHeight="1">
      <c r="A9" s="161"/>
      <c r="B9" s="76" t="str">
        <f>IF('Summary | Sumário'!D$6=Names!B$3,Names!AX8,Names!AY8)</f>
        <v>Inter Invest net revenues</v>
      </c>
      <c r="C9" s="191"/>
      <c r="D9" s="191"/>
      <c r="E9" s="193">
        <v>14.775224</v>
      </c>
      <c r="F9" s="193">
        <v>15.423358</v>
      </c>
      <c r="G9" s="193">
        <v>33.671531000000002</v>
      </c>
      <c r="H9" s="193">
        <v>31.725574999999999</v>
      </c>
      <c r="I9" s="193">
        <v>32.118471</v>
      </c>
      <c r="J9" s="193">
        <v>34.942397999999997</v>
      </c>
      <c r="K9" s="193">
        <v>39.631746</v>
      </c>
      <c r="L9" s="193">
        <v>25.204698</v>
      </c>
      <c r="M9" s="193">
        <v>42.040458000000001</v>
      </c>
      <c r="N9" s="193">
        <v>43.381656999999997</v>
      </c>
      <c r="O9" s="193">
        <v>41.514320970000007</v>
      </c>
      <c r="P9" s="193">
        <v>60.850385709999991</v>
      </c>
      <c r="Q9" s="193">
        <v>55.912393019999989</v>
      </c>
      <c r="R9" s="193">
        <v>64.249784560000009</v>
      </c>
      <c r="S9" s="193">
        <v>73.302822420000012</v>
      </c>
      <c r="T9" s="193">
        <v>70.965000000000003</v>
      </c>
      <c r="U9" s="462"/>
      <c r="V9" s="471">
        <f t="shared" si="5"/>
        <v>-3.1892665832225275E-2</v>
      </c>
      <c r="W9" s="471">
        <f t="shared" si="6"/>
        <v>0.16622103823966072</v>
      </c>
    </row>
    <row r="10" spans="1:29" ht="13" customHeight="1">
      <c r="B10" s="79" t="str">
        <f>IF('Summary | Sumário'!D$6=Names!B$3,Names!AX9,Names!AY9)</f>
        <v>Inter Invest net fee revenues</v>
      </c>
      <c r="C10" s="164"/>
      <c r="D10" s="164"/>
      <c r="E10" s="194">
        <v>13.879148000000001</v>
      </c>
      <c r="F10" s="194">
        <v>11.610353</v>
      </c>
      <c r="G10" s="194">
        <v>29.902488000000002</v>
      </c>
      <c r="H10" s="194">
        <v>26.472512999999999</v>
      </c>
      <c r="I10" s="194">
        <v>25.550785999999999</v>
      </c>
      <c r="J10" s="194">
        <v>27.531547</v>
      </c>
      <c r="K10" s="194">
        <v>32.406441000000001</v>
      </c>
      <c r="L10" s="194">
        <v>16.431895000000001</v>
      </c>
      <c r="M10" s="194">
        <v>25.844162000000001</v>
      </c>
      <c r="N10" s="194">
        <v>26.447693999999998</v>
      </c>
      <c r="O10" s="194">
        <v>26.742655840000001</v>
      </c>
      <c r="P10" s="194">
        <v>39.535309839999996</v>
      </c>
      <c r="Q10" s="194">
        <v>32.179000000000002</v>
      </c>
      <c r="R10" s="194">
        <v>35.137999999999998</v>
      </c>
      <c r="S10" s="194">
        <v>40.073</v>
      </c>
      <c r="T10" s="194">
        <v>44.146000000000001</v>
      </c>
      <c r="U10" s="194"/>
      <c r="V10" s="472">
        <f t="shared" si="5"/>
        <v>0.10163950789808607</v>
      </c>
      <c r="W10" s="472">
        <f t="shared" si="6"/>
        <v>0.11662208235270044</v>
      </c>
    </row>
    <row r="11" spans="1:29" ht="13" customHeight="1">
      <c r="B11" s="78" t="str">
        <f>IF('Summary | Sumário'!D$6=Names!B$3,Names!AX10,Names!AY10)</f>
        <v>Inter Invest net interest revenues</v>
      </c>
      <c r="C11" s="162"/>
      <c r="D11" s="162"/>
      <c r="E11" s="195">
        <v>0.89607599999999998</v>
      </c>
      <c r="F11" s="195">
        <v>3.813005</v>
      </c>
      <c r="G11" s="195">
        <v>3.7690429999999999</v>
      </c>
      <c r="H11" s="195">
        <v>5.2530619999999999</v>
      </c>
      <c r="I11" s="195">
        <v>6.567685</v>
      </c>
      <c r="J11" s="195">
        <v>7.4108510000000001</v>
      </c>
      <c r="K11" s="195">
        <v>7.2253049999999996</v>
      </c>
      <c r="L11" s="195">
        <v>8.7728029999999997</v>
      </c>
      <c r="M11" s="195">
        <v>16.196296</v>
      </c>
      <c r="N11" s="195">
        <v>16.933962999999999</v>
      </c>
      <c r="O11" s="195">
        <v>14.771665130000006</v>
      </c>
      <c r="P11" s="195">
        <v>21.315075869999998</v>
      </c>
      <c r="Q11" s="195">
        <v>21.742000000000001</v>
      </c>
      <c r="R11" s="195">
        <v>25.555</v>
      </c>
      <c r="S11" s="195">
        <v>30.029</v>
      </c>
      <c r="T11" s="195">
        <v>26.818999999999999</v>
      </c>
      <c r="U11" s="194"/>
      <c r="V11" s="473">
        <f t="shared" si="5"/>
        <v>-0.10689666655566288</v>
      </c>
      <c r="W11" s="473">
        <f t="shared" si="6"/>
        <v>0.25821743087232107</v>
      </c>
    </row>
    <row r="12" spans="1:29" ht="13" customHeight="1">
      <c r="C12" s="196"/>
      <c r="D12" s="196"/>
      <c r="E12" s="196"/>
      <c r="F12" s="197"/>
      <c r="G12" s="197"/>
      <c r="H12" s="197"/>
      <c r="I12" s="196"/>
      <c r="J12" s="196"/>
      <c r="K12" s="196"/>
      <c r="L12" s="196"/>
      <c r="M12" s="196"/>
      <c r="N12" s="196"/>
      <c r="O12" s="196"/>
      <c r="P12" s="196"/>
      <c r="Q12" s="196"/>
      <c r="R12" s="196"/>
      <c r="S12" s="196"/>
      <c r="T12" s="196"/>
      <c r="U12" s="196"/>
      <c r="V12" s="196"/>
      <c r="W12" s="196"/>
    </row>
    <row r="13" spans="1:29" ht="13" customHeight="1">
      <c r="C13" s="196"/>
      <c r="D13" s="196"/>
      <c r="E13" s="196"/>
      <c r="F13" s="197"/>
      <c r="G13" s="196"/>
      <c r="H13" s="196"/>
      <c r="I13" s="196"/>
      <c r="J13" s="196"/>
      <c r="L13" s="196"/>
      <c r="M13" s="196"/>
      <c r="N13" s="196"/>
      <c r="O13" s="196"/>
      <c r="P13" s="196"/>
      <c r="Q13" s="196"/>
      <c r="R13" s="196"/>
      <c r="S13" s="196"/>
      <c r="T13" s="196"/>
      <c r="U13" s="196"/>
      <c r="V13" s="196"/>
      <c r="W13" s="196"/>
    </row>
    <row r="14" spans="1:29" ht="13" customHeight="1">
      <c r="C14" s="196"/>
      <c r="D14" s="196"/>
      <c r="E14" s="196"/>
      <c r="F14" s="196"/>
      <c r="G14" s="196"/>
      <c r="H14" s="196"/>
      <c r="I14" s="196"/>
      <c r="J14" s="196"/>
      <c r="K14" s="196"/>
      <c r="L14" s="196"/>
      <c r="M14" s="196"/>
      <c r="N14" s="196"/>
      <c r="O14" s="196"/>
      <c r="P14" s="196"/>
      <c r="Q14" s="196"/>
      <c r="R14" s="196"/>
      <c r="S14" s="196"/>
      <c r="T14" s="196"/>
      <c r="U14" s="196"/>
      <c r="V14" s="196"/>
      <c r="W14" s="196"/>
    </row>
    <row r="15" spans="1:29" ht="13" customHeight="1">
      <c r="C15" s="196"/>
      <c r="D15" s="196"/>
      <c r="E15" s="196"/>
      <c r="F15" s="196"/>
      <c r="G15" s="196"/>
      <c r="H15" s="196"/>
      <c r="I15" s="196"/>
      <c r="J15" s="196"/>
      <c r="K15" s="196"/>
      <c r="L15" s="196"/>
      <c r="M15" s="196"/>
      <c r="N15" s="196"/>
      <c r="O15" s="196"/>
      <c r="P15" s="196"/>
      <c r="Q15" s="196"/>
      <c r="R15" s="196"/>
      <c r="S15" s="196"/>
      <c r="T15" s="196"/>
      <c r="U15" s="196"/>
      <c r="V15" s="196"/>
      <c r="W15" s="196"/>
    </row>
    <row r="16" spans="1:29" ht="13" customHeight="1">
      <c r="C16" s="196"/>
      <c r="D16" s="196"/>
      <c r="E16" s="196"/>
      <c r="F16" s="196"/>
      <c r="G16" s="196"/>
      <c r="H16" s="196"/>
      <c r="I16" s="196"/>
      <c r="J16" s="196"/>
      <c r="K16" s="196"/>
      <c r="L16" s="196"/>
      <c r="M16" s="196"/>
      <c r="N16" s="196"/>
      <c r="O16" s="196"/>
      <c r="P16" s="196"/>
      <c r="Q16" s="196"/>
      <c r="R16" s="196"/>
      <c r="S16" s="196"/>
      <c r="T16" s="196"/>
      <c r="U16" s="196"/>
      <c r="V16" s="196"/>
      <c r="W16" s="196"/>
    </row>
    <row r="17" spans="2:23" ht="13" customHeight="1">
      <c r="B17" s="156"/>
      <c r="C17" s="196"/>
      <c r="D17" s="196"/>
      <c r="E17" s="196"/>
      <c r="F17" s="196"/>
      <c r="G17" s="196"/>
      <c r="H17" s="196"/>
      <c r="I17" s="196"/>
      <c r="J17" s="196"/>
      <c r="K17" s="196"/>
      <c r="L17" s="196"/>
      <c r="M17" s="196"/>
      <c r="N17" s="196"/>
      <c r="O17" s="196"/>
      <c r="P17" s="196"/>
      <c r="Q17" s="196"/>
      <c r="R17" s="196"/>
      <c r="S17" s="196"/>
      <c r="T17" s="196"/>
      <c r="U17" s="196"/>
      <c r="V17" s="196"/>
      <c r="W17" s="196"/>
    </row>
    <row r="18" spans="2:23" ht="13" customHeight="1">
      <c r="B18" s="198"/>
      <c r="C18" s="199"/>
      <c r="D18" s="199"/>
      <c r="E18" s="199"/>
      <c r="F18" s="199"/>
      <c r="G18" s="199"/>
      <c r="H18" s="199"/>
      <c r="I18" s="199"/>
      <c r="J18" s="199"/>
      <c r="K18" s="199"/>
      <c r="L18" s="199"/>
      <c r="M18" s="199"/>
      <c r="N18" s="199"/>
      <c r="O18" s="199"/>
      <c r="P18" s="199"/>
      <c r="Q18" s="199"/>
      <c r="R18" s="199"/>
      <c r="S18" s="199"/>
      <c r="T18" s="199"/>
      <c r="U18" s="199"/>
      <c r="V18" s="199"/>
      <c r="W18" s="199"/>
    </row>
    <row r="19" spans="2:23" ht="13" customHeight="1">
      <c r="B19" s="156"/>
      <c r="L19" s="196"/>
      <c r="M19" s="196"/>
      <c r="N19" s="196"/>
      <c r="O19" s="196"/>
      <c r="P19" s="196"/>
      <c r="Q19" s="196"/>
      <c r="R19" s="196"/>
      <c r="S19" s="196"/>
      <c r="T19" s="196"/>
      <c r="U19" s="196"/>
      <c r="V19" s="196"/>
      <c r="W19" s="196"/>
    </row>
    <row r="20" spans="2:23" ht="13" customHeight="1">
      <c r="B20" s="156"/>
    </row>
    <row r="22" spans="2:23" ht="13" customHeight="1">
      <c r="B22" s="715"/>
    </row>
    <row r="23" spans="2:23" ht="13" customHeight="1">
      <c r="B23" s="715"/>
    </row>
    <row r="24" spans="2:23" ht="13" customHeight="1">
      <c r="B24" s="715"/>
    </row>
    <row r="25" spans="2:23" ht="13" customHeight="1">
      <c r="B25" s="715"/>
    </row>
    <row r="26" spans="2:23" ht="13" customHeight="1">
      <c r="B26" s="715"/>
    </row>
    <row r="27" spans="2:23" ht="13" customHeight="1">
      <c r="B27" s="715"/>
    </row>
    <row r="28" spans="2:23" ht="13" customHeight="1">
      <c r="B28" s="715"/>
    </row>
    <row r="64" spans="3:23" ht="13" customHeight="1">
      <c r="C64" s="171"/>
      <c r="D64" s="171"/>
      <c r="E64" s="171"/>
      <c r="F64" s="171"/>
      <c r="G64" s="171"/>
      <c r="H64" s="171"/>
      <c r="I64" s="171"/>
      <c r="J64" s="171"/>
      <c r="K64" s="171"/>
      <c r="L64" s="171"/>
      <c r="M64" s="171"/>
      <c r="N64" s="171"/>
      <c r="O64" s="171"/>
      <c r="P64" s="171"/>
      <c r="Q64" s="171"/>
      <c r="R64" s="171"/>
      <c r="S64" s="171"/>
      <c r="T64" s="171"/>
      <c r="U64" s="171"/>
      <c r="V64" s="171"/>
      <c r="W64" s="171"/>
    </row>
  </sheetData>
  <sheetProtection algorithmName="SHA-512" hashValue="DP79EYHjz0vp2Zpdpxf7tt86EmaLS6zQCyZFbdYMSM89Y0xBHun6N71JRsFVHpmACt1rG/iXkgaggilF0usaow==" saltValue="OVMla94WTns1fJxJpRRECQ==" spinCount="100000" sheet="1" formatCells="0" formatColumns="0" formatRows="0" insertColumns="0" insertRows="0" insertHyperlinks="0" deleteColumns="0" deleteRows="0" sort="0" autoFilter="0" pivotTables="0"/>
  <mergeCells count="1">
    <mergeCell ref="B22:B28"/>
  </mergeCell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5A1A-D6B8-3344-BDFC-1DD8EED5C848}">
  <sheetPr codeName="Sheet8">
    <tabColor rgb="FFFFCA96"/>
  </sheetPr>
  <dimension ref="A1:AC2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3" customWidth="1"/>
    <col min="2" max="2" width="68.33203125" style="133" customWidth="1"/>
    <col min="3" max="20" width="10.83203125" style="133" customWidth="1"/>
    <col min="21" max="21" width="5.83203125" style="133" customWidth="1"/>
    <col min="22" max="23" width="10.83203125" style="133" customWidth="1"/>
    <col min="24" max="16384" width="10.83203125" style="133"/>
  </cols>
  <sheetData>
    <row r="1" spans="1:29" s="171" customFormat="1" ht="13" customHeight="1">
      <c r="A1" s="171" t="s">
        <v>893</v>
      </c>
      <c r="C1" s="172"/>
      <c r="D1" s="172"/>
      <c r="E1" s="172"/>
      <c r="F1" s="172"/>
      <c r="G1" s="172"/>
      <c r="H1" s="172"/>
      <c r="I1" s="172"/>
      <c r="J1" s="172"/>
      <c r="K1" s="172"/>
      <c r="L1" s="172"/>
      <c r="M1" s="172"/>
      <c r="N1" s="172"/>
      <c r="O1" s="172"/>
      <c r="P1" s="172"/>
      <c r="Q1" s="172"/>
      <c r="R1" s="172"/>
      <c r="S1" s="172"/>
      <c r="T1" s="172"/>
      <c r="U1" s="172"/>
      <c r="V1" s="172"/>
      <c r="W1" s="172"/>
      <c r="X1" s="172"/>
    </row>
    <row r="2" spans="1:29" s="140" customFormat="1" ht="13" customHeight="1">
      <c r="B2" s="310" t="str">
        <f>IF('Summary | Sumário'!D$6=Names!B$3,Names!AJ1,Names!AK1)</f>
        <v>Inter Seguros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311" t="str">
        <f>IF('Summary | Sumário'!D$6=Names!B$3,Names!E19,Names!F19)</f>
        <v>4Q24</v>
      </c>
      <c r="U2" s="398"/>
      <c r="V2" s="114" t="str">
        <f>IF('Summary | Sumário'!$D$6=Names!$B$3,Names!$I$24,Names!$J$24)</f>
        <v>QoQ Variation</v>
      </c>
      <c r="W2" s="114" t="str">
        <f>IF('Summary | Sumário'!$D$6=Names!$B$3,Names!$I$25,Names!$J$25)</f>
        <v>YoY Variation</v>
      </c>
      <c r="X2" s="136"/>
      <c r="Y2" s="138"/>
      <c r="Z2" s="139"/>
      <c r="AB2" s="141"/>
      <c r="AC2" s="142"/>
    </row>
    <row r="3" spans="1:29" s="171" customFormat="1" ht="13" customHeight="1">
      <c r="B3" s="47"/>
      <c r="C3" s="173"/>
      <c r="D3" s="173"/>
      <c r="E3" s="139"/>
      <c r="F3" s="139"/>
      <c r="G3" s="139"/>
      <c r="H3" s="139"/>
      <c r="I3" s="139"/>
      <c r="J3" s="139"/>
      <c r="K3" s="139"/>
      <c r="L3" s="139"/>
      <c r="M3" s="139"/>
      <c r="N3" s="139"/>
      <c r="O3" s="139"/>
      <c r="P3" s="139"/>
      <c r="Q3" s="139"/>
      <c r="R3" s="139"/>
      <c r="S3" s="139"/>
      <c r="T3" s="139"/>
      <c r="U3" s="139"/>
      <c r="V3" s="139"/>
      <c r="W3" s="139"/>
      <c r="X3" s="139"/>
    </row>
    <row r="4" spans="1:29" ht="13" customHeight="1">
      <c r="B4" s="7" t="str">
        <f>IF('Summary | Sumário'!D$6=Names!B$3,Names!AJ2,Names!AK2)</f>
        <v>Inter seguros</v>
      </c>
      <c r="C4" s="146"/>
      <c r="D4" s="146"/>
      <c r="E4" s="146"/>
      <c r="F4" s="146"/>
      <c r="G4" s="146"/>
      <c r="H4" s="146"/>
      <c r="I4" s="146"/>
      <c r="J4" s="146"/>
      <c r="K4" s="146"/>
      <c r="L4" s="146"/>
      <c r="M4" s="146"/>
      <c r="N4" s="146"/>
      <c r="O4" s="146"/>
      <c r="P4" s="146"/>
      <c r="Q4" s="146"/>
      <c r="R4" s="146"/>
      <c r="S4" s="146"/>
      <c r="T4" s="146"/>
      <c r="U4" s="308"/>
      <c r="V4" s="146"/>
      <c r="W4" s="146"/>
    </row>
    <row r="5" spans="1:29" ht="13" customHeight="1">
      <c r="B5" s="80" t="str">
        <f>IF('Summary | Sumário'!D$6=Names!B$3,Names!AJ3,Names!AK3)</f>
        <v>Active contracts</v>
      </c>
      <c r="C5" s="183">
        <v>5.3094000000000002E-2</v>
      </c>
      <c r="D5" s="183">
        <v>0.25492300000000001</v>
      </c>
      <c r="E5" s="183">
        <v>0.36691800000000002</v>
      </c>
      <c r="F5" s="183">
        <v>0.53204200000000001</v>
      </c>
      <c r="G5" s="183">
        <v>0.68269100000000005</v>
      </c>
      <c r="H5" s="183">
        <v>0.83851799999999999</v>
      </c>
      <c r="I5" s="183">
        <v>0.91542800000000002</v>
      </c>
      <c r="J5" s="183">
        <v>1.046513</v>
      </c>
      <c r="K5" s="183">
        <v>1.129281</v>
      </c>
      <c r="L5" s="183">
        <v>1.270999</v>
      </c>
      <c r="M5" s="183">
        <v>1.337496</v>
      </c>
      <c r="N5" s="183">
        <v>1.525682</v>
      </c>
      <c r="O5" s="183">
        <v>1.5860810000000001</v>
      </c>
      <c r="P5" s="183">
        <v>1.710353</v>
      </c>
      <c r="Q5" s="183">
        <v>1.87538</v>
      </c>
      <c r="R5" s="183">
        <v>2.5900970000000001</v>
      </c>
      <c r="S5" s="183">
        <v>3.4083297300000002</v>
      </c>
      <c r="T5" s="183">
        <v>5.2721520000000002</v>
      </c>
      <c r="U5" s="463"/>
      <c r="V5" s="474">
        <f>T5/S5-1</f>
        <v>0.54684329793408804</v>
      </c>
      <c r="W5" s="474">
        <f>T5/P5-1</f>
        <v>2.0824934969564763</v>
      </c>
    </row>
    <row r="6" spans="1:29" ht="13" customHeight="1">
      <c r="B6" s="27" t="str">
        <f>IF('Summary | Sumário'!D$6=Names!B$3,Names!AJ4,Names!AK4)</f>
        <v>Inter Seguros net revenues</v>
      </c>
      <c r="C6" s="174"/>
      <c r="D6" s="174"/>
      <c r="E6" s="174">
        <v>19.567177999999998</v>
      </c>
      <c r="F6" s="174">
        <v>21.418572999999999</v>
      </c>
      <c r="G6" s="174">
        <v>22.416924999999999</v>
      </c>
      <c r="H6" s="174">
        <v>25.126908</v>
      </c>
      <c r="I6" s="174">
        <v>29.693913999999999</v>
      </c>
      <c r="J6" s="174">
        <v>34.950688</v>
      </c>
      <c r="K6" s="174">
        <v>31.200075999999999</v>
      </c>
      <c r="L6" s="174">
        <v>34.830342999999999</v>
      </c>
      <c r="M6" s="174">
        <v>40.561728000000002</v>
      </c>
      <c r="N6" s="174">
        <v>38.523485999999998</v>
      </c>
      <c r="O6" s="174">
        <v>46.867078279999994</v>
      </c>
      <c r="P6" s="174">
        <v>47.206707720000011</v>
      </c>
      <c r="Q6" s="174">
        <v>52.34994228</v>
      </c>
      <c r="R6" s="174">
        <v>58.088726569999999</v>
      </c>
      <c r="S6" s="174">
        <v>23.560331150000007</v>
      </c>
      <c r="T6" s="174">
        <v>54.381999999999998</v>
      </c>
      <c r="U6" s="174"/>
      <c r="V6" s="475">
        <f t="shared" ref="V6:V8" si="0">T6/S6-1</f>
        <v>1.3082018522477341</v>
      </c>
      <c r="W6" s="475">
        <f t="shared" ref="W6:W8" si="1">T6/P6-1</f>
        <v>0.1519973034882931</v>
      </c>
    </row>
    <row r="7" spans="1:29" ht="13" customHeight="1">
      <c r="B7" s="81" t="str">
        <f>IF('Summary | Sumário'!D$6=Names!B$3,Names!AJ5,Names!AK5)</f>
        <v>Inter Seguros net fee revenues</v>
      </c>
      <c r="C7" s="184"/>
      <c r="D7" s="184"/>
      <c r="E7" s="175">
        <v>18.685466000000002</v>
      </c>
      <c r="F7" s="175">
        <v>20.401418</v>
      </c>
      <c r="G7" s="175">
        <v>20.850255000000001</v>
      </c>
      <c r="H7" s="175">
        <v>23.16553</v>
      </c>
      <c r="I7" s="175">
        <v>27.696591000000002</v>
      </c>
      <c r="J7" s="175">
        <v>35.958463999999999</v>
      </c>
      <c r="K7" s="175">
        <v>31.187383000000001</v>
      </c>
      <c r="L7" s="175">
        <v>34.477263000000001</v>
      </c>
      <c r="M7" s="175">
        <v>39.972607000000004</v>
      </c>
      <c r="N7" s="175">
        <v>38.084088000000001</v>
      </c>
      <c r="O7" s="175">
        <v>46.382157129999996</v>
      </c>
      <c r="P7" s="175">
        <v>46.637147870000014</v>
      </c>
      <c r="Q7" s="175">
        <v>51.375999999999998</v>
      </c>
      <c r="R7" s="175">
        <v>57.15</v>
      </c>
      <c r="S7" s="175">
        <v>22.606999999999999</v>
      </c>
      <c r="T7" s="175">
        <v>53.082999999999998</v>
      </c>
      <c r="U7" s="174"/>
      <c r="V7" s="474">
        <f t="shared" si="0"/>
        <v>1.3480780289290926</v>
      </c>
      <c r="W7" s="474">
        <f t="shared" si="1"/>
        <v>0.13821282870830021</v>
      </c>
    </row>
    <row r="8" spans="1:29" ht="13" customHeight="1">
      <c r="B8" s="77" t="str">
        <f>IF('Summary | Sumário'!D$6=Names!B$3,Names!AJ6,Names!AK6)</f>
        <v>Inter Seguros net interest revenues</v>
      </c>
      <c r="C8" s="185"/>
      <c r="D8" s="185"/>
      <c r="E8" s="186">
        <v>0.88171200000000005</v>
      </c>
      <c r="F8" s="186">
        <v>1.017155</v>
      </c>
      <c r="G8" s="186">
        <v>1.56667</v>
      </c>
      <c r="H8" s="186">
        <v>1.9613780000000001</v>
      </c>
      <c r="I8" s="186">
        <v>1.997323</v>
      </c>
      <c r="J8" s="186">
        <v>-1.007776</v>
      </c>
      <c r="K8" s="186">
        <v>1.2692999999999999E-2</v>
      </c>
      <c r="L8" s="186">
        <v>0.35308</v>
      </c>
      <c r="M8" s="186">
        <v>0.58912100000000001</v>
      </c>
      <c r="N8" s="186">
        <v>0.43939800000000001</v>
      </c>
      <c r="O8" s="186">
        <v>0.48492114999999852</v>
      </c>
      <c r="P8" s="186">
        <v>0.56955985000000153</v>
      </c>
      <c r="Q8" s="186">
        <v>0.97399999999999998</v>
      </c>
      <c r="R8" s="186">
        <v>0.93799999999999994</v>
      </c>
      <c r="S8" s="186">
        <v>0.95399999999999996</v>
      </c>
      <c r="T8" s="186">
        <v>1.2989999999999999</v>
      </c>
      <c r="U8" s="186"/>
      <c r="V8" s="475">
        <f t="shared" si="0"/>
        <v>0.36163522012578619</v>
      </c>
      <c r="W8" s="475">
        <f t="shared" si="1"/>
        <v>1.2807085155317681</v>
      </c>
    </row>
    <row r="9" spans="1:29" ht="13" customHeight="1">
      <c r="B9" s="80" t="str">
        <f>IF('Summary | Sumário'!D$6=Names!B$3,Names!AJ8,Names!AK8)</f>
        <v>Managerial EBITDA Margin</v>
      </c>
      <c r="C9" s="187">
        <v>0.70227189056318551</v>
      </c>
      <c r="D9" s="187">
        <v>0.89266785681840854</v>
      </c>
      <c r="E9" s="187">
        <v>0.88482599815833041</v>
      </c>
      <c r="F9" s="187">
        <v>0.89893649657256391</v>
      </c>
      <c r="G9" s="187">
        <v>0.92065885943882775</v>
      </c>
      <c r="H9" s="187">
        <v>0.92170299939186384</v>
      </c>
      <c r="I9" s="187">
        <v>0.8973923084485973</v>
      </c>
      <c r="J9" s="187">
        <v>0.93032138452831492</v>
      </c>
      <c r="K9" s="187">
        <v>0.92233340321210788</v>
      </c>
      <c r="L9" s="187">
        <v>0.87840703866079084</v>
      </c>
      <c r="M9" s="187">
        <v>0.93266382663319469</v>
      </c>
      <c r="N9" s="187">
        <v>0.72104143228798501</v>
      </c>
      <c r="O9" s="187">
        <v>0.77176803701130903</v>
      </c>
      <c r="P9" s="187">
        <v>0.72430000000000005</v>
      </c>
      <c r="Q9" s="187" t="s">
        <v>987</v>
      </c>
      <c r="R9" s="187">
        <v>0.79595981616999212</v>
      </c>
      <c r="S9" s="187">
        <v>0.80309864287930621</v>
      </c>
      <c r="T9" s="187">
        <v>0.80472871734256524</v>
      </c>
      <c r="U9" s="304"/>
      <c r="V9" s="476">
        <f>(S9-R9)*100</f>
        <v>0.71388267093140945</v>
      </c>
      <c r="W9" s="476">
        <f>(S9-O9)*100</f>
        <v>3.1330605867997185</v>
      </c>
    </row>
    <row r="10" spans="1:29" ht="13" customHeight="1">
      <c r="B10" s="27" t="str">
        <f>IF('Summary | Sumário'!D$6=Names!B$3,Names!AJ9,Names!AK9)</f>
        <v>Inter Seguros net income</v>
      </c>
      <c r="C10" s="174">
        <v>3.1904390600000023</v>
      </c>
      <c r="D10" s="174">
        <v>13.105405040000003</v>
      </c>
      <c r="E10" s="174">
        <v>13.946809500000006</v>
      </c>
      <c r="F10" s="174">
        <v>15.577624370000001</v>
      </c>
      <c r="G10" s="174">
        <v>16.607872859999997</v>
      </c>
      <c r="H10" s="174">
        <v>18.628638070000008</v>
      </c>
      <c r="I10" s="174">
        <v>14.207677600000006</v>
      </c>
      <c r="J10" s="174">
        <v>18.505050730000004</v>
      </c>
      <c r="K10" s="174">
        <v>15.75805096</v>
      </c>
      <c r="L10" s="174">
        <v>16.689283329999999</v>
      </c>
      <c r="M10" s="174">
        <v>15.789375680000004</v>
      </c>
      <c r="N10" s="174">
        <v>12.835727520000008</v>
      </c>
      <c r="O10" s="174">
        <v>15.535343949999991</v>
      </c>
      <c r="P10" s="174">
        <v>15.226922</v>
      </c>
      <c r="Q10" s="174">
        <v>20.419972569809499</v>
      </c>
      <c r="R10" s="174">
        <v>19.956684169999999</v>
      </c>
      <c r="S10" s="174">
        <v>24.356338290000103</v>
      </c>
      <c r="T10" s="174">
        <v>26.332546999999998</v>
      </c>
      <c r="U10" s="174"/>
      <c r="V10" s="475">
        <f>T10/S10-1</f>
        <v>8.1137348581303836E-2</v>
      </c>
      <c r="W10" s="475">
        <f>T10/P10-1</f>
        <v>0.72934142566698634</v>
      </c>
    </row>
    <row r="12" spans="1:29" ht="13" customHeight="1">
      <c r="B12" s="716" t="str">
        <f>IF('Summary | Sumário'!D$6=Names!B$3,Names!AJ12,Names!AK12)</f>
        <v>Note: 3Q24 net fee revenue reflects the reclassification of provisions for canceled sales, moving these amounts from administrative expenses to expenses for services and commissions in 2024.</v>
      </c>
      <c r="H12" s="180"/>
      <c r="I12" s="180"/>
      <c r="J12" s="180"/>
      <c r="K12" s="180"/>
      <c r="L12" s="180"/>
      <c r="M12" s="180"/>
      <c r="N12" s="180"/>
      <c r="O12" s="385"/>
      <c r="P12" s="385"/>
      <c r="Q12" s="385"/>
      <c r="R12" s="385"/>
      <c r="S12" s="385"/>
      <c r="T12" s="180"/>
      <c r="U12" s="180"/>
      <c r="V12" s="180"/>
      <c r="W12" s="180"/>
    </row>
    <row r="13" spans="1:29" ht="13" customHeight="1">
      <c r="B13" s="716"/>
    </row>
    <row r="14" spans="1:29" ht="13" customHeight="1">
      <c r="B14" s="716"/>
    </row>
    <row r="15" spans="1:29" ht="13" customHeight="1">
      <c r="C15" s="134"/>
      <c r="D15" s="134"/>
      <c r="E15" s="134"/>
      <c r="F15" s="134"/>
      <c r="G15" s="134"/>
      <c r="H15" s="134"/>
      <c r="I15" s="134"/>
      <c r="J15" s="134"/>
      <c r="K15" s="134"/>
      <c r="L15" s="134"/>
      <c r="M15" s="134"/>
      <c r="N15" s="134"/>
      <c r="O15" s="134"/>
      <c r="P15" s="134"/>
      <c r="Q15" s="134"/>
      <c r="R15" s="134"/>
      <c r="S15" s="134"/>
      <c r="T15" s="134"/>
      <c r="U15" s="134"/>
      <c r="V15" s="134"/>
      <c r="W15" s="134"/>
    </row>
    <row r="17" spans="2:10" ht="13" customHeight="1">
      <c r="B17" s="188"/>
    </row>
    <row r="18" spans="2:10" ht="13" customHeight="1">
      <c r="B18" s="188"/>
    </row>
    <row r="21" spans="2:10" ht="13" customHeight="1">
      <c r="B21" s="189"/>
    </row>
    <row r="22" spans="2:10" ht="13" customHeight="1">
      <c r="B22" s="189"/>
      <c r="J22" s="190"/>
    </row>
  </sheetData>
  <sheetProtection algorithmName="SHA-512" hashValue="2Vj+iu4O4DbictY77THX4QaaZhqC2jN7gxV4F21eRfKiB0UlwBhh/InrtfdldVGN5rN6AetlB0hLmKF6nBQQfA==" saltValue="RSUVPsQ/AsktjYo2jEJHkQ==" spinCount="100000" sheet="1" formatCells="0" formatColumns="0" formatRows="0" insertColumns="0" insertRows="0" insertHyperlinks="0" deleteColumns="0" deleteRows="0" sort="0" autoFilter="0" pivotTables="0"/>
  <mergeCells count="1">
    <mergeCell ref="B12:B14"/>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9C2B-1C32-1D4E-89EF-3461873B0D54}">
  <sheetPr codeName="Sheet7">
    <tabColor rgb="FFFFCA96"/>
  </sheetPr>
  <dimension ref="B1:AC26"/>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3" customWidth="1"/>
    <col min="2" max="2" width="68.33203125" style="163" customWidth="1"/>
    <col min="3" max="19" width="10.83203125" style="133" customWidth="1"/>
    <col min="20" max="20" width="5.83203125" style="133" customWidth="1"/>
    <col min="21" max="22" width="10.83203125" style="133" customWidth="1"/>
    <col min="23" max="16384" width="10.83203125" style="133"/>
  </cols>
  <sheetData>
    <row r="1" spans="2:29" s="171" customFormat="1" ht="13" customHeight="1">
      <c r="C1" s="172"/>
      <c r="D1" s="172"/>
      <c r="E1" s="172"/>
      <c r="F1" s="172"/>
      <c r="G1" s="172"/>
      <c r="H1" s="172"/>
      <c r="I1" s="172"/>
      <c r="J1" s="172"/>
      <c r="K1" s="172"/>
      <c r="L1" s="172"/>
      <c r="M1" s="172"/>
      <c r="N1" s="172"/>
      <c r="O1" s="172"/>
      <c r="P1" s="172"/>
      <c r="Q1" s="172"/>
      <c r="R1" s="172"/>
      <c r="S1" s="172"/>
      <c r="T1" s="172"/>
      <c r="U1" s="172"/>
      <c r="V1" s="172"/>
      <c r="W1" s="172"/>
    </row>
    <row r="2" spans="2:29" s="140" customFormat="1" ht="13" customHeight="1">
      <c r="B2" s="310" t="str">
        <f>IF('Summary | Sumário'!D$6=Names!B$3,Names!AL1,Names!AM1)</f>
        <v>Inter Shop (Managerial, Million)</v>
      </c>
      <c r="C2" s="20" t="str">
        <f>IF('Summary | Sumário'!G$3=Names!A$3,Names!D3,Names!E3)</f>
        <v>4Q20</v>
      </c>
      <c r="D2" s="20" t="str">
        <f>IF('Summary | Sumário'!G$3=Names!A$3,Names!D4,Names!E4)</f>
        <v>1Q21</v>
      </c>
      <c r="E2" s="20" t="str">
        <f>IF('Summary | Sumário'!G$3=Names!A$3,Names!D5,Names!E5)</f>
        <v>2Q21</v>
      </c>
      <c r="F2" s="20" t="str">
        <f>IF('Summary | Sumário'!G$3=Names!A$3,Names!D6,Names!E6)</f>
        <v>3Q21</v>
      </c>
      <c r="G2" s="20" t="str">
        <f>IF('Summary | Sumário'!G$3=Names!A$3,Names!D7,Names!E7)</f>
        <v>4Q21</v>
      </c>
      <c r="H2" s="21" t="str">
        <f>IF('Summary | Sumário'!G$3=Names!A$3,Names!D8,Names!E8)</f>
        <v>1Q22</v>
      </c>
      <c r="I2" s="21" t="str">
        <f>IF('Summary | Sumário'!G$3=Names!A$3,Names!D9,Names!E9)</f>
        <v>2Q22</v>
      </c>
      <c r="J2" s="21" t="str">
        <f>IF('Summary | Sumário'!G$3=Names!A$3,Names!D10,Names!E10)</f>
        <v>3Q22</v>
      </c>
      <c r="K2" s="21" t="str">
        <f>IF('Summary | Sumário'!G$3=Names!A$3,Names!D11,Names!E11)</f>
        <v>4Q22</v>
      </c>
      <c r="L2" s="21" t="str">
        <f>IF('Summary | Sumário'!G$3=Names!A$3,Names!D12,Names!E12)</f>
        <v>1Q23</v>
      </c>
      <c r="M2" s="21" t="str">
        <f>IF('Summary | Sumário'!G$3=Names!A$3,Names!D13,Names!E13)</f>
        <v>2Q23</v>
      </c>
      <c r="N2" s="21" t="str">
        <f>IF('Summary | Sumário'!G$3=Names!A$3,Names!D14,Names!E14)</f>
        <v>3Q23</v>
      </c>
      <c r="O2" s="21" t="str">
        <f>IF('Summary | Sumário'!G$3=Names!A$3,Names!D15,Names!E15)</f>
        <v>4Q23</v>
      </c>
      <c r="P2" s="21" t="str">
        <f>IF('Summary | Sumário'!G$3=Names!A$3,Names!D16,Names!E16)</f>
        <v>1Q24</v>
      </c>
      <c r="Q2" s="21" t="str">
        <f>IF('Summary | Sumário'!G$3=Names!A$3,Names!D17,Names!E17)</f>
        <v>2Q24</v>
      </c>
      <c r="R2" s="21" t="str">
        <f>IF('Summary | Sumário'!G$3=Names!A$3,Names!D18,Names!E18)</f>
        <v>3Q24</v>
      </c>
      <c r="S2" s="311" t="str">
        <f>IF('Summary | Sumário'!G$3=Names!A$3,Names!D9,Names!E19)</f>
        <v>4Q24</v>
      </c>
      <c r="T2" s="398"/>
      <c r="U2" s="114" t="str">
        <f>IF('Summary | Sumário'!$D$6=Names!$B$3,Names!$I$24,Names!$J$24)</f>
        <v>QoQ Variation</v>
      </c>
      <c r="V2" s="114" t="str">
        <f>IF('Summary | Sumário'!$D$6=Names!$B$3,Names!$I$25,Names!$J$25)</f>
        <v>YoY Variation</v>
      </c>
      <c r="W2" s="138"/>
      <c r="X2" s="136"/>
      <c r="Y2" s="138"/>
      <c r="Z2" s="139"/>
      <c r="AB2" s="141"/>
      <c r="AC2" s="142"/>
    </row>
    <row r="3" spans="2:29" s="171" customFormat="1" ht="13" customHeight="1">
      <c r="B3" s="47"/>
      <c r="C3" s="173"/>
      <c r="D3" s="139"/>
      <c r="E3" s="139"/>
      <c r="F3" s="139"/>
      <c r="G3" s="139"/>
      <c r="H3" s="139"/>
      <c r="I3" s="139"/>
      <c r="J3" s="139"/>
      <c r="K3" s="139"/>
      <c r="L3" s="139"/>
      <c r="M3" s="139"/>
      <c r="N3" s="139"/>
      <c r="O3" s="139"/>
      <c r="P3" s="139"/>
      <c r="Q3" s="139"/>
      <c r="R3" s="139"/>
      <c r="S3" s="139"/>
      <c r="T3" s="139"/>
      <c r="U3" s="139"/>
      <c r="V3" s="139"/>
      <c r="W3" s="139"/>
    </row>
    <row r="4" spans="2:29" ht="13" customHeight="1">
      <c r="B4" s="367" t="str">
        <f>IF('Summary | Sumário'!D$6=Names!B$3,Names!AL2,Names!AM2)</f>
        <v>Inter shop</v>
      </c>
      <c r="C4" s="308"/>
      <c r="D4" s="308"/>
      <c r="E4" s="308"/>
      <c r="F4" s="308"/>
      <c r="G4" s="308"/>
      <c r="H4" s="308"/>
      <c r="I4" s="308"/>
      <c r="J4" s="308"/>
      <c r="K4" s="308"/>
      <c r="L4" s="308"/>
      <c r="M4" s="308"/>
      <c r="N4" s="308"/>
      <c r="O4" s="308"/>
      <c r="P4" s="308"/>
      <c r="Q4" s="308"/>
      <c r="R4" s="308"/>
      <c r="S4" s="308"/>
      <c r="T4" s="308"/>
      <c r="U4" s="308"/>
      <c r="V4" s="308"/>
    </row>
    <row r="5" spans="2:29" ht="13" customHeight="1">
      <c r="B5" s="355" t="str">
        <f>IF('Summary | Sumário'!D$6=Names!B$3,Names!AL3,Names!AM3)</f>
        <v>Gross merchandise volume</v>
      </c>
      <c r="C5" s="368">
        <v>632.08809299999996</v>
      </c>
      <c r="D5" s="368">
        <v>675.86323200000004</v>
      </c>
      <c r="E5" s="368">
        <v>774.37923499999999</v>
      </c>
      <c r="F5" s="368">
        <v>946.37195599999995</v>
      </c>
      <c r="G5" s="368">
        <v>1125.0433519999999</v>
      </c>
      <c r="H5" s="368">
        <v>1053.0667530000001</v>
      </c>
      <c r="I5" s="368">
        <v>990.06993699999998</v>
      </c>
      <c r="J5" s="368">
        <v>938.66564000000005</v>
      </c>
      <c r="K5" s="368">
        <v>1003.4261218400001</v>
      </c>
      <c r="L5" s="368">
        <v>829.25831872000003</v>
      </c>
      <c r="M5" s="368">
        <v>755.63938086500002</v>
      </c>
      <c r="N5" s="368">
        <v>869.35878100000002</v>
      </c>
      <c r="O5" s="368">
        <v>1049.8873619999999</v>
      </c>
      <c r="P5" s="368">
        <v>993.72802863999993</v>
      </c>
      <c r="Q5" s="368">
        <v>1136.3548290000001</v>
      </c>
      <c r="R5" s="368">
        <v>1381.38672453</v>
      </c>
      <c r="S5" s="368">
        <v>1468.9165743599999</v>
      </c>
      <c r="T5" s="464"/>
      <c r="U5" s="477">
        <f>S5/R5-1</f>
        <v>6.3363754896211821E-2</v>
      </c>
      <c r="V5" s="477">
        <f>S5/O5-1</f>
        <v>0.39911825546862811</v>
      </c>
    </row>
    <row r="6" spans="2:29" ht="13" customHeight="1">
      <c r="B6" s="109" t="str">
        <f>IF('Summary | Sumário'!D$6=Names!B$3,Names!AL4,Names!AM4)</f>
        <v>Inter Shop net revenues</v>
      </c>
      <c r="C6" s="174"/>
      <c r="D6" s="174">
        <v>5.9970829900000018</v>
      </c>
      <c r="E6" s="174">
        <v>6.3313360000000003</v>
      </c>
      <c r="F6" s="174">
        <v>4.424766909997202</v>
      </c>
      <c r="G6" s="174">
        <v>16.210006369999991</v>
      </c>
      <c r="H6" s="174">
        <v>29.681559900000003</v>
      </c>
      <c r="I6" s="174">
        <v>43.648439909999993</v>
      </c>
      <c r="J6" s="174">
        <v>47.710828999999997</v>
      </c>
      <c r="K6" s="174">
        <v>58.844120670000002</v>
      </c>
      <c r="L6" s="174">
        <v>53.754698779999998</v>
      </c>
      <c r="M6" s="174">
        <v>67.33451371000001</v>
      </c>
      <c r="N6" s="174">
        <v>75.930407540000019</v>
      </c>
      <c r="O6" s="174">
        <v>57.560787499999954</v>
      </c>
      <c r="P6" s="174">
        <v>61.45511956</v>
      </c>
      <c r="Q6" s="174">
        <v>66.868201779999993</v>
      </c>
      <c r="R6" s="174">
        <v>86.338678659999999</v>
      </c>
      <c r="S6" s="174">
        <v>107.43899999999999</v>
      </c>
      <c r="T6" s="174"/>
      <c r="U6" s="475">
        <f t="shared" ref="U6:U9" si="0">S6/R6-1</f>
        <v>0.24439013507599117</v>
      </c>
      <c r="V6" s="475">
        <f t="shared" ref="V6:V9" si="1">S6/O6-1</f>
        <v>0.86653109983945376</v>
      </c>
    </row>
    <row r="7" spans="2:29" ht="13" customHeight="1">
      <c r="B7" s="110" t="str">
        <f>IF('Summary | Sumário'!D$6=Names!B$3,Names!AL5,Names!AM5)</f>
        <v>Inter Shop net fee revenues</v>
      </c>
      <c r="C7" s="175"/>
      <c r="D7" s="175">
        <v>4.6300749900000024</v>
      </c>
      <c r="E7" s="175">
        <v>3.5682109999999998</v>
      </c>
      <c r="F7" s="175">
        <v>3.0701239099972026</v>
      </c>
      <c r="G7" s="175">
        <v>11.784099369999989</v>
      </c>
      <c r="H7" s="175">
        <v>25.117762640000002</v>
      </c>
      <c r="I7" s="175">
        <v>33.097321000000001</v>
      </c>
      <c r="J7" s="175">
        <v>27.487579</v>
      </c>
      <c r="K7" s="175">
        <v>39.960256999999999</v>
      </c>
      <c r="L7" s="175">
        <v>40.103501000000001</v>
      </c>
      <c r="M7" s="175">
        <v>55.416983999999999</v>
      </c>
      <c r="N7" s="175">
        <v>52.432689730000021</v>
      </c>
      <c r="O7" s="175">
        <v>33.09131547999997</v>
      </c>
      <c r="P7" s="175">
        <v>40.066000000000003</v>
      </c>
      <c r="Q7" s="175">
        <v>39.219000000000001</v>
      </c>
      <c r="R7" s="175">
        <v>57.280999999999999</v>
      </c>
      <c r="S7" s="175">
        <v>69.825000000000003</v>
      </c>
      <c r="T7" s="174"/>
      <c r="U7" s="474">
        <f t="shared" si="0"/>
        <v>0.21899059024807532</v>
      </c>
      <c r="V7" s="474">
        <f t="shared" si="1"/>
        <v>1.1100702400967246</v>
      </c>
    </row>
    <row r="8" spans="2:29" ht="13" customHeight="1">
      <c r="B8" s="111" t="str">
        <f>IF('Summary | Sumário'!D$6=Names!B$3,Names!AL6,Names!AM6)</f>
        <v>Inter Shop net interest revenues</v>
      </c>
      <c r="C8" s="174"/>
      <c r="D8" s="174">
        <v>1.367008</v>
      </c>
      <c r="E8" s="174">
        <v>2.7631250000000001</v>
      </c>
      <c r="F8" s="174">
        <v>1.354643</v>
      </c>
      <c r="G8" s="174">
        <v>4.4259069999999996</v>
      </c>
      <c r="H8" s="174">
        <v>4.5637972600000021</v>
      </c>
      <c r="I8" s="174">
        <v>10.551118909999996</v>
      </c>
      <c r="J8" s="174">
        <v>20.22325</v>
      </c>
      <c r="K8" s="174">
        <v>18.88386367</v>
      </c>
      <c r="L8" s="174">
        <v>13.65119778</v>
      </c>
      <c r="M8" s="174">
        <v>11.917529710000009</v>
      </c>
      <c r="N8" s="174">
        <v>23.497717810000001</v>
      </c>
      <c r="O8" s="174">
        <v>24.469472019999987</v>
      </c>
      <c r="P8" s="174">
        <v>21.388999999999999</v>
      </c>
      <c r="Q8" s="174">
        <v>28.312000000000001</v>
      </c>
      <c r="R8" s="174">
        <v>28.395</v>
      </c>
      <c r="S8" s="174">
        <v>37.613999999999997</v>
      </c>
      <c r="T8" s="174"/>
      <c r="U8" s="475">
        <f t="shared" si="0"/>
        <v>0.32466983623877432</v>
      </c>
      <c r="V8" s="475">
        <f t="shared" si="1"/>
        <v>0.53718069475534258</v>
      </c>
    </row>
    <row r="9" spans="2:29" ht="13" customHeight="1">
      <c r="B9" s="108" t="str">
        <f>IF('Summary | Sumário'!D$6=Names!B$3,Names!AL7,Names!AM7)</f>
        <v>Cashback expenses</v>
      </c>
      <c r="C9" s="175"/>
      <c r="D9" s="175">
        <v>-34.052095009999995</v>
      </c>
      <c r="E9" s="175">
        <v>-49.743684000000002</v>
      </c>
      <c r="F9" s="175">
        <v>-56.019543090002799</v>
      </c>
      <c r="G9" s="175">
        <v>-74.182447630000013</v>
      </c>
      <c r="H9" s="175">
        <v>-69.803044360000001</v>
      </c>
      <c r="I9" s="175">
        <v>-68.918199999999999</v>
      </c>
      <c r="J9" s="175">
        <v>-54.220694999999999</v>
      </c>
      <c r="K9" s="175">
        <v>-53.289734000000003</v>
      </c>
      <c r="L9" s="175">
        <v>-41.187900999999997</v>
      </c>
      <c r="M9" s="175">
        <v>-36.990116999999998</v>
      </c>
      <c r="N9" s="175">
        <v>-48.073910379999994</v>
      </c>
      <c r="O9" s="175">
        <v>-61.597868429999977</v>
      </c>
      <c r="P9" s="175">
        <v>-63.086409609999997</v>
      </c>
      <c r="Q9" s="175">
        <v>-90.809057850000002</v>
      </c>
      <c r="R9" s="175">
        <v>-105.75800392000001</v>
      </c>
      <c r="S9" s="175">
        <v>-103.71176801</v>
      </c>
      <c r="T9" s="174"/>
      <c r="U9" s="474">
        <f t="shared" si="0"/>
        <v>-1.9348284140724425E-2</v>
      </c>
      <c r="V9" s="474">
        <f t="shared" si="1"/>
        <v>0.68369085900851267</v>
      </c>
      <c r="W9" s="174"/>
    </row>
    <row r="10" spans="2:29" ht="13" customHeight="1">
      <c r="B10" s="109" t="str">
        <f>IF('Summary | Sumário'!D$6=Names!B$3,Names!AL8,Names!AM8)</f>
        <v>Take rate</v>
      </c>
      <c r="C10" s="176"/>
      <c r="D10" s="176">
        <v>5.9256334867466204E-2</v>
      </c>
      <c r="E10" s="176">
        <v>7.2412866287665884E-2</v>
      </c>
      <c r="F10" s="176">
        <v>6.3869506716447963E-2</v>
      </c>
      <c r="G10" s="176">
        <v>8.0345751867524476E-2</v>
      </c>
      <c r="H10" s="176">
        <v>9.4474809860415385E-2</v>
      </c>
      <c r="I10" s="176">
        <v>0.11369565694630318</v>
      </c>
      <c r="J10" s="176">
        <v>0.10859194334630168</v>
      </c>
      <c r="K10" s="176">
        <v>0.11175098119269428</v>
      </c>
      <c r="L10" s="176">
        <v>0.11449098264886683</v>
      </c>
      <c r="M10" s="176">
        <v>0.13806140118131072</v>
      </c>
      <c r="N10" s="176">
        <v>0.14264101219218031</v>
      </c>
      <c r="O10" s="176">
        <v>0.11349861012042541</v>
      </c>
      <c r="P10" s="176">
        <v>0.1253278126113096</v>
      </c>
      <c r="Q10" s="176">
        <v>0.13875771944292939</v>
      </c>
      <c r="R10" s="176">
        <v>0.13906075624503961</v>
      </c>
      <c r="S10" s="176">
        <v>0.14374592246805942</v>
      </c>
      <c r="T10" s="176"/>
      <c r="U10" s="428">
        <f>(S10-R10)*100</f>
        <v>0.46851662230198154</v>
      </c>
      <c r="V10" s="428">
        <f>(S10-O10)*100</f>
        <v>3.0247312347634017</v>
      </c>
    </row>
    <row r="11" spans="2:29" ht="13" customHeight="1">
      <c r="B11" s="108" t="str">
        <f>IF('Summary | Sumário'!D$6=Names!B$3,Names!AL9,Names!AM9)</f>
        <v>Net take rate</v>
      </c>
      <c r="C11" s="177"/>
      <c r="D11" s="177">
        <v>8.8732197670430488E-3</v>
      </c>
      <c r="E11" s="177">
        <v>8.176014688720314E-3</v>
      </c>
      <c r="F11" s="177">
        <v>4.6755051034048211E-3</v>
      </c>
      <c r="G11" s="177">
        <v>1.4408339324154319E-2</v>
      </c>
      <c r="H11" s="177">
        <v>2.8185829450452702E-2</v>
      </c>
      <c r="I11" s="177">
        <v>4.4086218840518131E-2</v>
      </c>
      <c r="J11" s="177">
        <v>5.0828353533852587E-2</v>
      </c>
      <c r="K11" s="177">
        <v>5.8643201915150968E-2</v>
      </c>
      <c r="L11" s="177">
        <v>6.482262229575575E-2</v>
      </c>
      <c r="M11" s="177">
        <v>8.9109323064820209E-2</v>
      </c>
      <c r="N11" s="177">
        <v>8.7340703515594934E-2</v>
      </c>
      <c r="O11" s="177">
        <v>5.4825679004601599E-2</v>
      </c>
      <c r="P11" s="177">
        <v>6.1842997066417132E-2</v>
      </c>
      <c r="Q11" s="177">
        <v>5.8844473639316039E-2</v>
      </c>
      <c r="R11" s="177">
        <v>6.2501453884592439E-2</v>
      </c>
      <c r="S11" s="177">
        <v>7.3141662280453656E-2</v>
      </c>
      <c r="T11" s="176"/>
      <c r="U11" s="427">
        <f>(S11-R11)*100</f>
        <v>1.0640208395861217</v>
      </c>
      <c r="V11" s="427">
        <f>(S11-O11)*100</f>
        <v>1.8315983275852057</v>
      </c>
    </row>
    <row r="12" spans="2:29" ht="13" customHeight="1">
      <c r="B12" s="156"/>
      <c r="K12" s="178"/>
      <c r="L12" s="178"/>
      <c r="M12" s="178"/>
      <c r="N12" s="178"/>
      <c r="O12" s="178"/>
      <c r="P12" s="178"/>
      <c r="Q12" s="178"/>
      <c r="R12" s="178"/>
      <c r="S12" s="178"/>
      <c r="T12" s="178"/>
      <c r="U12" s="178"/>
      <c r="V12" s="178"/>
    </row>
    <row r="13" spans="2:29" ht="13" customHeight="1">
      <c r="B13" s="156"/>
      <c r="L13" s="179"/>
      <c r="M13" s="179"/>
      <c r="N13" s="179"/>
      <c r="O13" s="179"/>
      <c r="P13" s="179"/>
      <c r="Q13" s="179"/>
      <c r="R13" s="179"/>
      <c r="S13" s="179"/>
      <c r="T13" s="179"/>
      <c r="U13" s="179"/>
      <c r="V13" s="179"/>
    </row>
    <row r="14" spans="2:29" ht="13" customHeight="1">
      <c r="B14" s="156"/>
      <c r="K14" s="180"/>
      <c r="L14" s="180"/>
      <c r="M14" s="180"/>
      <c r="N14" s="181"/>
      <c r="O14" s="181"/>
      <c r="P14" s="181"/>
      <c r="Q14" s="181"/>
      <c r="R14" s="181"/>
      <c r="S14" s="181"/>
      <c r="T14" s="181"/>
      <c r="U14" s="181"/>
      <c r="V14" s="181"/>
    </row>
    <row r="15" spans="2:29" ht="13" customHeight="1">
      <c r="B15" s="156"/>
      <c r="K15" s="180"/>
      <c r="L15" s="180"/>
      <c r="M15" s="180"/>
      <c r="N15" s="180"/>
      <c r="O15" s="180"/>
      <c r="P15" s="180"/>
      <c r="Q15" s="180"/>
      <c r="R15" s="180"/>
      <c r="S15" s="180"/>
      <c r="T15" s="180"/>
      <c r="U15" s="180"/>
      <c r="V15" s="180"/>
    </row>
    <row r="16" spans="2:29" ht="13" customHeight="1">
      <c r="K16" s="180"/>
      <c r="L16" s="180"/>
      <c r="M16" s="180"/>
      <c r="N16" s="180"/>
      <c r="O16" s="180"/>
      <c r="P16" s="180"/>
      <c r="Q16" s="180"/>
      <c r="R16" s="180"/>
      <c r="S16" s="180"/>
      <c r="T16" s="180"/>
      <c r="U16" s="180"/>
      <c r="V16" s="180"/>
    </row>
    <row r="17" spans="2:22" ht="13" customHeight="1">
      <c r="B17" s="156"/>
      <c r="K17" s="180"/>
      <c r="L17" s="180"/>
      <c r="M17" s="180"/>
      <c r="N17" s="180"/>
      <c r="O17" s="180"/>
      <c r="P17" s="180"/>
      <c r="Q17" s="180"/>
      <c r="R17" s="180"/>
      <c r="S17" s="180"/>
      <c r="T17" s="180"/>
      <c r="U17" s="180"/>
      <c r="V17" s="180"/>
    </row>
    <row r="18" spans="2:22" ht="13" customHeight="1">
      <c r="B18" s="156"/>
      <c r="K18" s="181"/>
      <c r="L18" s="181"/>
      <c r="M18" s="181"/>
      <c r="N18" s="181"/>
      <c r="O18" s="181"/>
      <c r="P18" s="181"/>
      <c r="Q18" s="181"/>
      <c r="R18" s="181"/>
      <c r="S18" s="181"/>
      <c r="T18" s="181"/>
      <c r="U18" s="181"/>
      <c r="V18" s="181"/>
    </row>
    <row r="19" spans="2:22" ht="13" customHeight="1">
      <c r="K19" s="180"/>
      <c r="L19" s="180"/>
      <c r="M19" s="180"/>
      <c r="N19" s="180"/>
      <c r="O19" s="180"/>
      <c r="P19" s="180"/>
      <c r="Q19" s="180"/>
      <c r="R19" s="180"/>
      <c r="S19" s="180"/>
      <c r="T19" s="180"/>
      <c r="U19" s="180"/>
      <c r="V19" s="180"/>
    </row>
    <row r="20" spans="2:22" ht="13" customHeight="1">
      <c r="B20" s="182"/>
      <c r="K20" s="180"/>
      <c r="L20" s="180"/>
      <c r="M20" s="180"/>
      <c r="N20" s="180"/>
      <c r="O20" s="180"/>
      <c r="P20" s="180"/>
      <c r="Q20" s="180"/>
      <c r="R20" s="180"/>
      <c r="S20" s="180"/>
      <c r="T20" s="180"/>
      <c r="U20" s="180"/>
      <c r="V20" s="180"/>
    </row>
    <row r="21" spans="2:22" ht="13" customHeight="1">
      <c r="B21" s="182"/>
    </row>
    <row r="22" spans="2:22" ht="13" customHeight="1">
      <c r="B22" s="182"/>
    </row>
    <row r="23" spans="2:22" ht="13" customHeight="1">
      <c r="B23" s="182"/>
    </row>
    <row r="24" spans="2:22" ht="13" customHeight="1">
      <c r="B24" s="182"/>
    </row>
    <row r="25" spans="2:22" ht="13" customHeight="1">
      <c r="B25" s="182"/>
    </row>
    <row r="26" spans="2:22" ht="13" customHeight="1">
      <c r="B26" s="182"/>
    </row>
  </sheetData>
  <sheetProtection algorithmName="SHA-512" hashValue="bFZUC53ebwO/AOZfvtb/HBLu5l3fg0sDjWGQx1kmaRmpHcXUgqUcpxmHqJUOJ8nc6Xtm887mr9gYxD9AoONeWA==" saltValue="Rb4/aGg1rYjHsRSXcEqMOg==" spinCount="100000" sheet="1" formatCells="0" formatColumns="0" formatRows="0" insertColumns="0" insertRows="0" insertHyperlinks="0" deleteColumns="0" deleteRows="0" sort="0" autoFilter="0" pivotTables="0"/>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DDE8-D90D-C943-A3EF-74069CAAE5A7}">
  <sheetPr codeName="Sheet19">
    <tabColor rgb="FFFFCA96"/>
  </sheetPr>
  <dimension ref="A1:AC42"/>
  <sheetViews>
    <sheetView showGridLines="0" zoomScaleNormal="100" workbookViewId="0">
      <pane xSplit="2" ySplit="3" topLeftCell="C4" activePane="bottomRight" state="frozen"/>
      <selection pane="topRight" activeCell="I52" sqref="I52"/>
      <selection pane="bottomLeft" activeCell="I52" sqref="I52"/>
      <selection pane="bottomRight"/>
    </sheetView>
  </sheetViews>
  <sheetFormatPr baseColWidth="10" defaultColWidth="10.83203125" defaultRowHeight="13" customHeight="1"/>
  <cols>
    <col min="1" max="1" width="3.33203125" style="133" customWidth="1"/>
    <col min="2" max="2" width="68.33203125" style="133" customWidth="1"/>
    <col min="3" max="12" width="10.83203125" style="133" customWidth="1"/>
    <col min="13" max="20" width="10.83203125" style="133"/>
    <col min="21" max="21" width="5.83203125" style="133" customWidth="1"/>
    <col min="22" max="16384" width="10.83203125" style="133"/>
  </cols>
  <sheetData>
    <row r="1" spans="1:29" ht="13" customHeight="1">
      <c r="C1" s="134"/>
      <c r="D1" s="134"/>
      <c r="E1" s="134"/>
      <c r="F1" s="134"/>
      <c r="G1" s="134"/>
      <c r="H1" s="134"/>
      <c r="I1" s="134"/>
      <c r="J1" s="134"/>
      <c r="K1" s="134"/>
      <c r="L1" s="134"/>
      <c r="M1" s="134"/>
      <c r="N1" s="134"/>
      <c r="O1" s="134"/>
      <c r="P1" s="134"/>
      <c r="Q1" s="134"/>
      <c r="R1" s="134"/>
      <c r="S1" s="134"/>
      <c r="T1" s="134"/>
      <c r="U1" s="134"/>
      <c r="V1" s="134"/>
      <c r="W1" s="134"/>
      <c r="X1" s="134"/>
    </row>
    <row r="2" spans="1:29" s="140" customFormat="1" ht="13" customHeight="1">
      <c r="B2" s="310" t="str">
        <f>IF('Summary | Sumário'!D$6=Names!B$3,Names!AN1,Names!AO1)</f>
        <v>Digital Account (Managerial, Million)</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311" t="str">
        <f>IF('Summary | Sumário'!D$6=Names!B$3,Names!E19,Names!F19)</f>
        <v>4Q24</v>
      </c>
      <c r="U2" s="398"/>
      <c r="V2" s="114" t="str">
        <f>IF('Summary | Sumário'!$D$6=Names!$B$3,Names!$I$24,Names!$J$24)</f>
        <v>QoQ Variation</v>
      </c>
      <c r="W2" s="114" t="str">
        <f>IF('Summary | Sumário'!$D$6=Names!$B$3,Names!$I$25,Names!$J$25)</f>
        <v>YoY Variation</v>
      </c>
      <c r="X2" s="136"/>
      <c r="Y2" s="138"/>
      <c r="Z2" s="139"/>
      <c r="AB2" s="141"/>
      <c r="AC2" s="142"/>
    </row>
    <row r="3" spans="1:29" ht="13" customHeight="1">
      <c r="B3" s="143"/>
      <c r="C3" s="144"/>
      <c r="D3" s="144"/>
      <c r="E3" s="145"/>
      <c r="F3" s="145"/>
      <c r="G3" s="145"/>
      <c r="H3" s="145"/>
      <c r="I3" s="145"/>
      <c r="J3" s="145"/>
      <c r="K3" s="145"/>
      <c r="L3" s="145"/>
      <c r="M3" s="145"/>
      <c r="N3" s="145"/>
      <c r="O3" s="145"/>
      <c r="P3" s="145"/>
      <c r="Q3" s="145"/>
      <c r="R3" s="145"/>
      <c r="S3" s="145"/>
      <c r="T3" s="145"/>
      <c r="U3" s="145"/>
      <c r="V3" s="145"/>
      <c r="W3" s="145"/>
      <c r="X3" s="145"/>
    </row>
    <row r="4" spans="1:29" ht="13" customHeight="1">
      <c r="A4" s="160"/>
      <c r="B4" s="3" t="str">
        <f>IF('Summary | Sumário'!D$6=Names!B$3,Names!AN3,Names!AO3)</f>
        <v>Number of cards used (in thousands)</v>
      </c>
      <c r="C4" s="166"/>
      <c r="D4" s="166"/>
      <c r="E4" s="166"/>
      <c r="F4" s="166"/>
      <c r="G4" s="166"/>
      <c r="H4" s="166"/>
      <c r="I4" s="166"/>
      <c r="J4" s="166"/>
      <c r="K4" s="166"/>
      <c r="L4" s="166"/>
      <c r="M4" s="166"/>
      <c r="N4" s="166"/>
      <c r="O4" s="166"/>
      <c r="P4" s="166"/>
      <c r="Q4" s="166"/>
      <c r="R4" s="166"/>
      <c r="S4" s="166"/>
      <c r="T4" s="166"/>
      <c r="U4" s="166"/>
      <c r="V4" s="166"/>
      <c r="W4" s="166"/>
    </row>
    <row r="5" spans="1:29" s="163" customFormat="1" ht="13" customHeight="1">
      <c r="A5" s="161"/>
      <c r="B5" s="369" t="str">
        <f>IF('Summary | Sumário'!D$6=Names!B$3,Names!AN4,Names!AO4)</f>
        <v>Debit cards used</v>
      </c>
      <c r="C5" s="370">
        <v>1030.944</v>
      </c>
      <c r="D5" s="370">
        <v>2339.578</v>
      </c>
      <c r="E5" s="370">
        <v>2685.1979999999999</v>
      </c>
      <c r="F5" s="370">
        <v>3221.4879999999998</v>
      </c>
      <c r="G5" s="370">
        <v>3711.5329999999999</v>
      </c>
      <c r="H5" s="370">
        <v>4176.7030000000004</v>
      </c>
      <c r="I5" s="370">
        <v>4479.1809999999996</v>
      </c>
      <c r="J5" s="370">
        <v>4970.62</v>
      </c>
      <c r="K5" s="370">
        <v>5442.5770000000002</v>
      </c>
      <c r="L5" s="370">
        <v>5872.8680000000004</v>
      </c>
      <c r="M5" s="370">
        <v>6147.3360000000002</v>
      </c>
      <c r="N5" s="370">
        <v>6463.7240000000002</v>
      </c>
      <c r="O5" s="370">
        <v>6801.2349999999997</v>
      </c>
      <c r="P5" s="370">
        <v>7108.0410000000002</v>
      </c>
      <c r="Q5" s="370">
        <v>7316.8689999999997</v>
      </c>
      <c r="R5" s="370">
        <v>7621.01</v>
      </c>
      <c r="S5" s="370">
        <v>7952.6880000000001</v>
      </c>
      <c r="T5" s="370">
        <v>8228.6579999999994</v>
      </c>
      <c r="U5" s="164"/>
      <c r="V5" s="439">
        <f>T5/S5-1</f>
        <v>3.4701474520313136E-2</v>
      </c>
      <c r="W5" s="439">
        <f>T5/P5-1</f>
        <v>0.15765483063476982</v>
      </c>
    </row>
    <row r="6" spans="1:29" s="163" customFormat="1" ht="13" customHeight="1">
      <c r="A6" s="161"/>
      <c r="B6" s="56" t="str">
        <f>IF('Summary | Sumário'!D$6=Names!B$3,Names!AN5,Names!AO5)</f>
        <v>Credit cards used</v>
      </c>
      <c r="C6" s="164">
        <v>588.38300000000004</v>
      </c>
      <c r="D6" s="164">
        <v>1295.857</v>
      </c>
      <c r="E6" s="164">
        <v>1590.048</v>
      </c>
      <c r="F6" s="164">
        <v>1798.817</v>
      </c>
      <c r="G6" s="164">
        <v>2193.192</v>
      </c>
      <c r="H6" s="164">
        <v>2729.027</v>
      </c>
      <c r="I6" s="164">
        <v>2902.91</v>
      </c>
      <c r="J6" s="164">
        <v>3119.3670000000002</v>
      </c>
      <c r="K6" s="164">
        <v>3310.114</v>
      </c>
      <c r="L6" s="164">
        <v>3476.1680000000001</v>
      </c>
      <c r="M6" s="164">
        <v>3591.0430000000001</v>
      </c>
      <c r="N6" s="164">
        <v>3525.779</v>
      </c>
      <c r="O6" s="164">
        <v>3637.0610000000001</v>
      </c>
      <c r="P6" s="164">
        <v>3775.3009999999999</v>
      </c>
      <c r="Q6" s="164">
        <v>3844.9839999999999</v>
      </c>
      <c r="R6" s="164">
        <v>3961.181</v>
      </c>
      <c r="S6" s="164">
        <v>4106.3919999999998</v>
      </c>
      <c r="T6" s="164">
        <v>4324.0039999999999</v>
      </c>
      <c r="U6" s="164"/>
      <c r="V6" s="440">
        <f t="shared" ref="V6:V7" si="0">T6/S6-1</f>
        <v>5.2993479434014112E-2</v>
      </c>
      <c r="W6" s="440">
        <f t="shared" ref="W6:W7" si="1">T6/P6-1</f>
        <v>0.14534019936423603</v>
      </c>
    </row>
    <row r="7" spans="1:29" s="163" customFormat="1" ht="13" customHeight="1">
      <c r="A7" s="161"/>
      <c r="B7" s="61" t="str">
        <f>IF('Summary | Sumário'!D$6=Names!B$3,Names!AN6,Names!AO6)</f>
        <v>Total cards used</v>
      </c>
      <c r="C7" s="162">
        <v>1366.941</v>
      </c>
      <c r="D7" s="162">
        <v>2960.7579999999998</v>
      </c>
      <c r="E7" s="162">
        <v>3474.2</v>
      </c>
      <c r="F7" s="162">
        <v>4125.5619999999999</v>
      </c>
      <c r="G7" s="162">
        <v>4761.8389999999999</v>
      </c>
      <c r="H7" s="162">
        <v>5421.817</v>
      </c>
      <c r="I7" s="162">
        <v>5843.7479999999996</v>
      </c>
      <c r="J7" s="162">
        <v>6419.11</v>
      </c>
      <c r="K7" s="162">
        <v>6958.1440000000002</v>
      </c>
      <c r="L7" s="162">
        <v>7439.0910000000003</v>
      </c>
      <c r="M7" s="162">
        <v>7789.7269999999999</v>
      </c>
      <c r="N7" s="162">
        <v>8136.6819999999998</v>
      </c>
      <c r="O7" s="162">
        <v>8541.6869999999999</v>
      </c>
      <c r="P7" s="162">
        <v>8883.8109999999997</v>
      </c>
      <c r="Q7" s="162">
        <v>9074.2469999999994</v>
      </c>
      <c r="R7" s="162">
        <v>9499.6990000000005</v>
      </c>
      <c r="S7" s="162">
        <v>9887.8619999999992</v>
      </c>
      <c r="T7" s="162">
        <v>10229.897000000001</v>
      </c>
      <c r="U7" s="164"/>
      <c r="V7" s="441">
        <f t="shared" si="0"/>
        <v>3.4591401053129855E-2</v>
      </c>
      <c r="W7" s="441">
        <f t="shared" si="1"/>
        <v>0.15152123339859447</v>
      </c>
    </row>
    <row r="8" spans="1:29" s="163" customFormat="1" ht="13" customHeight="1">
      <c r="A8" s="161"/>
      <c r="B8" s="165"/>
      <c r="C8" s="166"/>
      <c r="D8" s="166"/>
      <c r="E8" s="166"/>
      <c r="F8" s="166"/>
      <c r="G8" s="166"/>
      <c r="H8" s="166"/>
      <c r="I8" s="166"/>
      <c r="J8" s="166"/>
      <c r="K8" s="166"/>
      <c r="L8" s="166"/>
      <c r="M8" s="166"/>
      <c r="N8" s="166"/>
      <c r="O8" s="166"/>
      <c r="P8" s="166"/>
      <c r="Q8" s="166"/>
      <c r="R8" s="166"/>
      <c r="S8" s="166"/>
      <c r="T8" s="166"/>
      <c r="U8" s="166"/>
      <c r="V8" s="166"/>
      <c r="W8" s="166"/>
    </row>
    <row r="9" spans="1:29" ht="13" customHeight="1">
      <c r="A9" s="160"/>
      <c r="B9" s="358" t="str">
        <f>IF('Summary | Sumário'!D$6=Names!B$3,Names!AN8,Names!AO8)</f>
        <v>Cards + PIX TPV (in million)</v>
      </c>
      <c r="C9" s="309"/>
      <c r="D9" s="309"/>
      <c r="E9" s="309"/>
      <c r="F9" s="309"/>
      <c r="G9" s="309"/>
      <c r="H9" s="309"/>
      <c r="I9" s="309"/>
      <c r="J9" s="309"/>
      <c r="K9" s="309"/>
      <c r="L9" s="309"/>
      <c r="M9" s="309"/>
      <c r="N9" s="309"/>
      <c r="O9" s="309"/>
      <c r="P9" s="309"/>
      <c r="Q9" s="309"/>
      <c r="R9" s="309"/>
      <c r="S9" s="309"/>
      <c r="T9" s="309"/>
      <c r="U9" s="166"/>
      <c r="V9" s="309"/>
      <c r="W9" s="309"/>
      <c r="X9" s="163"/>
    </row>
    <row r="10" spans="1:29" s="163" customFormat="1" ht="13" customHeight="1">
      <c r="A10" s="167" t="s">
        <v>894</v>
      </c>
      <c r="B10" s="371" t="str">
        <f>IF('Summary | Sumário'!D$6=Names!B$3,Names!AN9,Names!AO9)</f>
        <v>Debit TPV</v>
      </c>
      <c r="C10" s="372">
        <v>1890.0661843600001</v>
      </c>
      <c r="D10" s="372">
        <v>5032.0947420000002</v>
      </c>
      <c r="E10" s="372">
        <v>4700.4723899999999</v>
      </c>
      <c r="F10" s="372">
        <v>5866.0523949999997</v>
      </c>
      <c r="G10" s="372">
        <v>7076.1946120000011</v>
      </c>
      <c r="H10" s="372">
        <v>8263.4268090000005</v>
      </c>
      <c r="I10" s="372">
        <v>7695.0063590000009</v>
      </c>
      <c r="J10" s="372">
        <v>8681.7274649999999</v>
      </c>
      <c r="K10" s="372">
        <v>9265.8454089999996</v>
      </c>
      <c r="L10" s="372">
        <v>10533.758581980001</v>
      </c>
      <c r="M10" s="372">
        <v>9913.266527050002</v>
      </c>
      <c r="N10" s="372">
        <v>10401.555399300003</v>
      </c>
      <c r="O10" s="372">
        <v>10856.98690217</v>
      </c>
      <c r="P10" s="372">
        <v>12156.573075690001</v>
      </c>
      <c r="Q10" s="372">
        <v>11260.217286679999</v>
      </c>
      <c r="R10" s="372">
        <v>12007.981544899998</v>
      </c>
      <c r="S10" s="372">
        <v>12609.98808239</v>
      </c>
      <c r="T10" s="372">
        <v>13681.221431990001</v>
      </c>
      <c r="U10" s="164"/>
      <c r="V10" s="443">
        <f>T10/S10-1</f>
        <v>8.4951178589612653E-2</v>
      </c>
      <c r="W10" s="443">
        <f>T10/P10-1</f>
        <v>0.12541761126323525</v>
      </c>
      <c r="X10" s="168"/>
    </row>
    <row r="11" spans="1:29" s="163" customFormat="1" ht="13" customHeight="1">
      <c r="A11" s="167"/>
      <c r="B11" s="61" t="str">
        <f>IF('Summary | Sumário'!D$6=Names!B$3,Names!AN10,Names!AO10)</f>
        <v>Credit TPV</v>
      </c>
      <c r="C11" s="162">
        <v>994.89999999999986</v>
      </c>
      <c r="D11" s="162">
        <v>2285.6983910000004</v>
      </c>
      <c r="E11" s="162">
        <v>2881.7517969999999</v>
      </c>
      <c r="F11" s="162">
        <v>3569.863468</v>
      </c>
      <c r="G11" s="162">
        <v>4539.470362</v>
      </c>
      <c r="H11" s="162">
        <v>5963.1811199999993</v>
      </c>
      <c r="I11" s="162">
        <v>6388.2015880000008</v>
      </c>
      <c r="J11" s="162">
        <v>7361.6602919999996</v>
      </c>
      <c r="K11" s="162">
        <v>7971.5047679999998</v>
      </c>
      <c r="L11" s="162">
        <v>8589.4409414799993</v>
      </c>
      <c r="M11" s="162">
        <v>8572.7250050000002</v>
      </c>
      <c r="N11" s="162">
        <v>9241.1768100399986</v>
      </c>
      <c r="O11" s="162">
        <v>10330.36308718</v>
      </c>
      <c r="P11" s="162">
        <v>11685.45036375</v>
      </c>
      <c r="Q11" s="162">
        <v>11892.135028350001</v>
      </c>
      <c r="R11" s="162">
        <v>12315.349123649999</v>
      </c>
      <c r="S11" s="162">
        <v>12928.677802909999</v>
      </c>
      <c r="T11" s="162">
        <v>14051.685465590001</v>
      </c>
      <c r="U11" s="164"/>
      <c r="V11" s="441">
        <f t="shared" ref="V11:V13" si="2">T11/S11-1</f>
        <v>8.6861756461069417E-2</v>
      </c>
      <c r="W11" s="441">
        <f t="shared" ref="W11:W13" si="3">T11/P11-1</f>
        <v>0.20249412972395242</v>
      </c>
    </row>
    <row r="12" spans="1:29" s="163" customFormat="1" ht="13" customHeight="1">
      <c r="A12" s="161"/>
      <c r="B12" s="56" t="str">
        <f>IF('Summary | Sumário'!D$6=Names!B$3,Names!AN11,Names!AO11)</f>
        <v>PIX TPV</v>
      </c>
      <c r="C12" s="169">
        <v>0</v>
      </c>
      <c r="D12" s="164">
        <v>7496.17</v>
      </c>
      <c r="E12" s="164">
        <v>36808.78</v>
      </c>
      <c r="F12" s="164">
        <v>57865.009999999995</v>
      </c>
      <c r="G12" s="164">
        <v>80102.45</v>
      </c>
      <c r="H12" s="164">
        <v>94401.95</v>
      </c>
      <c r="I12" s="164">
        <v>97072.540000000008</v>
      </c>
      <c r="J12" s="164">
        <v>117925.45999999999</v>
      </c>
      <c r="K12" s="164">
        <v>138199.15000000002</v>
      </c>
      <c r="L12" s="164">
        <v>158392.04999999999</v>
      </c>
      <c r="M12" s="164">
        <v>162875.34000000003</v>
      </c>
      <c r="N12" s="164">
        <v>177349.25</v>
      </c>
      <c r="O12" s="164">
        <v>198231.50999999998</v>
      </c>
      <c r="P12" s="164">
        <v>229637.61</v>
      </c>
      <c r="Q12" s="164">
        <v>233956.64</v>
      </c>
      <c r="R12" s="164">
        <v>265864.09000000003</v>
      </c>
      <c r="S12" s="164">
        <v>294171.92</v>
      </c>
      <c r="T12" s="164">
        <v>336584.84</v>
      </c>
      <c r="U12" s="164"/>
      <c r="V12" s="440">
        <f t="shared" si="2"/>
        <v>0.14417732324689614</v>
      </c>
      <c r="W12" s="440">
        <f t="shared" si="3"/>
        <v>0.46572175176357233</v>
      </c>
      <c r="X12" s="168"/>
    </row>
    <row r="13" spans="1:29" ht="13" customHeight="1">
      <c r="B13" s="341" t="str">
        <f>IF('Summary | Sumário'!D$6=Names!B$3,Names!AN12,Names!AO12)</f>
        <v>Cards + PIX TPV</v>
      </c>
      <c r="C13" s="373">
        <f>SUM(C10:C12)</f>
        <v>2884.9661843599997</v>
      </c>
      <c r="D13" s="373">
        <f t="shared" ref="D13:M13" si="4">SUM(D10:D12)</f>
        <v>14813.963133000001</v>
      </c>
      <c r="E13" s="373">
        <f t="shared" si="4"/>
        <v>44391.004186999999</v>
      </c>
      <c r="F13" s="373">
        <f t="shared" si="4"/>
        <v>67300.925862999997</v>
      </c>
      <c r="G13" s="373">
        <f t="shared" si="4"/>
        <v>91718.114973999996</v>
      </c>
      <c r="H13" s="373">
        <f t="shared" si="4"/>
        <v>108628.557929</v>
      </c>
      <c r="I13" s="373">
        <f t="shared" si="4"/>
        <v>111155.74794700001</v>
      </c>
      <c r="J13" s="373">
        <f t="shared" si="4"/>
        <v>133968.84775699998</v>
      </c>
      <c r="K13" s="373">
        <f t="shared" si="4"/>
        <v>155436.50017700001</v>
      </c>
      <c r="L13" s="373">
        <f t="shared" si="4"/>
        <v>177515.24952345999</v>
      </c>
      <c r="M13" s="373">
        <f t="shared" si="4"/>
        <v>181361.33153205004</v>
      </c>
      <c r="N13" s="373">
        <f t="shared" ref="N13:O13" si="5">SUM(N10:N12)</f>
        <v>196991.98220934</v>
      </c>
      <c r="O13" s="373">
        <f t="shared" si="5"/>
        <v>219418.85998934996</v>
      </c>
      <c r="P13" s="373">
        <f t="shared" ref="P13:Q13" si="6">SUM(P10:P12)</f>
        <v>253479.63343943999</v>
      </c>
      <c r="Q13" s="373">
        <f t="shared" si="6"/>
        <v>257108.99231503002</v>
      </c>
      <c r="R13" s="373">
        <f t="shared" ref="R13:S13" si="7">SUM(R10:R12)</f>
        <v>290187.42066855001</v>
      </c>
      <c r="S13" s="373">
        <f t="shared" si="7"/>
        <v>319710.58588529995</v>
      </c>
      <c r="T13" s="373">
        <f t="shared" ref="T13" si="8">SUM(T10:T12)</f>
        <v>364317.74689758004</v>
      </c>
      <c r="U13" s="465"/>
      <c r="V13" s="432">
        <f t="shared" si="2"/>
        <v>0.13952356594249093</v>
      </c>
      <c r="W13" s="432">
        <f t="shared" si="3"/>
        <v>0.43726634741493298</v>
      </c>
    </row>
    <row r="14" spans="1:29" ht="13" customHeight="1">
      <c r="B14" s="156"/>
    </row>
    <row r="15" spans="1:29" ht="13" customHeight="1">
      <c r="B15" s="156"/>
    </row>
    <row r="16" spans="1:29" ht="13" customHeight="1">
      <c r="B16" s="156"/>
    </row>
    <row r="17" spans="2:8" ht="13" customHeight="1">
      <c r="B17" s="156"/>
    </row>
    <row r="18" spans="2:8" ht="13" customHeight="1">
      <c r="B18" s="156"/>
      <c r="H18" s="170"/>
    </row>
    <row r="19" spans="2:8" ht="13" customHeight="1">
      <c r="B19" s="156"/>
    </row>
    <row r="20" spans="2:8" ht="13" customHeight="1">
      <c r="B20" s="156"/>
    </row>
    <row r="21" spans="2:8" ht="13" customHeight="1">
      <c r="B21" s="156"/>
    </row>
    <row r="22" spans="2:8" ht="13" customHeight="1">
      <c r="B22" s="156"/>
    </row>
    <row r="23" spans="2:8" ht="13" customHeight="1">
      <c r="B23" s="156"/>
    </row>
    <row r="24" spans="2:8" ht="13" customHeight="1">
      <c r="B24" s="156"/>
    </row>
    <row r="25" spans="2:8" ht="13" customHeight="1">
      <c r="B25" s="156"/>
    </row>
    <row r="26" spans="2:8" ht="13" customHeight="1">
      <c r="B26" s="156"/>
    </row>
    <row r="27" spans="2:8" ht="13" customHeight="1">
      <c r="B27" s="155"/>
    </row>
    <row r="28" spans="2:8" ht="13" customHeight="1">
      <c r="B28" s="155"/>
    </row>
    <row r="29" spans="2:8" ht="13" customHeight="1">
      <c r="B29" s="155"/>
    </row>
    <row r="30" spans="2:8" ht="13" customHeight="1">
      <c r="B30" s="155"/>
    </row>
    <row r="31" spans="2:8" ht="13" customHeight="1">
      <c r="B31" s="155"/>
    </row>
    <row r="33" spans="2:2" ht="13" customHeight="1">
      <c r="B33" s="156"/>
    </row>
    <row r="34" spans="2:2" ht="13" customHeight="1">
      <c r="B34" s="157"/>
    </row>
    <row r="36" spans="2:2" ht="13" customHeight="1">
      <c r="B36" s="717"/>
    </row>
    <row r="37" spans="2:2" ht="13" customHeight="1">
      <c r="B37" s="717"/>
    </row>
    <row r="38" spans="2:2" ht="13" customHeight="1">
      <c r="B38" s="717"/>
    </row>
    <row r="39" spans="2:2" ht="13" customHeight="1">
      <c r="B39" s="717"/>
    </row>
    <row r="40" spans="2:2" ht="13" customHeight="1">
      <c r="B40" s="717"/>
    </row>
    <row r="41" spans="2:2" ht="13" customHeight="1">
      <c r="B41" s="717"/>
    </row>
    <row r="42" spans="2:2" ht="13" customHeight="1">
      <c r="B42" s="717"/>
    </row>
  </sheetData>
  <sheetProtection algorithmName="SHA-512" hashValue="/F8G/GpHoHx1LJCw0a+telrmkv9HU4r4GOSjYOr8wccumCtotqggg3yT4Oj3id1lElysrYMlIa0zY7r519MBOA==" saltValue="X100zYrWlERZ3LTZSLRQTg==" spinCount="100000" sheet="1" formatCells="0" formatColumns="0" formatRows="0" insertColumns="0" insertRows="0" insertHyperlinks="0" deleteColumns="0" deleteRows="0" sort="0" autoFilter="0" pivotTables="0"/>
  <mergeCells count="1">
    <mergeCell ref="B36:B42"/>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166C1-23EA-E249-9DA5-23C40ED20D73}">
  <sheetPr codeName="Sheet20">
    <tabColor rgb="FFFFCA96"/>
  </sheetPr>
  <dimension ref="B1:AC25"/>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133" customWidth="1"/>
    <col min="3" max="12" width="10.83203125" style="134" customWidth="1"/>
    <col min="13" max="20" width="10.83203125" style="133"/>
    <col min="21" max="21" width="5.83203125" style="133" customWidth="1"/>
    <col min="22" max="16384" width="10.83203125" style="133"/>
  </cols>
  <sheetData>
    <row r="1" spans="2:29" ht="13" customHeight="1">
      <c r="M1" s="134"/>
      <c r="N1" s="134"/>
      <c r="O1" s="134"/>
      <c r="P1" s="134"/>
      <c r="Q1" s="134"/>
      <c r="R1" s="134"/>
      <c r="S1" s="134"/>
      <c r="T1" s="134"/>
      <c r="U1" s="134"/>
      <c r="V1" s="134"/>
      <c r="W1" s="134"/>
      <c r="X1" s="134"/>
    </row>
    <row r="2" spans="2:29" s="140" customFormat="1" ht="13" customHeight="1">
      <c r="B2" s="310" t="str">
        <f>IF('Summary | Sumário'!D$6=Names!B$3,Names!AP1,Names!AQ1)</f>
        <v>Operational KPIs</v>
      </c>
      <c r="C2" s="20" t="str">
        <f>IF('Summary | Sumário'!D$6=Names!B$3,Names!E2,Names!F2)</f>
        <v>4Q19</v>
      </c>
      <c r="D2" s="20" t="str">
        <f>IF('Summary | Sumário'!D$6=Names!B$3,Names!E3,Names!F3)</f>
        <v>4Q20</v>
      </c>
      <c r="E2" s="20" t="str">
        <f>IF('Summary | Sumário'!D$6=Names!B$3,Names!E4,Names!F4)</f>
        <v>1Q21</v>
      </c>
      <c r="F2" s="20" t="str">
        <f>IF('Summary | Sumário'!D$6=Names!B$3,Names!E5,Names!F5)</f>
        <v>2Q21</v>
      </c>
      <c r="G2" s="20" t="str">
        <f>IF('Summary | Sumário'!D$6=Names!B$3,Names!E6,Names!F6)</f>
        <v>3Q21</v>
      </c>
      <c r="H2" s="21" t="str">
        <f>IF('Summary | Sumário'!D$6=Names!B$3,Names!E7,Names!F7)</f>
        <v>4Q21</v>
      </c>
      <c r="I2" s="21" t="str">
        <f>IF('Summary | Sumário'!D$6=Names!B$3,Names!E8,Names!F8)</f>
        <v>1Q22</v>
      </c>
      <c r="J2" s="21" t="str">
        <f>IF('Summary | Sumário'!D$6=Names!B$3,Names!E9,Names!F9)</f>
        <v>2Q22</v>
      </c>
      <c r="K2" s="21" t="str">
        <f>IF('Summary | Sumário'!D$6=Names!B$3,Names!E10,Names!F10)</f>
        <v>3Q22</v>
      </c>
      <c r="L2" s="21" t="str">
        <f>IF('Summary | Sumário'!D$6=Names!B$3,Names!E11,Names!F11)</f>
        <v>4Q22</v>
      </c>
      <c r="M2" s="21" t="str">
        <f>IF('Summary | Sumário'!D$6=Names!B$3,Names!E12,Names!F12)</f>
        <v>1Q23</v>
      </c>
      <c r="N2" s="21" t="str">
        <f>IF('Summary | Sumário'!D$6=Names!B$3,Names!E13,Names!F13)</f>
        <v>2Q23</v>
      </c>
      <c r="O2" s="21" t="str">
        <f>IF('Summary | Sumário'!D$6=Names!B$3,Names!E14,Names!F14)</f>
        <v>3Q23</v>
      </c>
      <c r="P2" s="21" t="str">
        <f>IF('Summary | Sumário'!D$6=Names!B$3,Names!E15,Names!F15)</f>
        <v>4Q23</v>
      </c>
      <c r="Q2" s="21" t="str">
        <f>IF('Summary | Sumário'!D$6=Names!B$3,Names!E16,Names!F16)</f>
        <v>1Q24</v>
      </c>
      <c r="R2" s="21" t="str">
        <f>IF('Summary | Sumário'!D$6=Names!B$3,Names!E17,Names!F17)</f>
        <v>2Q24</v>
      </c>
      <c r="S2" s="21" t="str">
        <f>IF('Summary | Sumário'!D$6=Names!B$3,Names!E18,Names!F18)</f>
        <v>3Q24</v>
      </c>
      <c r="T2" s="311" t="str">
        <f>IF('Summary | Sumário'!D$6=Names!B$3,Names!E19,Names!F19)</f>
        <v>4Q24</v>
      </c>
      <c r="U2" s="398"/>
      <c r="V2" s="114" t="str">
        <f>IF('Summary | Sumário'!$D$6=Names!$B$3,Names!$I$24,Names!$J$24)</f>
        <v>QoQ Variation</v>
      </c>
      <c r="W2" s="114" t="str">
        <f>IF('Summary | Sumário'!$D$6=Names!$B$3,Names!$I$25,Names!$J$25)</f>
        <v>YoY Variation</v>
      </c>
      <c r="X2" s="136"/>
      <c r="Y2" s="138"/>
      <c r="Z2" s="139"/>
      <c r="AB2" s="141"/>
      <c r="AC2" s="142"/>
    </row>
    <row r="3" spans="2:29" ht="13" customHeight="1">
      <c r="B3" s="14"/>
      <c r="C3" s="144"/>
      <c r="D3" s="144"/>
      <c r="E3" s="145"/>
      <c r="F3" s="145"/>
      <c r="G3" s="145"/>
      <c r="H3" s="145"/>
      <c r="I3" s="145"/>
      <c r="J3" s="145"/>
      <c r="K3" s="145"/>
      <c r="L3" s="145"/>
      <c r="M3" s="145"/>
      <c r="N3" s="145"/>
      <c r="O3" s="145"/>
      <c r="P3" s="145"/>
      <c r="Q3" s="145"/>
      <c r="R3" s="145"/>
      <c r="S3" s="145"/>
      <c r="T3" s="145"/>
      <c r="U3" s="145"/>
      <c r="V3" s="145"/>
      <c r="W3" s="145"/>
      <c r="X3" s="145"/>
    </row>
    <row r="4" spans="2:29" ht="13" customHeight="1">
      <c r="B4" s="367" t="str">
        <f>IF('Summary | Sumário'!D$6=Names!B$3,Names!AP2,Names!AQ2)</f>
        <v>Operational KPIs</v>
      </c>
      <c r="C4" s="308"/>
      <c r="D4" s="308"/>
      <c r="E4" s="308"/>
      <c r="F4" s="308"/>
      <c r="G4" s="308"/>
      <c r="H4" s="308"/>
      <c r="I4" s="308"/>
      <c r="J4" s="308"/>
      <c r="K4" s="308"/>
      <c r="L4" s="308"/>
      <c r="M4" s="308"/>
      <c r="N4" s="308"/>
      <c r="O4" s="308"/>
      <c r="P4" s="308"/>
      <c r="Q4" s="308"/>
      <c r="R4" s="308"/>
      <c r="S4" s="308"/>
      <c r="T4" s="308"/>
      <c r="U4" s="308"/>
      <c r="V4" s="308"/>
      <c r="W4" s="308"/>
      <c r="X4" s="147"/>
    </row>
    <row r="5" spans="2:29" ht="13" customHeight="1">
      <c r="B5" s="355" t="str">
        <f>IF('Summary | Sumário'!D$6=Names!B$3,Names!AP3,Names!AQ3)</f>
        <v>CAC</v>
      </c>
      <c r="C5" s="374">
        <v>25.364349164674067</v>
      </c>
      <c r="D5" s="374">
        <v>26.795498202152629</v>
      </c>
      <c r="E5" s="374">
        <v>27.759999999999998</v>
      </c>
      <c r="F5" s="374">
        <v>27.22</v>
      </c>
      <c r="G5" s="374">
        <v>30.740000000000002</v>
      </c>
      <c r="H5" s="374">
        <v>28.79</v>
      </c>
      <c r="I5" s="374">
        <v>29.04</v>
      </c>
      <c r="J5" s="374">
        <v>32.090000000000003</v>
      </c>
      <c r="K5" s="374">
        <v>28.25</v>
      </c>
      <c r="L5" s="374">
        <v>30.44</v>
      </c>
      <c r="M5" s="374">
        <v>29.799999999999997</v>
      </c>
      <c r="N5" s="374">
        <v>27.06</v>
      </c>
      <c r="O5" s="374">
        <v>25.86</v>
      </c>
      <c r="P5" s="374">
        <v>24.645735842009003</v>
      </c>
      <c r="Q5" s="374">
        <v>28.91</v>
      </c>
      <c r="R5" s="374">
        <v>32.549999999999997</v>
      </c>
      <c r="S5" s="374">
        <v>34.35</v>
      </c>
      <c r="T5" s="374">
        <v>33.26</v>
      </c>
      <c r="U5" s="147"/>
      <c r="V5" s="478">
        <f>T5/S5-1</f>
        <v>-3.1732168850072906E-2</v>
      </c>
      <c r="W5" s="478">
        <f>T5/P5-1</f>
        <v>0.34952351243284285</v>
      </c>
      <c r="X5" s="147"/>
    </row>
    <row r="6" spans="2:29" ht="13" customHeight="1">
      <c r="B6" s="109" t="str">
        <f>IF('Summary | Sumário'!D$6=Names!B$3,Names!AP5,Names!AQ5)</f>
        <v>Total clients (million)</v>
      </c>
      <c r="C6" s="149">
        <v>4.0590010000000003</v>
      </c>
      <c r="D6" s="149">
        <v>8.4555279999999993</v>
      </c>
      <c r="E6" s="149">
        <v>10.18338</v>
      </c>
      <c r="F6" s="149">
        <v>11.976032999999999</v>
      </c>
      <c r="G6" s="149">
        <v>13.905602</v>
      </c>
      <c r="H6" s="149">
        <v>16.348920827116658</v>
      </c>
      <c r="I6" s="149">
        <v>18.574000000000002</v>
      </c>
      <c r="J6" s="149">
        <v>20.724375999999999</v>
      </c>
      <c r="K6" s="149">
        <v>22.766031999999999</v>
      </c>
      <c r="L6" s="149">
        <v>24.662092999999999</v>
      </c>
      <c r="M6" s="149">
        <v>26.288263000000001</v>
      </c>
      <c r="N6" s="149">
        <v>27.774601000000001</v>
      </c>
      <c r="O6" s="149">
        <v>29.374635000000001</v>
      </c>
      <c r="P6" s="149">
        <v>30.363865000000001</v>
      </c>
      <c r="Q6" s="149">
        <v>31.722895999999999</v>
      </c>
      <c r="R6" s="149">
        <v>33.270463999999997</v>
      </c>
      <c r="S6" s="149">
        <v>34.922488000000001</v>
      </c>
      <c r="T6" s="149">
        <v>36.142020000000002</v>
      </c>
      <c r="U6" s="149"/>
      <c r="V6" s="381">
        <f t="shared" ref="V6:V7" si="0">T6/S6-1</f>
        <v>3.4921108713674709E-2</v>
      </c>
      <c r="W6" s="381">
        <f t="shared" ref="W6:W7" si="1">T6/P6-1</f>
        <v>0.19029708503841669</v>
      </c>
      <c r="X6" s="149"/>
      <c r="Y6" s="150"/>
    </row>
    <row r="7" spans="2:29" ht="13" customHeight="1">
      <c r="B7" s="108" t="str">
        <f>IF('Summary | Sumário'!D$6=Names!B$3,Names!AP6,Names!AQ6)</f>
        <v>Active clients (million)</v>
      </c>
      <c r="C7" s="682">
        <v>2.2826979999999999</v>
      </c>
      <c r="D7" s="682">
        <v>5.2522799999999998</v>
      </c>
      <c r="E7" s="682">
        <v>6.1326499999999999</v>
      </c>
      <c r="F7" s="682">
        <v>7.0629739999999996</v>
      </c>
      <c r="G7" s="682">
        <v>7.9664520000000003</v>
      </c>
      <c r="H7" s="682">
        <v>8.8263289999999994</v>
      </c>
      <c r="I7" s="682">
        <v>9.6228320000000007</v>
      </c>
      <c r="J7" s="682">
        <v>10.716208999999999</v>
      </c>
      <c r="K7" s="682">
        <v>11.649274</v>
      </c>
      <c r="L7" s="682">
        <v>12.584403999999999</v>
      </c>
      <c r="M7" s="682">
        <v>13.540568</v>
      </c>
      <c r="N7" s="682">
        <v>14.494907</v>
      </c>
      <c r="O7" s="682">
        <v>15.47322</v>
      </c>
      <c r="P7" s="682">
        <v>16.405394000000001</v>
      </c>
      <c r="Q7" s="682">
        <v>17.413702000000001</v>
      </c>
      <c r="R7" s="682">
        <v>18.401989</v>
      </c>
      <c r="S7" s="682">
        <v>19.538504</v>
      </c>
      <c r="T7" s="682">
        <v>20.561736</v>
      </c>
      <c r="U7" s="151"/>
      <c r="V7" s="683">
        <f t="shared" si="0"/>
        <v>5.2370027920254358E-2</v>
      </c>
      <c r="W7" s="683">
        <f t="shared" si="1"/>
        <v>0.25335215966163305</v>
      </c>
      <c r="X7" s="151"/>
    </row>
    <row r="8" spans="2:29" ht="13" customHeight="1">
      <c r="B8" s="109" t="str">
        <f>IF('Summary | Sumário'!D$6=Names!B$3,Names!AP7,Names!AQ7)</f>
        <v>Longevity ratio (clients more than 1 year old at Inter) (%)</v>
      </c>
      <c r="C8" s="152">
        <v>0.35773211191620791</v>
      </c>
      <c r="D8" s="152">
        <v>0.48004110447035359</v>
      </c>
      <c r="E8" s="152">
        <v>0.48479129719209141</v>
      </c>
      <c r="F8" s="152">
        <v>0.49302093606455494</v>
      </c>
      <c r="G8" s="152">
        <v>0.51438636025969964</v>
      </c>
      <c r="H8" s="152">
        <v>0.51719181280610804</v>
      </c>
      <c r="I8" s="152">
        <v>0.54825993324001288</v>
      </c>
      <c r="J8" s="152">
        <v>0.57787182591167041</v>
      </c>
      <c r="K8" s="152">
        <v>0.61080481657936703</v>
      </c>
      <c r="L8" s="152">
        <v>0.66291700494019945</v>
      </c>
      <c r="M8" s="152">
        <v>0.70655105664455653</v>
      </c>
      <c r="N8" s="152">
        <v>0.74616287017048422</v>
      </c>
      <c r="O8" s="152">
        <v>0.77502348539820154</v>
      </c>
      <c r="P8" s="152">
        <v>0.81221850380378124</v>
      </c>
      <c r="Q8" s="152">
        <v>0.82868420966358181</v>
      </c>
      <c r="R8" s="152">
        <v>0.83481255326045345</v>
      </c>
      <c r="S8" s="152">
        <v>0.84113809417015195</v>
      </c>
      <c r="T8" s="152">
        <v>0.84012639581296233</v>
      </c>
      <c r="U8" s="152"/>
      <c r="V8" s="481">
        <f>(T8-S8)*100</f>
        <v>-0.10116983571896165</v>
      </c>
      <c r="W8" s="481">
        <f>(T8-P8)*100</f>
        <v>2.790789200918109</v>
      </c>
      <c r="X8" s="152"/>
    </row>
    <row r="9" spans="2:29" ht="13" customHeight="1">
      <c r="B9" s="108" t="str">
        <f>IF('Summary | Sumário'!D$6=Names!B$3,Names!AP8,Names!AQ8)</f>
        <v>Activity rate (%)</v>
      </c>
      <c r="C9" s="684">
        <v>0.56237926524285164</v>
      </c>
      <c r="D9" s="684">
        <v>0.62116523060416806</v>
      </c>
      <c r="E9" s="684">
        <v>0.60222146281490041</v>
      </c>
      <c r="F9" s="684">
        <v>0.5897590629551539</v>
      </c>
      <c r="G9" s="684">
        <v>0.57289515405374036</v>
      </c>
      <c r="H9" s="684">
        <v>0.53987227006203786</v>
      </c>
      <c r="I9" s="684">
        <v>0.51808075804888554</v>
      </c>
      <c r="J9" s="684">
        <v>0.5170823478593517</v>
      </c>
      <c r="K9" s="684">
        <v>0.51169540656008916</v>
      </c>
      <c r="L9" s="684">
        <v>0.51027315483726376</v>
      </c>
      <c r="M9" s="684">
        <v>0.51508036114824318</v>
      </c>
      <c r="N9" s="684">
        <v>0.52187633586527493</v>
      </c>
      <c r="O9" s="684">
        <v>0.52675446009797233</v>
      </c>
      <c r="P9" s="684">
        <v>0.54029333880914043</v>
      </c>
      <c r="Q9" s="684">
        <v>0.54893166122033754</v>
      </c>
      <c r="R9" s="684">
        <v>0.5531028662539843</v>
      </c>
      <c r="S9" s="684">
        <v>0.5594820162870412</v>
      </c>
      <c r="T9" s="684">
        <v>0.56891496380113782</v>
      </c>
      <c r="U9" s="153"/>
      <c r="V9" s="480">
        <f>(T9-S9)*100</f>
        <v>0.94329475140966235</v>
      </c>
      <c r="W9" s="480">
        <f>(T9-P9)*100</f>
        <v>2.8621624991997385</v>
      </c>
      <c r="X9" s="153"/>
    </row>
    <row r="10" spans="2:29" ht="13" customHeight="1">
      <c r="B10" s="109" t="str">
        <f>IF('Summary | Sumário'!D$6=Names!B$3,Names!AP9,Names!AQ9)</f>
        <v>Headcount</v>
      </c>
      <c r="C10" s="148">
        <v>1628</v>
      </c>
      <c r="D10" s="148">
        <v>2128</v>
      </c>
      <c r="E10" s="148">
        <v>2452</v>
      </c>
      <c r="F10" s="148">
        <v>2972</v>
      </c>
      <c r="G10" s="148">
        <v>3447</v>
      </c>
      <c r="H10" s="148">
        <v>3900</v>
      </c>
      <c r="I10" s="148">
        <v>3805</v>
      </c>
      <c r="J10" s="148">
        <v>4047</v>
      </c>
      <c r="K10" s="148">
        <v>4057</v>
      </c>
      <c r="L10" s="148">
        <v>4081</v>
      </c>
      <c r="M10" s="148">
        <v>3828</v>
      </c>
      <c r="N10" s="148">
        <v>3433</v>
      </c>
      <c r="O10" s="148">
        <v>3266</v>
      </c>
      <c r="P10" s="148">
        <v>3319</v>
      </c>
      <c r="Q10" s="148">
        <v>3336</v>
      </c>
      <c r="R10" s="148">
        <v>3653</v>
      </c>
      <c r="S10" s="148">
        <v>4357</v>
      </c>
      <c r="T10" s="148">
        <v>4391</v>
      </c>
      <c r="U10" s="148"/>
      <c r="V10" s="479">
        <f>T10/S10-1</f>
        <v>7.8035345421161306E-3</v>
      </c>
      <c r="W10" s="479">
        <f>T10/P10-1</f>
        <v>0.32298885206387462</v>
      </c>
      <c r="X10" s="148"/>
    </row>
    <row r="11" spans="2:29" ht="13" customHeight="1">
      <c r="B11" s="108" t="str">
        <f>IF('Summary | Sumário'!D$6=Names!B$3,Names!AP10,Names!AQ10)</f>
        <v>Active clients per employee (thousands)</v>
      </c>
      <c r="C11" s="685">
        <f>C7*1000/C10</f>
        <v>1.4021486486486485</v>
      </c>
      <c r="D11" s="685">
        <f t="shared" ref="D11:N11" si="2">D7*1000/D10</f>
        <v>2.4681766917293233</v>
      </c>
      <c r="E11" s="685">
        <f t="shared" si="2"/>
        <v>2.5010807504078301</v>
      </c>
      <c r="F11" s="685">
        <f t="shared" si="2"/>
        <v>2.3765053835800805</v>
      </c>
      <c r="G11" s="685">
        <f t="shared" si="2"/>
        <v>2.3111261966927765</v>
      </c>
      <c r="H11" s="685">
        <f t="shared" si="2"/>
        <v>2.2631612820512821</v>
      </c>
      <c r="I11" s="685">
        <f t="shared" si="2"/>
        <v>2.5289965834428383</v>
      </c>
      <c r="J11" s="685">
        <f t="shared" si="2"/>
        <v>2.6479389671361502</v>
      </c>
      <c r="K11" s="685">
        <f t="shared" si="2"/>
        <v>2.8714010352477199</v>
      </c>
      <c r="L11" s="685">
        <f t="shared" si="2"/>
        <v>3.0836569468267578</v>
      </c>
      <c r="M11" s="685">
        <f t="shared" si="2"/>
        <v>3.5372434691745038</v>
      </c>
      <c r="N11" s="685">
        <f t="shared" si="2"/>
        <v>4.2222274978153216</v>
      </c>
      <c r="O11" s="685">
        <f t="shared" ref="O11:P11" si="3">O7*1000/O10</f>
        <v>4.7376668707899565</v>
      </c>
      <c r="P11" s="685">
        <f t="shared" si="3"/>
        <v>4.942872551973486</v>
      </c>
      <c r="Q11" s="685">
        <f t="shared" ref="Q11:R11" si="4">Q7*1000/Q10</f>
        <v>5.2199346522781775</v>
      </c>
      <c r="R11" s="685">
        <f t="shared" si="4"/>
        <v>5.0375004106214076</v>
      </c>
      <c r="S11" s="685">
        <f t="shared" ref="S11:T11" si="5">S7*1000/S10</f>
        <v>4.4843938489786552</v>
      </c>
      <c r="T11" s="685">
        <f t="shared" si="5"/>
        <v>4.6827000683215667</v>
      </c>
      <c r="U11" s="154"/>
      <c r="V11" s="684">
        <f>T11/S11-1</f>
        <v>4.4221410077100343E-2</v>
      </c>
      <c r="W11" s="684">
        <f>T11/P11-1</f>
        <v>-5.2635887516064517E-2</v>
      </c>
      <c r="X11" s="154"/>
    </row>
    <row r="12" spans="2:29" ht="13" customHeight="1">
      <c r="B12" s="155"/>
    </row>
    <row r="13" spans="2:29" ht="13" customHeight="1">
      <c r="B13" s="155"/>
    </row>
    <row r="14" spans="2:29" ht="13" customHeight="1">
      <c r="B14" s="155"/>
    </row>
    <row r="15" spans="2:29" ht="13" customHeight="1">
      <c r="T15" s="705"/>
    </row>
    <row r="16" spans="2:29" ht="13" customHeight="1">
      <c r="B16" s="156"/>
    </row>
    <row r="17" spans="2:10" ht="13" customHeight="1">
      <c r="B17" s="157"/>
    </row>
    <row r="19" spans="2:10" ht="13" customHeight="1">
      <c r="B19" s="717"/>
    </row>
    <row r="20" spans="2:10" ht="13" customHeight="1">
      <c r="B20" s="717"/>
    </row>
    <row r="21" spans="2:10" ht="13" customHeight="1">
      <c r="B21" s="717"/>
    </row>
    <row r="22" spans="2:10" ht="13" customHeight="1">
      <c r="B22" s="717"/>
      <c r="D22" s="159"/>
    </row>
    <row r="23" spans="2:10" ht="13" customHeight="1">
      <c r="B23" s="717"/>
      <c r="J23" s="158"/>
    </row>
    <row r="24" spans="2:10" ht="13" customHeight="1">
      <c r="B24" s="717"/>
    </row>
    <row r="25" spans="2:10" ht="13" customHeight="1">
      <c r="B25" s="717"/>
    </row>
  </sheetData>
  <sheetProtection algorithmName="SHA-512" hashValue="++K7ypq4Wu4Z32OMq6r5L6xGMVu/1S2C8nxmMj+c3z8vpxqkis7ogVgEV8ysTyjx2dz7Hxlf7QH/ckZtYR0KlQ==" saltValue="HOl3Fok5vD/QJjaS3qPIQw==" spinCount="100000" sheet="1" formatCells="0" formatColumns="0" formatRows="0" insertColumns="0" insertRows="0" insertHyperlinks="0" deleteColumns="0" deleteRows="0" sort="0" autoFilter="0" pivotTables="0"/>
  <mergeCells count="1">
    <mergeCell ref="B19:B25"/>
  </mergeCells>
  <phoneticPr fontId="6" type="noConversion"/>
  <pageMargins left="0.511811024" right="0.511811024" top="0.78740157499999996" bottom="0.78740157499999996" header="0.31496062000000002" footer="0.31496062000000002"/>
  <pageSetup paperSize="9"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7B48-AEE5-3145-B617-B2690219AFDE}">
  <sheetPr>
    <tabColor rgb="FFE1E2E1"/>
  </sheetPr>
  <dimension ref="B1:AB33"/>
  <sheetViews>
    <sheetView showGridLines="0" zoomScaleNormal="100" workbookViewId="0">
      <pane xSplit="2" ySplit="3" topLeftCell="C4" activePane="bottomRight" state="frozen"/>
      <selection pane="topRight"/>
      <selection pane="bottomLeft"/>
      <selection pane="bottomRight"/>
    </sheetView>
  </sheetViews>
  <sheetFormatPr baseColWidth="10" defaultColWidth="10.83203125" defaultRowHeight="13" customHeight="1"/>
  <cols>
    <col min="1" max="1" width="3.33203125" style="133" customWidth="1"/>
    <col min="2" max="2" width="68.33203125" style="133" customWidth="1"/>
    <col min="3" max="18" width="10.83203125" style="133"/>
    <col min="19" max="19" width="5.83203125" style="133" customWidth="1"/>
    <col min="20" max="21" width="10.83203125" style="133"/>
    <col min="22" max="22" width="5.83203125" style="133" customWidth="1"/>
    <col min="23" max="23" width="129.6640625" style="133" bestFit="1" customWidth="1"/>
    <col min="24" max="16384" width="10.83203125" style="133"/>
  </cols>
  <sheetData>
    <row r="1" spans="2:28" ht="13" customHeight="1">
      <c r="C1" s="134"/>
      <c r="D1" s="134"/>
      <c r="E1" s="134"/>
      <c r="F1" s="134"/>
      <c r="G1" s="134"/>
      <c r="H1" s="134"/>
      <c r="I1" s="134"/>
      <c r="J1" s="134"/>
      <c r="K1" s="134"/>
      <c r="L1" s="134"/>
      <c r="M1" s="134"/>
      <c r="N1" s="134"/>
      <c r="O1" s="134"/>
      <c r="P1" s="134"/>
      <c r="Q1" s="134"/>
      <c r="R1" s="134"/>
      <c r="S1" s="134"/>
      <c r="T1" s="134"/>
      <c r="U1" s="134"/>
      <c r="V1" s="134"/>
      <c r="W1" s="134"/>
    </row>
    <row r="2" spans="2:28" s="140" customFormat="1" ht="13" customHeight="1">
      <c r="B2" s="310" t="str">
        <f>IF('Summary | Sumário'!D$6=Names!B$3,Names!BR1,Names!BS1)</f>
        <v>Market Data - Brazil (Millions)</v>
      </c>
      <c r="C2" s="21" t="str">
        <f>IF('Summary | Sumário'!D$6=Names!B$3,Names!E4,Names!F4)</f>
        <v>1Q21</v>
      </c>
      <c r="D2" s="21" t="str">
        <f>IF('Summary | Sumário'!D$6=Names!B$3,Names!E5,Names!F5)</f>
        <v>2Q21</v>
      </c>
      <c r="E2" s="21" t="str">
        <f>IF('Summary | Sumário'!D$6=Names!B$3,Names!E6,Names!F6)</f>
        <v>3Q21</v>
      </c>
      <c r="F2" s="21" t="str">
        <f>IF('Summary | Sumário'!D$6=Names!B$3,Names!E7,Names!F7)</f>
        <v>4Q21</v>
      </c>
      <c r="G2" s="21" t="str">
        <f>IF('Summary | Sumário'!D$6=Names!B$3,Names!E8,Names!F8)</f>
        <v>1Q22</v>
      </c>
      <c r="H2" s="21" t="str">
        <f>IF('Summary | Sumário'!D$6=Names!B$3,Names!E9,Names!F9)</f>
        <v>2Q22</v>
      </c>
      <c r="I2" s="21" t="str">
        <f>IF('Summary | Sumário'!D$6=Names!B$3,Names!E10,Names!F10)</f>
        <v>3Q22</v>
      </c>
      <c r="J2" s="21" t="str">
        <f>IF('Summary | Sumário'!D$6=Names!B$3,Names!E11,Names!F11)</f>
        <v>4Q22</v>
      </c>
      <c r="K2" s="21" t="str">
        <f>IF('Summary | Sumário'!D$6=Names!B$3,Names!E12,Names!F12)</f>
        <v>1Q23</v>
      </c>
      <c r="L2" s="21" t="str">
        <f>IF('Summary | Sumário'!D$6=Names!B$3,Names!E13,Names!F13)</f>
        <v>2Q23</v>
      </c>
      <c r="M2" s="21" t="str">
        <f>IF('Summary | Sumário'!D$6=Names!B$3,Names!E14,Names!F14)</f>
        <v>3Q23</v>
      </c>
      <c r="N2" s="21" t="str">
        <f>IF('Summary | Sumário'!D$6=Names!B$3,Names!E15,Names!F15)</f>
        <v>4Q23</v>
      </c>
      <c r="O2" s="21" t="str">
        <f>IF('Summary | Sumário'!D$6=Names!B$3,Names!E16,Names!F16)</f>
        <v>1Q24</v>
      </c>
      <c r="P2" s="21" t="str">
        <f>IF('Summary | Sumário'!D$6=Names!B$3,Names!E17,Names!F17)</f>
        <v>2Q24</v>
      </c>
      <c r="Q2" s="21" t="str">
        <f>IF('Summary | Sumário'!D$6=Names!B$3,Names!E18,Names!F18)</f>
        <v>3Q24</v>
      </c>
      <c r="R2" s="311" t="str">
        <f>IF('Summary | Sumário'!D$6=Names!B$3,Names!E19,Names!F19)</f>
        <v>4Q24</v>
      </c>
      <c r="S2" s="398"/>
      <c r="T2" s="114" t="str">
        <f>IF('Summary | Sumário'!$D$6=Names!$B$3,Names!$I$24,Names!$J$24)</f>
        <v>QoQ Variation</v>
      </c>
      <c r="U2" s="114" t="str">
        <f>IF('Summary | Sumário'!$D$6=Names!$B$3,Names!$I$25,Names!$J$25)</f>
        <v>YoY Variation</v>
      </c>
      <c r="V2" s="114"/>
      <c r="W2" s="136"/>
      <c r="X2" s="138"/>
      <c r="Y2" s="139"/>
      <c r="AA2" s="141"/>
      <c r="AB2" s="142"/>
    </row>
    <row r="3" spans="2:28" ht="13" customHeight="1">
      <c r="B3" s="14"/>
      <c r="C3" s="145"/>
      <c r="D3" s="145"/>
      <c r="E3" s="145"/>
      <c r="F3" s="145"/>
      <c r="G3" s="145"/>
      <c r="H3" s="145"/>
      <c r="I3" s="145"/>
      <c r="J3" s="145"/>
      <c r="K3" s="145"/>
      <c r="L3" s="145"/>
      <c r="M3" s="145"/>
      <c r="N3" s="145"/>
      <c r="O3" s="145"/>
      <c r="P3" s="145"/>
      <c r="Q3" s="145"/>
      <c r="R3" s="145"/>
      <c r="S3" s="145"/>
      <c r="T3" s="145"/>
      <c r="U3" s="145"/>
      <c r="V3" s="145"/>
      <c r="W3" s="145"/>
    </row>
    <row r="4" spans="2:28" ht="13" customHeight="1">
      <c r="B4" s="367" t="str">
        <f>IF('Summary | Sumário'!D$6=Names!B$3,Names!BR4,Names!BS4)</f>
        <v>Banking Accounts - Brazil</v>
      </c>
      <c r="C4" s="308"/>
      <c r="D4" s="308"/>
      <c r="E4" s="308"/>
      <c r="F4" s="308"/>
      <c r="G4" s="308"/>
      <c r="H4" s="308"/>
      <c r="I4" s="308"/>
      <c r="J4" s="308"/>
      <c r="K4" s="308"/>
      <c r="L4" s="308"/>
      <c r="M4" s="308"/>
      <c r="N4" s="308"/>
      <c r="O4" s="308"/>
      <c r="P4" s="308"/>
      <c r="Q4" s="308"/>
      <c r="R4" s="308"/>
      <c r="S4" s="308"/>
      <c r="T4" s="308"/>
      <c r="U4" s="308"/>
      <c r="V4" s="308"/>
      <c r="W4" s="492" t="str">
        <f>IF('Summary | Sumário'!D$6=Names!B$3,Names!BR2,Names!BS2)</f>
        <v>Source</v>
      </c>
    </row>
    <row r="5" spans="2:28" ht="13" customHeight="1">
      <c r="B5" s="495" t="str">
        <f>IF('Summary | Sumário'!D$6=Names!B$3,Names!BR5,Names!BS5)</f>
        <v>Individuals with Banking Accounts</v>
      </c>
      <c r="C5" s="496">
        <v>180.230211</v>
      </c>
      <c r="D5" s="496">
        <v>181.31761900000001</v>
      </c>
      <c r="E5" s="496">
        <v>182.49014099999999</v>
      </c>
      <c r="F5" s="496">
        <v>182.21805499999999</v>
      </c>
      <c r="G5" s="496">
        <v>183.36628300000001</v>
      </c>
      <c r="H5" s="496">
        <v>184.76697899999999</v>
      </c>
      <c r="I5" s="496">
        <v>186.43217199999998</v>
      </c>
      <c r="J5" s="496">
        <v>188.33574200000001</v>
      </c>
      <c r="K5" s="496">
        <v>190.285642</v>
      </c>
      <c r="L5" s="496">
        <v>191.557106</v>
      </c>
      <c r="M5" s="496">
        <v>192.98458300000001</v>
      </c>
      <c r="N5" s="496">
        <v>194.119812</v>
      </c>
      <c r="O5" s="496">
        <v>196.06822599999998</v>
      </c>
      <c r="P5" s="496">
        <v>197.62343799999999</v>
      </c>
      <c r="Q5" s="496">
        <v>198.954015</v>
      </c>
      <c r="R5" s="496">
        <v>199.78123600000001</v>
      </c>
      <c r="S5" s="147"/>
      <c r="T5" s="510">
        <f>R5/Q5-1</f>
        <v>4.1578502449424182E-3</v>
      </c>
      <c r="U5" s="510">
        <f>R5/N5-1</f>
        <v>2.9164586250475022E-2</v>
      </c>
      <c r="V5" s="147"/>
      <c r="W5" s="516" t="str">
        <f>Names!BT5</f>
        <v>Estatísticas do CCS - Banco Central do Brasil</v>
      </c>
      <c r="X5" s="517"/>
    </row>
    <row r="6" spans="2:28" ht="13" customHeight="1">
      <c r="B6" s="109" t="str">
        <f>IF('Summary | Sumário'!D$6=Names!B$3,Names!BR6,Names!BS6)</f>
        <v>Business with Banking Accounts</v>
      </c>
      <c r="C6" s="147">
        <v>13.669084999999999</v>
      </c>
      <c r="D6" s="147">
        <v>14.088994000000001</v>
      </c>
      <c r="E6" s="147">
        <v>14.457945</v>
      </c>
      <c r="F6" s="147">
        <v>14.997128</v>
      </c>
      <c r="G6" s="147">
        <v>15.612392</v>
      </c>
      <c r="H6" s="147">
        <v>16.169655000000002</v>
      </c>
      <c r="I6" s="147">
        <v>16.966272</v>
      </c>
      <c r="J6" s="147">
        <v>17.540289000000001</v>
      </c>
      <c r="K6" s="147">
        <v>18.049762999999999</v>
      </c>
      <c r="L6" s="147">
        <v>18.617251</v>
      </c>
      <c r="M6" s="147">
        <v>19.128495999999998</v>
      </c>
      <c r="N6" s="147">
        <v>19.621282000000001</v>
      </c>
      <c r="O6" s="147">
        <v>20.171491999999997</v>
      </c>
      <c r="P6" s="147">
        <v>20.718002000000002</v>
      </c>
      <c r="Q6" s="147">
        <v>21.388135999999999</v>
      </c>
      <c r="R6" s="147">
        <v>21.019017000000002</v>
      </c>
      <c r="S6" s="148"/>
      <c r="T6" s="479">
        <f>R6/Q6-1</f>
        <v>-1.7258119174106468E-2</v>
      </c>
      <c r="U6" s="479">
        <f>R6/N6-1</f>
        <v>7.1235661359945857E-2</v>
      </c>
      <c r="V6" s="148"/>
      <c r="W6" s="518" t="str">
        <f>Names!BT6</f>
        <v>Estatísticas do CCS - Banco Central do Brasil</v>
      </c>
      <c r="X6" s="517"/>
    </row>
    <row r="7" spans="2:28" ht="13" customHeight="1">
      <c r="B7" s="497"/>
      <c r="C7" s="498"/>
      <c r="D7" s="498"/>
      <c r="E7" s="498"/>
      <c r="F7" s="498"/>
      <c r="G7" s="498"/>
      <c r="H7" s="498"/>
      <c r="I7" s="498"/>
      <c r="J7" s="498"/>
      <c r="K7" s="498"/>
      <c r="L7" s="498"/>
      <c r="M7" s="498"/>
      <c r="N7" s="498"/>
      <c r="O7" s="498"/>
      <c r="P7" s="498"/>
      <c r="Q7" s="498"/>
      <c r="R7" s="498"/>
      <c r="S7" s="149"/>
      <c r="T7" s="498"/>
      <c r="U7" s="498"/>
      <c r="V7" s="149"/>
      <c r="W7" s="499"/>
      <c r="X7" s="150"/>
    </row>
    <row r="8" spans="2:28" ht="13" customHeight="1">
      <c r="B8" s="367" t="str">
        <f>IF('Summary | Sumário'!D$6=Names!B$3,Names!BR9,Names!BS9)</f>
        <v>TPV</v>
      </c>
      <c r="C8" s="151"/>
      <c r="D8" s="151"/>
      <c r="E8" s="151"/>
      <c r="F8" s="151"/>
      <c r="G8" s="151"/>
      <c r="H8" s="151"/>
      <c r="I8" s="151"/>
      <c r="J8" s="151"/>
      <c r="K8" s="151"/>
      <c r="L8" s="151"/>
      <c r="M8" s="151"/>
      <c r="N8" s="151"/>
      <c r="O8" s="151"/>
      <c r="P8" s="151"/>
      <c r="Q8" s="151"/>
      <c r="R8" s="151"/>
      <c r="S8" s="151"/>
      <c r="T8" s="151"/>
      <c r="U8" s="151"/>
      <c r="V8" s="151"/>
      <c r="W8" s="493"/>
    </row>
    <row r="9" spans="2:28" ht="13" customHeight="1">
      <c r="B9" s="495" t="str">
        <f>IF('Summary | Sumário'!D$6=Names!B$3,Names!BR10,Names!BS10)</f>
        <v>PIX</v>
      </c>
      <c r="C9" s="496"/>
      <c r="D9" s="496"/>
      <c r="E9" s="496"/>
      <c r="F9" s="496"/>
      <c r="G9" s="496"/>
      <c r="H9" s="496"/>
      <c r="I9" s="496"/>
      <c r="J9" s="496"/>
      <c r="K9" s="496"/>
      <c r="L9" s="496"/>
      <c r="M9" s="496"/>
      <c r="N9" s="496"/>
      <c r="O9" s="496"/>
      <c r="P9" s="496"/>
      <c r="Q9" s="496"/>
      <c r="R9" s="496"/>
      <c r="S9" s="147"/>
      <c r="T9" s="496"/>
      <c r="U9" s="496"/>
      <c r="V9" s="147"/>
      <c r="W9" s="516" t="str">
        <f>Names!BT11</f>
        <v>Sistema de Pagamentos Brasileiro (SPB) - Estatísticas do Pix - Banco Central do Brasil</v>
      </c>
      <c r="X9" s="517"/>
    </row>
    <row r="10" spans="2:28" ht="13" customHeight="1">
      <c r="B10" s="490" t="str">
        <f>IF('Summary | Sumário'!D$6=Names!B$3,Names!BR11,Names!BS11)</f>
        <v>PIX Transactions</v>
      </c>
      <c r="C10" s="514">
        <v>727.64367799999991</v>
      </c>
      <c r="D10" s="514">
        <v>1579.9677749999998</v>
      </c>
      <c r="E10" s="514">
        <v>2432.0838009999998</v>
      </c>
      <c r="F10" s="514">
        <v>3239.403785</v>
      </c>
      <c r="G10" s="514">
        <v>3618.2862179999997</v>
      </c>
      <c r="H10" s="514">
        <v>4628.8793930000002</v>
      </c>
      <c r="I10" s="514">
        <v>5530.5009110000001</v>
      </c>
      <c r="J10" s="514">
        <v>6575.9385599999996</v>
      </c>
      <c r="K10" s="514">
        <v>6882.7202810000008</v>
      </c>
      <c r="L10" s="514">
        <v>8136.4115810000003</v>
      </c>
      <c r="M10" s="514">
        <v>9706.8342559999983</v>
      </c>
      <c r="N10" s="514">
        <v>11473.387352</v>
      </c>
      <c r="O10" s="514">
        <v>12020.651478</v>
      </c>
      <c r="P10" s="514">
        <v>13623.234329999999</v>
      </c>
      <c r="Q10" s="514">
        <f>4894.942+5009.384+4786.638</f>
        <v>14690.964</v>
      </c>
      <c r="R10" s="514">
        <v>15978.019648910411</v>
      </c>
      <c r="S10" s="153"/>
      <c r="T10" s="153">
        <f>R10/Q10-1</f>
        <v>8.7608658554361174E-2</v>
      </c>
      <c r="U10" s="153">
        <f>R10/N10-1</f>
        <v>0.39261572530497535</v>
      </c>
      <c r="V10" s="153"/>
      <c r="W10" s="519"/>
      <c r="X10" s="517"/>
    </row>
    <row r="11" spans="2:28" ht="13" customHeight="1">
      <c r="B11" s="500" t="str">
        <f>IF('Summary | Sumário'!D$6=Names!B$3,Names!BR12,Names!BS12)</f>
        <v>PIX TPV (R$)</v>
      </c>
      <c r="C11" s="501">
        <v>545865.52816126042</v>
      </c>
      <c r="D11" s="501">
        <v>962345.47765108012</v>
      </c>
      <c r="E11" s="501">
        <v>1351068.3827956303</v>
      </c>
      <c r="F11" s="501">
        <v>1662837.6549495156</v>
      </c>
      <c r="G11" s="501">
        <v>1806516.4732325375</v>
      </c>
      <c r="H11" s="501">
        <v>2223822.2405896918</v>
      </c>
      <c r="I11" s="501">
        <v>2578950.3366389298</v>
      </c>
      <c r="J11" s="501">
        <v>2865663.1767627192</v>
      </c>
      <c r="K11" s="501">
        <v>2959895.7995207496</v>
      </c>
      <c r="L11" s="501">
        <v>3333287.8986781244</v>
      </c>
      <c r="M11" s="501">
        <v>3771040.8591022328</v>
      </c>
      <c r="N11" s="501">
        <v>4402723.7532800706</v>
      </c>
      <c r="O11" s="501">
        <v>4498296.7634392958</v>
      </c>
      <c r="P11" s="501">
        <v>5283406.6412520343</v>
      </c>
      <c r="Q11" s="501">
        <f>1937484+1948182+1954750</f>
        <v>5840416</v>
      </c>
      <c r="R11" s="501">
        <v>6497776.833976835</v>
      </c>
      <c r="S11" s="148"/>
      <c r="T11" s="511">
        <f>R11/Q11-1</f>
        <v>0.11255376911111048</v>
      </c>
      <c r="U11" s="511">
        <f>R11/N11-1</f>
        <v>0.47585385731637841</v>
      </c>
      <c r="V11" s="148"/>
      <c r="W11" s="520"/>
      <c r="X11" s="517"/>
    </row>
    <row r="12" spans="2:28" ht="13" customHeight="1">
      <c r="B12" s="109"/>
      <c r="C12" s="154"/>
      <c r="D12" s="154"/>
      <c r="E12" s="154"/>
      <c r="F12" s="154"/>
      <c r="G12" s="154"/>
      <c r="H12" s="154"/>
      <c r="I12" s="154"/>
      <c r="J12" s="154"/>
      <c r="K12" s="154"/>
      <c r="L12" s="154"/>
      <c r="M12" s="154"/>
      <c r="N12" s="154"/>
      <c r="O12" s="154"/>
      <c r="P12" s="154"/>
      <c r="Q12" s="154"/>
      <c r="R12" s="154"/>
      <c r="S12" s="154"/>
      <c r="T12" s="154"/>
      <c r="U12" s="154"/>
      <c r="V12" s="154"/>
      <c r="W12" s="519"/>
      <c r="X12" s="517"/>
    </row>
    <row r="13" spans="2:28" ht="13" customHeight="1">
      <c r="B13" s="502" t="str">
        <f>IF('Summary | Sumário'!D$6=Names!B$3,Names!BR14,Names!BS14)</f>
        <v>Cards</v>
      </c>
      <c r="C13" s="218">
        <f>SUM(C14:C15)</f>
        <v>551594.81716864998</v>
      </c>
      <c r="D13" s="218">
        <f t="shared" ref="D13:Q13" si="0">SUM(D14:D15)</f>
        <v>612846.06840559002</v>
      </c>
      <c r="E13" s="218">
        <f t="shared" si="0"/>
        <v>692371.84696538001</v>
      </c>
      <c r="F13" s="218">
        <f t="shared" si="0"/>
        <v>804700.99335999996</v>
      </c>
      <c r="G13" s="218">
        <f t="shared" si="0"/>
        <v>759580.80351282004</v>
      </c>
      <c r="H13" s="218">
        <f t="shared" si="0"/>
        <v>838978.6327822</v>
      </c>
      <c r="I13" s="218">
        <f t="shared" si="0"/>
        <v>859690.55681608</v>
      </c>
      <c r="J13" s="218">
        <f t="shared" si="0"/>
        <v>935571.04112141998</v>
      </c>
      <c r="K13" s="218">
        <f t="shared" si="0"/>
        <v>866587.21779132006</v>
      </c>
      <c r="L13" s="218">
        <f t="shared" si="0"/>
        <v>901443.90171081002</v>
      </c>
      <c r="M13" s="218">
        <f t="shared" si="0"/>
        <v>939364.28888279013</v>
      </c>
      <c r="N13" s="218">
        <f t="shared" si="0"/>
        <v>1027659.1749756201</v>
      </c>
      <c r="O13" s="218">
        <f t="shared" si="0"/>
        <v>964955.67656156002</v>
      </c>
      <c r="P13" s="218">
        <f t="shared" si="0"/>
        <v>1000665.4318358499</v>
      </c>
      <c r="Q13" s="218">
        <f t="shared" si="0"/>
        <v>1035570</v>
      </c>
      <c r="R13" s="563" t="s">
        <v>895</v>
      </c>
      <c r="T13" s="213" t="str">
        <f>IFERROR(R13/Q13-1,"n.a.")</f>
        <v>n.a.</v>
      </c>
      <c r="U13" s="213" t="str">
        <f>IFERROR(R13/N13-1,"n.a.")</f>
        <v>n.a.</v>
      </c>
      <c r="W13" s="521" t="str">
        <f>Names!BT15</f>
        <v>Associação Brasileira das Empresas de Cartões de Crédito e Serviços - Sistema de Informações – Monitor Abecs</v>
      </c>
      <c r="X13" s="517"/>
    </row>
    <row r="14" spans="2:28" ht="13" customHeight="1">
      <c r="B14" s="155" t="str">
        <f>IF('Summary | Sumário'!D$6=Names!B$3,Names!BR15,Names!BS15)</f>
        <v>Credit Cards TPV (R$)</v>
      </c>
      <c r="C14" s="514">
        <v>328732.62769512</v>
      </c>
      <c r="D14" s="514">
        <v>371188.10881687998</v>
      </c>
      <c r="E14" s="514">
        <v>422362.66261727002</v>
      </c>
      <c r="F14" s="514">
        <v>497588.82791405002</v>
      </c>
      <c r="G14" s="514">
        <v>479099.28373640002</v>
      </c>
      <c r="H14" s="514">
        <v>531307.87166443001</v>
      </c>
      <c r="I14" s="514">
        <v>548190.46782451996</v>
      </c>
      <c r="J14" s="514">
        <v>589132.52756351</v>
      </c>
      <c r="K14" s="514">
        <v>555194.36013382999</v>
      </c>
      <c r="L14" s="514">
        <v>580490.58106495999</v>
      </c>
      <c r="M14" s="514">
        <v>608077.80291872006</v>
      </c>
      <c r="N14" s="514">
        <v>664644.18698012002</v>
      </c>
      <c r="O14" s="514">
        <v>635249.28854787</v>
      </c>
      <c r="P14" s="514">
        <v>662709.53340422991</v>
      </c>
      <c r="Q14" s="514">
        <v>693160</v>
      </c>
      <c r="R14" s="514" t="s">
        <v>895</v>
      </c>
      <c r="T14" s="381" t="str">
        <f t="shared" ref="T14:T15" si="1">IFERROR(R14/Q14-1,"n.a.")</f>
        <v>n.a.</v>
      </c>
      <c r="U14" s="381" t="str">
        <f t="shared" ref="U14:U15" si="2">IFERROR(R14/N14-1,"n.a.")</f>
        <v>n.a.</v>
      </c>
      <c r="W14" s="494"/>
    </row>
    <row r="15" spans="2:28" ht="13" customHeight="1">
      <c r="B15" s="505" t="str">
        <f>IF('Summary | Sumário'!D$6=Names!B$3,Names!BR16,Names!BS16)</f>
        <v>Debt Card TPV (R$)</v>
      </c>
      <c r="C15" s="501">
        <v>222862.18947352996</v>
      </c>
      <c r="D15" s="501">
        <v>241657.95958871001</v>
      </c>
      <c r="E15" s="501">
        <v>270009.18434810999</v>
      </c>
      <c r="F15" s="501">
        <v>307112.16544595</v>
      </c>
      <c r="G15" s="501">
        <v>280481.51977642003</v>
      </c>
      <c r="H15" s="501">
        <v>307670.76111776999</v>
      </c>
      <c r="I15" s="501">
        <v>311500.08899156004</v>
      </c>
      <c r="J15" s="501">
        <v>346438.51355790999</v>
      </c>
      <c r="K15" s="501">
        <v>311392.85765749001</v>
      </c>
      <c r="L15" s="501">
        <v>320953.32064585004</v>
      </c>
      <c r="M15" s="501">
        <v>331286.48596407002</v>
      </c>
      <c r="N15" s="501">
        <v>363014.98799550004</v>
      </c>
      <c r="O15" s="501">
        <v>329706.38801369001</v>
      </c>
      <c r="P15" s="501">
        <v>337955.89843161998</v>
      </c>
      <c r="Q15" s="501">
        <v>342410</v>
      </c>
      <c r="R15" s="501" t="s">
        <v>895</v>
      </c>
      <c r="T15" s="513" t="str">
        <f t="shared" si="1"/>
        <v>n.a.</v>
      </c>
      <c r="U15" s="513" t="str">
        <f t="shared" si="2"/>
        <v>n.a.</v>
      </c>
      <c r="W15" s="506"/>
    </row>
    <row r="16" spans="2:28" ht="13" customHeight="1">
      <c r="Q16" s="134"/>
      <c r="T16" s="134"/>
      <c r="U16" s="134"/>
      <c r="W16" s="189"/>
    </row>
    <row r="17" spans="2:24" ht="13" customHeight="1">
      <c r="B17" s="507" t="str">
        <f>IF('Summary | Sumário'!D$6=Names!B$3,Names!BR18,Names!BS18)</f>
        <v>Loan Portfolio (R$)</v>
      </c>
      <c r="C17" s="503"/>
      <c r="D17" s="503"/>
      <c r="E17" s="503"/>
      <c r="F17" s="503"/>
      <c r="G17" s="503"/>
      <c r="H17" s="503"/>
      <c r="I17" s="503"/>
      <c r="J17" s="503"/>
      <c r="K17" s="503"/>
      <c r="L17" s="503"/>
      <c r="M17" s="503"/>
      <c r="N17" s="503"/>
      <c r="O17" s="503"/>
      <c r="P17" s="503"/>
      <c r="Q17" s="213"/>
      <c r="R17" s="503"/>
      <c r="T17" s="213"/>
      <c r="U17" s="213"/>
      <c r="W17" s="504"/>
    </row>
    <row r="18" spans="2:24" ht="13" customHeight="1">
      <c r="B18" s="489" t="str">
        <f>IF('Summary | Sumário'!D$6=Names!B$3,Names!BR20,Names!BS20)</f>
        <v>Total Loan Portfolio</v>
      </c>
      <c r="C18" s="515">
        <v>4106449</v>
      </c>
      <c r="D18" s="515">
        <v>4212400</v>
      </c>
      <c r="E18" s="515">
        <v>4439121</v>
      </c>
      <c r="F18" s="515">
        <v>4679575</v>
      </c>
      <c r="G18" s="515">
        <v>4790359</v>
      </c>
      <c r="H18" s="515">
        <v>4961785</v>
      </c>
      <c r="I18" s="515">
        <v>5160236</v>
      </c>
      <c r="J18" s="515">
        <v>5358049</v>
      </c>
      <c r="K18" s="515">
        <v>5420800</v>
      </c>
      <c r="L18" s="515">
        <v>5476367</v>
      </c>
      <c r="M18" s="515">
        <v>5620583</v>
      </c>
      <c r="N18" s="515">
        <v>5794094</v>
      </c>
      <c r="O18" s="515">
        <v>5899861</v>
      </c>
      <c r="P18" s="515">
        <v>6041062</v>
      </c>
      <c r="Q18" s="515">
        <v>6179717</v>
      </c>
      <c r="R18" s="515">
        <v>6427357</v>
      </c>
      <c r="S18" s="147"/>
      <c r="T18" s="512">
        <f>R18/Q18-1</f>
        <v>4.0073032470580694E-2</v>
      </c>
      <c r="U18" s="512">
        <f>R18/N18-1</f>
        <v>0.10929456788239889</v>
      </c>
      <c r="V18" s="147"/>
      <c r="W18" s="686" t="str">
        <f>Names!BT20</f>
        <v>Banco Central do Brasil - SGS (20539)</v>
      </c>
      <c r="X18" s="517"/>
    </row>
    <row r="19" spans="2:24" ht="13" customHeight="1">
      <c r="B19" s="508" t="str">
        <f>IF('Summary | Sumário'!D$6=Names!B$3,Names!BR22,Names!BS22)</f>
        <v>Credit Cards</v>
      </c>
      <c r="C19" s="501">
        <v>278610</v>
      </c>
      <c r="D19" s="501">
        <v>317579</v>
      </c>
      <c r="E19" s="501">
        <v>351862</v>
      </c>
      <c r="F19" s="501">
        <v>414773</v>
      </c>
      <c r="G19" s="501">
        <v>413819</v>
      </c>
      <c r="H19" s="501">
        <v>469222</v>
      </c>
      <c r="I19" s="501">
        <v>493089</v>
      </c>
      <c r="J19" s="501">
        <v>527816</v>
      </c>
      <c r="K19" s="501">
        <v>535027</v>
      </c>
      <c r="L19" s="501">
        <v>540525</v>
      </c>
      <c r="M19" s="501">
        <v>547583</v>
      </c>
      <c r="N19" s="501">
        <v>580074</v>
      </c>
      <c r="O19" s="501">
        <v>579665</v>
      </c>
      <c r="P19" s="501">
        <v>589524</v>
      </c>
      <c r="Q19" s="501">
        <v>595392</v>
      </c>
      <c r="R19" s="501">
        <f>612519+38007</f>
        <v>650526</v>
      </c>
      <c r="T19" s="513">
        <f t="shared" ref="T19:T23" si="3">R19/Q19-1</f>
        <v>9.2601177039664639E-2</v>
      </c>
      <c r="U19" s="513">
        <f t="shared" ref="U19:U23" si="4">R19/N19-1</f>
        <v>0.12145346972972404</v>
      </c>
      <c r="W19" s="522" t="str">
        <f>Names!BT22</f>
        <v>Banco Central do Brasil - SGS - Individual and Business / Pessoa Física  e Pessoa Jurídica (20564, 20590)</v>
      </c>
      <c r="X19" s="517"/>
    </row>
    <row r="20" spans="2:24" ht="13" customHeight="1">
      <c r="B20" s="491" t="str">
        <f>IF('Summary | Sumário'!D$6=Names!B$3,Names!BR23,Names!BS23)</f>
        <v>Personal</v>
      </c>
      <c r="C20" s="514">
        <v>612728</v>
      </c>
      <c r="D20" s="514">
        <v>650567</v>
      </c>
      <c r="E20" s="514">
        <v>691718</v>
      </c>
      <c r="F20" s="514">
        <v>724296</v>
      </c>
      <c r="G20" s="514">
        <v>748808</v>
      </c>
      <c r="H20" s="514">
        <v>786241</v>
      </c>
      <c r="I20" s="514">
        <v>80972</v>
      </c>
      <c r="J20" s="514">
        <v>837832</v>
      </c>
      <c r="K20" s="514">
        <v>859173</v>
      </c>
      <c r="L20" s="514">
        <v>866769</v>
      </c>
      <c r="M20" s="514">
        <v>880768</v>
      </c>
      <c r="N20" s="514">
        <v>891312</v>
      </c>
      <c r="O20" s="514">
        <v>932847</v>
      </c>
      <c r="P20" s="514">
        <v>956011</v>
      </c>
      <c r="Q20" s="514">
        <v>981420</v>
      </c>
      <c r="R20" s="514">
        <v>998567</v>
      </c>
      <c r="T20" s="381">
        <f t="shared" si="3"/>
        <v>1.7471622750708127E-2</v>
      </c>
      <c r="U20" s="381">
        <f t="shared" si="4"/>
        <v>0.12033384493869703</v>
      </c>
      <c r="W20" s="523" t="str">
        <f>Names!BT23</f>
        <v>Banco Central do Brasil - SGS - Total Personal Loans / Crédito pessoal total (20580)</v>
      </c>
      <c r="X20" s="517"/>
    </row>
    <row r="21" spans="2:24" ht="13" customHeight="1">
      <c r="B21" s="509" t="str">
        <f>IF('Summary | Sumário'!D$6=Names!B$3,Names!BR24,Names!BS24)</f>
        <v>Real Estate</v>
      </c>
      <c r="C21" s="501">
        <v>759254</v>
      </c>
      <c r="D21" s="501">
        <v>786037</v>
      </c>
      <c r="E21" s="501">
        <v>791963</v>
      </c>
      <c r="F21" s="501">
        <v>843692</v>
      </c>
      <c r="G21" s="501">
        <v>870530</v>
      </c>
      <c r="H21" s="501">
        <v>901028</v>
      </c>
      <c r="I21" s="501">
        <v>934095</v>
      </c>
      <c r="J21" s="501">
        <v>966479</v>
      </c>
      <c r="K21" s="501">
        <v>994735</v>
      </c>
      <c r="L21" s="501">
        <v>1025134</v>
      </c>
      <c r="M21" s="501">
        <v>1057696</v>
      </c>
      <c r="N21" s="501">
        <v>1090054</v>
      </c>
      <c r="O21" s="501">
        <v>1117064</v>
      </c>
      <c r="P21" s="501">
        <v>1152814</v>
      </c>
      <c r="Q21" s="501">
        <v>1193629</v>
      </c>
      <c r="R21" s="501">
        <f>1167104+61601</f>
        <v>1228705</v>
      </c>
      <c r="T21" s="513">
        <f t="shared" si="3"/>
        <v>2.9386015252645503E-2</v>
      </c>
      <c r="U21" s="513">
        <f t="shared" si="4"/>
        <v>0.12719645081803277</v>
      </c>
      <c r="W21" s="524" t="str">
        <f>Names!BT24</f>
        <v>Banco Central do Brasil - SGS - Total Real Estate Loans  / Crédito Imobiliário Total (20600 e 20612)</v>
      </c>
      <c r="X21" s="517"/>
    </row>
    <row r="22" spans="2:24" ht="13" customHeight="1">
      <c r="B22" s="491" t="str">
        <f>IF('Summary | Sumário'!D$6=Names!B$3,Names!BR25,Names!BS25)</f>
        <v>Business</v>
      </c>
      <c r="C22" s="514">
        <v>1135857</v>
      </c>
      <c r="D22" s="514">
        <v>1161495</v>
      </c>
      <c r="E22" s="514">
        <v>1212928</v>
      </c>
      <c r="F22" s="514">
        <v>1301459</v>
      </c>
      <c r="G22" s="514">
        <v>1328637</v>
      </c>
      <c r="H22" s="514">
        <v>1384359</v>
      </c>
      <c r="I22" s="514">
        <v>1354788</v>
      </c>
      <c r="J22" s="514">
        <v>1399002</v>
      </c>
      <c r="K22" s="514">
        <v>1374526</v>
      </c>
      <c r="L22" s="514">
        <v>1379862</v>
      </c>
      <c r="M22" s="514">
        <v>1385219</v>
      </c>
      <c r="N22" s="514">
        <v>1424128</v>
      </c>
      <c r="O22" s="514">
        <v>1427298</v>
      </c>
      <c r="P22" s="514">
        <v>1461795</v>
      </c>
      <c r="Q22" s="514">
        <v>1481928</v>
      </c>
      <c r="R22" s="514">
        <f>1584890-44485-61601</f>
        <v>1478804</v>
      </c>
      <c r="T22" s="381">
        <f t="shared" si="3"/>
        <v>-2.1080646293206717E-3</v>
      </c>
      <c r="U22" s="381">
        <f t="shared" si="4"/>
        <v>3.839261639403202E-2</v>
      </c>
      <c r="W22" s="523" t="str">
        <f>Names!BT25</f>
        <v>Banco Central do Brasil - SGS - Total non-financial corporations, excluding cards and real estate / Pessoas jurídicas total, excluindo cartões e imob. (20543)</v>
      </c>
      <c r="X22" s="517"/>
    </row>
    <row r="23" spans="2:24" ht="13" customHeight="1">
      <c r="B23" s="509" t="str">
        <f>IF('Summary | Sumário'!D$6=Names!B$3,Names!BR26,Names!BS26)</f>
        <v>Others</v>
      </c>
      <c r="C23" s="501">
        <v>1320000</v>
      </c>
      <c r="D23" s="501">
        <v>1296722</v>
      </c>
      <c r="E23" s="501">
        <v>1390650</v>
      </c>
      <c r="F23" s="501">
        <v>1395355</v>
      </c>
      <c r="G23" s="501">
        <v>1428565</v>
      </c>
      <c r="H23" s="501">
        <v>1420935</v>
      </c>
      <c r="I23" s="501">
        <v>2297292</v>
      </c>
      <c r="J23" s="501">
        <v>1626920</v>
      </c>
      <c r="K23" s="501">
        <v>1657339</v>
      </c>
      <c r="L23" s="501">
        <v>1664077</v>
      </c>
      <c r="M23" s="501">
        <v>1749317</v>
      </c>
      <c r="N23" s="501">
        <v>1808526</v>
      </c>
      <c r="O23" s="501">
        <v>1842987</v>
      </c>
      <c r="P23" s="501">
        <v>1880918</v>
      </c>
      <c r="Q23" s="501">
        <v>1927348</v>
      </c>
      <c r="R23" s="501">
        <f>R18-SUM(R19:R22)</f>
        <v>2070755</v>
      </c>
      <c r="T23" s="513">
        <f t="shared" si="3"/>
        <v>7.4406386392078749E-2</v>
      </c>
      <c r="U23" s="513">
        <f t="shared" si="4"/>
        <v>0.14499598015179216</v>
      </c>
      <c r="W23" s="503"/>
    </row>
    <row r="24" spans="2:24" ht="13" customHeight="1">
      <c r="B24" s="182"/>
    </row>
    <row r="25" spans="2:24" ht="13" customHeight="1">
      <c r="B25" s="182"/>
    </row>
    <row r="26" spans="2:24" ht="13" customHeight="1">
      <c r="B26" s="182" t="str">
        <f>IF('Summary | Sumário'!D$6=Names!B$3,Names!BR29,Names!BS29)</f>
        <v>Note 1: Excluding transactions made outside the SPI</v>
      </c>
      <c r="R26" s="261"/>
    </row>
    <row r="27" spans="2:24" ht="13" customHeight="1">
      <c r="B27" s="133" t="str">
        <f>IF('Summary | Sumário'!D$6=Names!B$3,Names!BR30,Names!BS30)</f>
        <v>Note 2: Including both debit and prepaid cards</v>
      </c>
    </row>
    <row r="33" spans="3:18" ht="13" customHeight="1">
      <c r="C33"/>
      <c r="D33"/>
      <c r="E33"/>
      <c r="F33"/>
      <c r="G33"/>
      <c r="H33"/>
      <c r="I33"/>
      <c r="J33"/>
      <c r="K33"/>
      <c r="L33"/>
      <c r="M33"/>
      <c r="N33"/>
      <c r="O33"/>
      <c r="P33"/>
      <c r="Q33"/>
      <c r="R33"/>
    </row>
  </sheetData>
  <sheetProtection algorithmName="SHA-512" hashValue="cKFeCZZZksJmdwPp97Xnfxi7AETImYlpHvmUoKAnsDG0HFQaT5nmGdsQDQA0oJRUSD+u8uWDZ8kby5FjnHqoug==" saltValue="6n9072vK0JmC8IjiB751bw==" spinCount="100000" sheet="1" formatCells="0" formatColumns="0" formatRows="0" insertColumns="0" insertRows="0" insertHyperlinks="0" deleteColumns="0" deleteRows="0" sort="0" autoFilter="0" pivotTables="0"/>
  <hyperlinks>
    <hyperlink ref="W5" r:id="rId1" display="https://www.bcb.gov.br/acessoinformacao/ccsestatisticas" xr:uid="{7F4CBBEA-AFE8-6D45-934C-93BBE883EBAE}"/>
    <hyperlink ref="W6" r:id="rId2" display="https://www.bcb.gov.br/acessoinformacao/ccsestatisticas" xr:uid="{A536EC5D-0833-A747-A798-0DC1FDD495E3}"/>
    <hyperlink ref="W9" r:id="rId3" display="https://www.bcb.gov.br/estabilidadefinanceira/estatisticaspix" xr:uid="{B5CAA6F5-5771-4E46-897A-5F7E3E1DC323}"/>
    <hyperlink ref="W13" r:id="rId4" display="https://www.abecs.org.br/graficos" xr:uid="{93A15D28-D8DB-6A46-9A74-73E1E6281D14}"/>
  </hyperlinks>
  <pageMargins left="0.511811024" right="0.511811024" top="0.78740157499999996" bottom="0.78740157499999996" header="0.31496062000000002" footer="0.31496062000000002"/>
  <pageSetup paperSize="9" orientation="portrait" horizontalDpi="0" verticalDpi="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0FBE-BD91-484B-A196-2EBFD96B9D5E}">
  <sheetPr>
    <tabColor theme="0" tint="-0.14999847407452621"/>
  </sheetPr>
  <dimension ref="B1:W66"/>
  <sheetViews>
    <sheetView showGridLines="0" zoomScale="90" zoomScaleNormal="90" workbookViewId="0"/>
  </sheetViews>
  <sheetFormatPr baseColWidth="10" defaultColWidth="10.83203125" defaultRowHeight="15" customHeight="1"/>
  <cols>
    <col min="1" max="1" width="3.33203125" style="37" customWidth="1"/>
    <col min="2" max="2" width="2.1640625" style="37" customWidth="1"/>
    <col min="3" max="3" width="43.6640625" style="37" customWidth="1"/>
    <col min="4" max="4" width="16.83203125" style="37" bestFit="1" customWidth="1"/>
    <col min="5" max="5" width="14" style="39" bestFit="1" customWidth="1"/>
    <col min="6" max="6" width="2" style="39" customWidth="1"/>
    <col min="7" max="7" width="8.83203125" style="37" customWidth="1"/>
    <col min="8" max="8" width="2.83203125" style="37" customWidth="1"/>
    <col min="9" max="9" width="59.33203125" style="37" bestFit="1" customWidth="1"/>
    <col min="10" max="14" width="9.83203125" style="37" customWidth="1"/>
    <col min="15" max="15" width="13.5" style="37" bestFit="1" customWidth="1"/>
    <col min="16" max="16" width="2.5" style="37" customWidth="1"/>
    <col min="17" max="17" width="8.83203125" style="37" customWidth="1"/>
    <col min="18" max="18" width="10.83203125" style="37" customWidth="1"/>
    <col min="19" max="19" width="8.83203125" style="37" customWidth="1"/>
    <col min="20" max="20" width="10.83203125" style="37" customWidth="1"/>
    <col min="21" max="21" width="2.83203125" style="37" customWidth="1"/>
    <col min="22" max="23" width="10.83203125" style="37"/>
    <col min="24" max="24" width="8.83203125" style="37" customWidth="1"/>
    <col min="25" max="25" width="10.83203125" style="37"/>
    <col min="26" max="26" width="8.83203125" style="37" customWidth="1"/>
    <col min="27" max="27" width="3.5" style="37" customWidth="1"/>
    <col min="28" max="16384" width="10.83203125" style="37"/>
  </cols>
  <sheetData>
    <row r="1" spans="2:23" ht="15" customHeight="1" thickBot="1"/>
    <row r="2" spans="2:23" ht="8" customHeight="1">
      <c r="B2" s="579"/>
      <c r="C2" s="580"/>
      <c r="D2" s="580"/>
      <c r="E2" s="581"/>
      <c r="F2" s="581"/>
      <c r="G2" s="580"/>
      <c r="H2" s="580"/>
      <c r="I2" s="580"/>
      <c r="J2" s="580"/>
      <c r="K2" s="580"/>
      <c r="L2" s="580"/>
      <c r="M2" s="580"/>
      <c r="N2" s="580"/>
      <c r="O2" s="580"/>
      <c r="P2" s="580"/>
      <c r="Q2" s="580"/>
      <c r="R2" s="580"/>
      <c r="S2" s="580"/>
      <c r="T2" s="580"/>
      <c r="U2" s="589"/>
    </row>
    <row r="3" spans="2:23" ht="15" customHeight="1">
      <c r="B3" s="590"/>
      <c r="C3" s="718" t="str">
        <f>IF('Summary | Sumário'!D6=Names!B3,Names!BP1,Names!BQ1)</f>
        <v>Managerial KPIs Effects in 4Q24 Financial Statements</v>
      </c>
      <c r="D3" s="718"/>
      <c r="E3" s="718"/>
      <c r="F3" s="718"/>
      <c r="G3" s="718"/>
      <c r="H3" s="718"/>
      <c r="I3" s="718"/>
      <c r="J3" s="718"/>
      <c r="K3" s="718"/>
      <c r="L3" s="718"/>
      <c r="M3" s="718"/>
      <c r="N3" s="718"/>
      <c r="O3" s="718"/>
      <c r="P3" s="718"/>
      <c r="Q3" s="718"/>
      <c r="R3" s="718"/>
      <c r="S3" s="718"/>
      <c r="T3" s="718"/>
      <c r="U3" s="591"/>
    </row>
    <row r="4" spans="2:23" ht="15" customHeight="1">
      <c r="B4" s="590"/>
      <c r="C4" s="718"/>
      <c r="D4" s="718"/>
      <c r="E4" s="718"/>
      <c r="F4" s="718"/>
      <c r="G4" s="718"/>
      <c r="H4" s="718"/>
      <c r="I4" s="718"/>
      <c r="J4" s="718"/>
      <c r="K4" s="718"/>
      <c r="L4" s="718"/>
      <c r="M4" s="718"/>
      <c r="N4" s="718"/>
      <c r="O4" s="718"/>
      <c r="P4" s="718"/>
      <c r="Q4" s="718"/>
      <c r="R4" s="718"/>
      <c r="S4" s="718"/>
      <c r="T4" s="718"/>
      <c r="U4" s="591"/>
    </row>
    <row r="5" spans="2:23" ht="77" customHeight="1">
      <c r="B5" s="590"/>
      <c r="C5" s="719" t="str">
        <f>IF('Summary | Sumário'!D6=Names!B3,Names!BP2,Names!BQ2)</f>
        <v>Instructions for Use:
1. Read the disclaimer bellow before using this sheet.
2. The simulation is pre-set with Q4'24 Key Performance Indicators (KPIs) in column D. You can modify the simulation by entering your desired KPI values in the green cells in Column D.
3. Once you input the new KPI values, the corresponding results will be updated in column O of the Income Statement, Balance Sheet, or both, depending on the specific KPI. The values that may alter are marked in orange.
4. Additionally, the KPI Output in column D will change dynamically based on your input, allowing you to observe the effects of different KPI values.</v>
      </c>
      <c r="D5" s="719"/>
      <c r="E5" s="719"/>
      <c r="F5" s="719"/>
      <c r="G5" s="719"/>
      <c r="H5" s="719"/>
      <c r="I5" s="719"/>
      <c r="J5" s="719"/>
      <c r="K5" s="719"/>
      <c r="L5" s="719"/>
      <c r="M5" s="719"/>
      <c r="N5" s="719"/>
      <c r="O5" s="719"/>
      <c r="P5" s="719"/>
      <c r="Q5" s="719"/>
      <c r="R5" s="719"/>
      <c r="S5" s="719"/>
      <c r="T5" s="719"/>
      <c r="U5" s="720"/>
    </row>
    <row r="6" spans="2:23" ht="8" customHeight="1" thickBot="1">
      <c r="B6" s="585"/>
      <c r="C6" s="592"/>
      <c r="D6" s="592"/>
      <c r="E6" s="592"/>
      <c r="F6" s="592"/>
      <c r="G6" s="592"/>
      <c r="H6" s="592"/>
      <c r="I6" s="592"/>
      <c r="J6" s="592"/>
      <c r="K6" s="592"/>
      <c r="L6" s="592"/>
      <c r="M6" s="592"/>
      <c r="N6" s="592"/>
      <c r="O6" s="586"/>
      <c r="P6" s="586"/>
      <c r="Q6" s="586"/>
      <c r="R6" s="586"/>
      <c r="S6" s="586"/>
      <c r="T6" s="586"/>
      <c r="U6" s="593"/>
    </row>
    <row r="7" spans="2:23" ht="15" customHeight="1" thickBot="1">
      <c r="C7" s="42"/>
      <c r="D7" s="42"/>
      <c r="E7" s="42"/>
      <c r="F7" s="42"/>
      <c r="G7" s="42"/>
      <c r="H7" s="42"/>
      <c r="I7" s="42"/>
      <c r="J7" s="42"/>
      <c r="K7" s="42"/>
      <c r="L7" s="42"/>
      <c r="M7" s="42"/>
      <c r="N7" s="42"/>
    </row>
    <row r="8" spans="2:23" ht="15" customHeight="1">
      <c r="B8" s="564"/>
      <c r="C8" s="565"/>
      <c r="D8" s="565"/>
      <c r="E8" s="565"/>
      <c r="F8" s="566"/>
      <c r="G8" s="43"/>
      <c r="H8" s="596"/>
      <c r="I8" s="565"/>
      <c r="J8" s="565"/>
      <c r="K8" s="565"/>
      <c r="L8" s="565"/>
      <c r="M8" s="565"/>
      <c r="N8" s="565"/>
      <c r="O8" s="597"/>
      <c r="P8" s="597"/>
      <c r="Q8" s="722" t="str">
        <f>IF('Summary | Sumário'!$D$6=Names!$B$3,Names!BP53,Names!BQ53)</f>
        <v>Variation %</v>
      </c>
      <c r="R8" s="722"/>
      <c r="S8" s="722"/>
      <c r="T8" s="722"/>
      <c r="U8" s="598"/>
    </row>
    <row r="9" spans="2:23" ht="15" customHeight="1">
      <c r="B9" s="567"/>
      <c r="C9" s="310" t="str">
        <f>IF('Summary | Sumário'!$D$6=Names!$B$3,Names!BP3,Names!BQ3)</f>
        <v>KPI Inputs</v>
      </c>
      <c r="D9" s="375" t="str">
        <f>IF('Summary | Sumário'!$D$6=Names!$B$3,Names!BP18,Names!BQ18)</f>
        <v>Input Values:</v>
      </c>
      <c r="E9" s="568" t="str">
        <f>IF('Summary | Sumário'!$D$6=Names!$B$3,Names!BP19,Names!BQ19)</f>
        <v>4Q24 Actual</v>
      </c>
      <c r="F9" s="569"/>
      <c r="H9" s="567"/>
      <c r="I9" s="310" t="str">
        <f>IF('Summary | Sumário'!$D$6=Names!$B$3,Names!BP22,Names!BQ22)</f>
        <v>Managerial Income Statement (R$ Millions)</v>
      </c>
      <c r="J9" s="568" t="str">
        <f>IF('Summary | Sumário'!D6=Names!B3,Names!C17,Names!D17)</f>
        <v>4Q23</v>
      </c>
      <c r="K9" s="568" t="str">
        <f>IF('Summary | Sumário'!D6=Names!B3,Names!C19,Names!D19)</f>
        <v>1Q24</v>
      </c>
      <c r="L9" s="568" t="str">
        <f>IF('Summary | Sumário'!D6=Names!B3,Names!C20,Names!D20)</f>
        <v>2Q24</v>
      </c>
      <c r="M9" s="568" t="str">
        <f>IF('Summary | Sumário'!D6=Names!B3,Names!C21,Names!D21)</f>
        <v>3Q24</v>
      </c>
      <c r="N9" s="568" t="str">
        <f>IF('Summary | Sumário'!D6=Names!B3,Names!C22,Names!D22)</f>
        <v>4Q24</v>
      </c>
      <c r="O9" s="376" t="str">
        <f>_xlfn.CONCAT(IF('Summary | Sumário'!D6=Names!B3,Names!C22,Names!D22),"S")</f>
        <v>4Q24S</v>
      </c>
      <c r="P9" s="599"/>
      <c r="Q9" s="96" t="str">
        <f>IF('Summary | Sumário'!$D$6=Names!$B$3,Names!BP55,Names!BQ55)</f>
        <v>Δ QoQS</v>
      </c>
      <c r="R9" s="96" t="str">
        <f>IF('Summary | Sumário'!$D$6=Names!$B$3,Names!BP56,Names!BQ56)</f>
        <v>Δ QoQ Actual</v>
      </c>
      <c r="S9" s="96" t="str">
        <f>IF('Summary | Sumário'!$D$6=Names!$B$3,Names!BP57,Names!BQ57)</f>
        <v>ΔYoYS</v>
      </c>
      <c r="T9" s="96" t="str">
        <f>IF('Summary | Sumário'!$D$6=Names!$B$3,Names!BP58,Names!BQ58)</f>
        <v>ΔYoY Actual</v>
      </c>
      <c r="U9" s="600"/>
    </row>
    <row r="10" spans="2:23" ht="15" customHeight="1">
      <c r="B10" s="567"/>
      <c r="C10" s="570" t="str">
        <f>IF('Summary | Sumário'!$D$6=Names!$B$3,Names!BP4,Names!BQ4)</f>
        <v>Income Statement</v>
      </c>
      <c r="D10" s="97"/>
      <c r="E10" s="97"/>
      <c r="F10" s="571"/>
      <c r="H10" s="567"/>
      <c r="I10" s="601" t="str">
        <f>IF('Summary | Sumário'!$D$6=Names!$B$3,Names!BP23,Names!BQ23)</f>
        <v>Interest income + income from securites and derivatives</v>
      </c>
      <c r="J10" s="602">
        <f>('3. IS | DRE'!U4+'3. IS | DRE'!U6-'4. Credit | Crédito'!U69)/1000</f>
        <v>1628.09276804</v>
      </c>
      <c r="K10" s="602">
        <f>('3. IS | DRE'!V4+'3. IS | DRE'!V6-'4. Credit | Crédito'!V69)/1000</f>
        <v>1732.9116108199999</v>
      </c>
      <c r="L10" s="602">
        <f>('3. IS | DRE'!W4+'3. IS | DRE'!W6-'4. Credit | Crédito'!W69)/1000</f>
        <v>1802.3113348038498</v>
      </c>
      <c r="M10" s="602">
        <f>('3. IS | DRE'!X4+'3. IS | DRE'!X6-'4. Credit | Crédito'!X69)/1000</f>
        <v>1970.3818495736332</v>
      </c>
      <c r="N10" s="687">
        <f>('3. IS | DRE'!Y4+'3. IS | DRE'!Y6-'4. Credit | Crédito'!Y69)/1000</f>
        <v>2188.1902175303826</v>
      </c>
      <c r="O10" s="688">
        <f>O12-O11</f>
        <v>2188.1912179325172</v>
      </c>
      <c r="P10" s="602"/>
      <c r="Q10" s="603">
        <f>O10/M10-1</f>
        <v>0.11054170459701274</v>
      </c>
      <c r="R10" s="603">
        <f>N10/M10-1</f>
        <v>0.11054119687708264</v>
      </c>
      <c r="S10" s="603">
        <f>O10/J10-1</f>
        <v>0.34402121358649529</v>
      </c>
      <c r="T10" s="603">
        <f>N10/J10-1</f>
        <v>0.34402059912388339</v>
      </c>
      <c r="U10" s="600"/>
    </row>
    <row r="11" spans="2:23" ht="15" customHeight="1">
      <c r="B11" s="567"/>
      <c r="C11" s="572" t="str">
        <f>IF('Summary | Sumário'!$D$6=Names!$B$3,Names!BP5,Names!BQ5)</f>
        <v>Cost of funding (%)</v>
      </c>
      <c r="D11" s="98">
        <f t="shared" ref="D11:D16" si="0">E11</f>
        <v>7.1478523897930329E-2</v>
      </c>
      <c r="E11" s="44">
        <f>'5. Funding'!Y23</f>
        <v>7.1478523897930329E-2</v>
      </c>
      <c r="F11" s="573"/>
      <c r="H11" s="567"/>
      <c r="I11" s="604" t="str">
        <f>IF('Summary | Sumário'!$D$6=Names!$B$3,Names!BP24,Names!BQ24)</f>
        <v>Interest expenses</v>
      </c>
      <c r="J11" s="605">
        <f>'3. IS | DRE'!U5/1000</f>
        <v>-752.19800500000008</v>
      </c>
      <c r="K11" s="605">
        <f>'3. IS | DRE'!V5/1000</f>
        <v>-762.24689030000013</v>
      </c>
      <c r="L11" s="605">
        <f>'3. IS | DRE'!W5/1000</f>
        <v>-772.64260900000011</v>
      </c>
      <c r="M11" s="605">
        <f>'3. IS | DRE'!X5/1000</f>
        <v>-835.61671799999999</v>
      </c>
      <c r="N11" s="689">
        <f>'3. IS | DRE'!Y5/1000</f>
        <v>-941.13220175799984</v>
      </c>
      <c r="O11" s="688">
        <f>-(D11)*AVERAGE(O40,M40)/4*1000</f>
        <v>-941.13220175799984</v>
      </c>
      <c r="P11" s="605"/>
      <c r="Q11" s="606">
        <f>O11/M11-1</f>
        <v>0.12627258584599055</v>
      </c>
      <c r="R11" s="606">
        <f>N11/M11-1</f>
        <v>0.12627258584599055</v>
      </c>
      <c r="S11" s="606">
        <f t="shared" ref="S11:S12" si="1">O11/J11-1</f>
        <v>0.25117614710770164</v>
      </c>
      <c r="T11" s="606">
        <f t="shared" ref="T11:T12" si="2">N11/J11-1</f>
        <v>0.25117614710770164</v>
      </c>
      <c r="U11" s="600"/>
    </row>
    <row r="12" spans="2:23" ht="15" customHeight="1">
      <c r="B12" s="567"/>
      <c r="C12" s="572" t="str">
        <f>IF('Summary | Sumário'!$D$6=Names!$B$3,Names!BP6,Names!BQ6)</f>
        <v>NIM (%) 2.0 - IEP only</v>
      </c>
      <c r="D12" s="98">
        <f t="shared" si="0"/>
        <v>9.7219181283157652E-2</v>
      </c>
      <c r="E12" s="44">
        <f>'7.2. NIMs'!Y26</f>
        <v>9.7219181283157652E-2</v>
      </c>
      <c r="F12" s="573"/>
      <c r="H12" s="567"/>
      <c r="I12" s="35" t="str">
        <f>IF('Summary | Sumário'!$D$6=Names!$B$3,Names!BP25,Names!BQ25)</f>
        <v>Net interest income</v>
      </c>
      <c r="J12" s="32">
        <f t="shared" ref="J12:M12" si="3">SUM(J10:J11)</f>
        <v>875.89476303999993</v>
      </c>
      <c r="K12" s="32">
        <f t="shared" si="3"/>
        <v>970.66472051999972</v>
      </c>
      <c r="L12" s="32">
        <f t="shared" si="3"/>
        <v>1029.6687258038496</v>
      </c>
      <c r="M12" s="32">
        <f t="shared" si="3"/>
        <v>1134.7651315736332</v>
      </c>
      <c r="N12" s="690">
        <f t="shared" ref="N12" si="4">SUM(N10:N11)</f>
        <v>1247.0580157723828</v>
      </c>
      <c r="O12" s="691">
        <f>(D12*AVERAGE(O34,M34)/4)*1000+0.001</f>
        <v>1247.0590161745176</v>
      </c>
      <c r="P12" s="32"/>
      <c r="Q12" s="99">
        <f>O12/M12-1</f>
        <v>9.8957820853343481E-2</v>
      </c>
      <c r="R12" s="99">
        <f>N12/M12-1</f>
        <v>9.8956939259340571E-2</v>
      </c>
      <c r="S12" s="99">
        <f t="shared" si="1"/>
        <v>0.42375439241845037</v>
      </c>
      <c r="T12" s="99">
        <f t="shared" si="2"/>
        <v>0.42375325026967059</v>
      </c>
      <c r="U12" s="600"/>
    </row>
    <row r="13" spans="2:23" ht="15" customHeight="1">
      <c r="B13" s="567"/>
      <c r="C13" s="572" t="str">
        <f>IF('Summary | Sumário'!$D$6=Names!$B$3,Names!BP7,Names!BQ7)</f>
        <v>Net fee income growth (%, QoQ)</v>
      </c>
      <c r="D13" s="98">
        <f t="shared" si="0"/>
        <v>0.10353003962966145</v>
      </c>
      <c r="E13" s="44">
        <f>N14/M14-1</f>
        <v>0.10353003962966145</v>
      </c>
      <c r="F13" s="573"/>
      <c r="H13" s="567"/>
      <c r="I13" s="604"/>
      <c r="J13" s="607"/>
      <c r="K13" s="607"/>
      <c r="L13" s="607"/>
      <c r="M13" s="607"/>
      <c r="N13" s="689"/>
      <c r="O13" s="688"/>
      <c r="P13" s="607"/>
      <c r="Q13" s="608"/>
      <c r="R13" s="608"/>
      <c r="S13" s="608"/>
      <c r="T13" s="608"/>
      <c r="U13" s="600"/>
    </row>
    <row r="14" spans="2:23" ht="15" customHeight="1">
      <c r="B14" s="567"/>
      <c r="C14" s="572" t="str">
        <f>IF('Summary | Sumário'!$D$6=Names!$B$3,Names!BP8,Names!BQ8)</f>
        <v>Cost of risk (%)</v>
      </c>
      <c r="D14" s="98">
        <f t="shared" si="0"/>
        <v>5.0046757550972369E-2</v>
      </c>
      <c r="E14" s="44">
        <f>'7.6. Cost of Risk'!Y10</f>
        <v>5.0046757550972369E-2</v>
      </c>
      <c r="F14" s="573"/>
      <c r="H14" s="567"/>
      <c r="I14" s="601" t="str">
        <f>IF('Summary | Sumário'!$D$6=Names!$B$3,Names!BP27,Names!BQ27)</f>
        <v>Net fee revenue + other revenues</v>
      </c>
      <c r="J14" s="609">
        <f>('3. IS | DRE'!U9+'3. IS | DRE'!U10+'3. IS | DRE'!U11+'4. Credit | Crédito'!U69)/1000</f>
        <v>437.03809971999993</v>
      </c>
      <c r="K14" s="609">
        <f>('3. IS | DRE'!V9+'3. IS | DRE'!V10+'3. IS | DRE'!V11+'4. Credit | Crédito'!V69)/1000</f>
        <v>430.27439485153224</v>
      </c>
      <c r="L14" s="609">
        <f>('3. IS | DRE'!W9+'3. IS | DRE'!W10+'3. IS | DRE'!W11+'4. Credit | Crédito'!W69)/1000</f>
        <v>448.92908523867993</v>
      </c>
      <c r="M14" s="609">
        <f>('3. IS | DRE'!X9+'3. IS | DRE'!X10+'3. IS | DRE'!X11+'4. Credit | Crédito'!X69)/1000</f>
        <v>541.37811297993869</v>
      </c>
      <c r="N14" s="687">
        <f>('3. IS | DRE'!Y9+'3. IS | DRE'!Y10+'3. IS | DRE'!Y11+'4. Credit | Crédito'!Y69)/1000</f>
        <v>597.42701047138303</v>
      </c>
      <c r="O14" s="688">
        <f>M14*(1+D13)</f>
        <v>597.42701047138303</v>
      </c>
      <c r="P14" s="609"/>
      <c r="Q14" s="610">
        <f>O14/M14-1</f>
        <v>0.10353003962966145</v>
      </c>
      <c r="R14" s="610">
        <f>N14/M14-1</f>
        <v>0.10353003962966145</v>
      </c>
      <c r="S14" s="610">
        <f t="shared" ref="S14:S15" si="5">O14/J14-1</f>
        <v>0.36699068308721938</v>
      </c>
      <c r="T14" s="610">
        <f t="shared" ref="T14:T15" si="6">N14/J14-1</f>
        <v>0.36699068308721938</v>
      </c>
      <c r="U14" s="600"/>
    </row>
    <row r="15" spans="2:23" ht="15" customHeight="1">
      <c r="B15" s="567"/>
      <c r="C15" s="572" t="str">
        <f>IF('Summary | Sumário'!$D$6=Names!$B$3,Names!BP9,Names!BQ9)</f>
        <v>Efficiency ratio (%)</v>
      </c>
      <c r="D15" s="98">
        <f t="shared" si="0"/>
        <v>0.50144676598069915</v>
      </c>
      <c r="E15" s="44">
        <f>'7.3. Efficiency | Eficiência'!Y14</f>
        <v>0.50144676598069915</v>
      </c>
      <c r="F15" s="573"/>
      <c r="H15" s="567"/>
      <c r="I15" s="36" t="str">
        <f>IF('Summary | Sumário'!$D$6=Names!$B$3,Names!BP28,Names!BQ28)</f>
        <v>Revenues</v>
      </c>
      <c r="J15" s="34">
        <f t="shared" ref="J15:M15" si="7">J12+SUM(J14:J14)</f>
        <v>1312.9328627599998</v>
      </c>
      <c r="K15" s="34">
        <f t="shared" si="7"/>
        <v>1400.9391153715319</v>
      </c>
      <c r="L15" s="34">
        <f t="shared" si="7"/>
        <v>1478.5978110425294</v>
      </c>
      <c r="M15" s="34">
        <f t="shared" si="7"/>
        <v>1676.143244553572</v>
      </c>
      <c r="N15" s="692">
        <f t="shared" ref="N15" si="8">N12+SUM(N14:N14)</f>
        <v>1844.4850262437658</v>
      </c>
      <c r="O15" s="691">
        <f>SUM(O12,O14)</f>
        <v>1844.4860266459007</v>
      </c>
      <c r="P15" s="34"/>
      <c r="Q15" s="100">
        <f>O15/M15-1</f>
        <v>0.10043460345011601</v>
      </c>
      <c r="R15" s="100">
        <f>N15/M15-1</f>
        <v>0.10043400660247892</v>
      </c>
      <c r="S15" s="100">
        <f t="shared" si="5"/>
        <v>0.40485936407173861</v>
      </c>
      <c r="T15" s="100">
        <f t="shared" si="6"/>
        <v>0.40485860211188274</v>
      </c>
      <c r="U15" s="600"/>
      <c r="W15" s="88"/>
    </row>
    <row r="16" spans="2:23" ht="15" customHeight="1">
      <c r="B16" s="567"/>
      <c r="C16" s="572" t="str">
        <f>IF('Summary | Sumário'!$D$6=Names!$B$3,Names!BP10,Names!BQ10)</f>
        <v>Tax expenses as % of total revenues</v>
      </c>
      <c r="D16" s="98">
        <f t="shared" si="0"/>
        <v>9.0895948524681955E-2</v>
      </c>
      <c r="E16" s="44">
        <f>-'3. IS | DRE'!Y20/'3. IS | DRE'!Y12</f>
        <v>9.0895948524681955E-2</v>
      </c>
      <c r="F16" s="573"/>
      <c r="H16" s="567"/>
      <c r="I16" s="601"/>
      <c r="J16" s="609"/>
      <c r="K16" s="609"/>
      <c r="L16" s="609"/>
      <c r="M16" s="609"/>
      <c r="N16" s="687"/>
      <c r="O16" s="688"/>
      <c r="P16" s="609"/>
      <c r="Q16" s="610"/>
      <c r="R16" s="610"/>
      <c r="S16" s="610"/>
      <c r="T16" s="610"/>
      <c r="U16" s="600"/>
    </row>
    <row r="17" spans="2:21" ht="15" customHeight="1">
      <c r="B17" s="567"/>
      <c r="C17" s="570" t="str">
        <f>IF('Summary | Sumário'!$D$6=Names!$B$3,Names!BP11,Names!BQ11)</f>
        <v>Balance Sheet</v>
      </c>
      <c r="D17" s="97"/>
      <c r="E17" s="101"/>
      <c r="F17" s="571"/>
      <c r="H17" s="567"/>
      <c r="I17" s="604" t="str">
        <f>IF('Summary | Sumário'!$D$6=Names!$B$3,Names!BP30,Names!BQ30)</f>
        <v>Impairment losses on financial assets</v>
      </c>
      <c r="J17" s="607">
        <f>'3. IS | DRE'!U14/1000</f>
        <v>-384.44400000000002</v>
      </c>
      <c r="K17" s="607">
        <f>'3. IS | DRE'!V14/1000</f>
        <v>-411.048</v>
      </c>
      <c r="L17" s="607">
        <f>'3. IS | DRE'!W14/1000</f>
        <v>-421.24766099999999</v>
      </c>
      <c r="M17" s="607">
        <f>'3. IS | DRE'!X14/1000</f>
        <v>-471.42665</v>
      </c>
      <c r="N17" s="689">
        <f>'3. IS | DRE'!Y14/1000</f>
        <v>-495.73002499999967</v>
      </c>
      <c r="O17" s="688">
        <f>-(D14*AVERAGE(O35,M35)/4)*1000</f>
        <v>-495.73002499999973</v>
      </c>
      <c r="P17" s="607"/>
      <c r="Q17" s="608">
        <f>O17/M17-1</f>
        <v>5.1552823753175048E-2</v>
      </c>
      <c r="R17" s="608">
        <f>N17/M17-1</f>
        <v>5.1552823753174826E-2</v>
      </c>
      <c r="S17" s="608">
        <f t="shared" ref="S17:S18" si="9">O17/J17-1</f>
        <v>0.28947265401462818</v>
      </c>
      <c r="T17" s="608">
        <f t="shared" ref="T17:T18" si="10">N17/J17-1</f>
        <v>0.28947265401462796</v>
      </c>
      <c r="U17" s="600"/>
    </row>
    <row r="18" spans="2:21" ht="15" customHeight="1">
      <c r="B18" s="567"/>
      <c r="C18" s="572" t="str">
        <f>IF('Summary | Sumário'!$D$6=Names!$B$3,Names!BP12,Names!BQ12)</f>
        <v>IEP growth (%, QoQ)</v>
      </c>
      <c r="D18" s="574">
        <f>E18</f>
        <v>0.1051682275305561</v>
      </c>
      <c r="E18" s="44">
        <f>N34/M34-1</f>
        <v>0.1051682275305561</v>
      </c>
      <c r="F18" s="573"/>
      <c r="H18" s="567"/>
      <c r="I18" s="35" t="str">
        <f>IF('Summary | Sumário'!$D$6=Names!$B$3,Names!BP31,Names!BQ31)</f>
        <v>Net result of losses</v>
      </c>
      <c r="J18" s="32">
        <f t="shared" ref="J18:M18" si="11">J15+J17</f>
        <v>928.48886275999985</v>
      </c>
      <c r="K18" s="32">
        <f t="shared" si="11"/>
        <v>989.8911153715319</v>
      </c>
      <c r="L18" s="32">
        <f t="shared" si="11"/>
        <v>1057.3501500425295</v>
      </c>
      <c r="M18" s="32">
        <f t="shared" si="11"/>
        <v>1204.7165945535721</v>
      </c>
      <c r="N18" s="690">
        <f t="shared" ref="N18" si="12">N15+N17</f>
        <v>1348.7550012437662</v>
      </c>
      <c r="O18" s="691">
        <f>O15+O17</f>
        <v>1348.7560016459011</v>
      </c>
      <c r="P18" s="32"/>
      <c r="Q18" s="99">
        <f>O18/M18-1</f>
        <v>0.11956289781639895</v>
      </c>
      <c r="R18" s="99">
        <f>N18/M18-1</f>
        <v>0.11956206741185449</v>
      </c>
      <c r="S18" s="99">
        <f t="shared" si="9"/>
        <v>0.45263562735327478</v>
      </c>
      <c r="T18" s="99">
        <f t="shared" si="10"/>
        <v>0.45263454990132579</v>
      </c>
      <c r="U18" s="600"/>
    </row>
    <row r="19" spans="2:21" ht="15" customHeight="1">
      <c r="B19" s="567"/>
      <c r="C19" s="572" t="str">
        <f>IF('Summary | Sumário'!$D$6=Names!$B$3,Names!BP13,Names!BQ13)</f>
        <v>Funding growth (%, QoQ)</v>
      </c>
      <c r="D19" s="574">
        <f t="shared" ref="D19" si="13">E19</f>
        <v>9.5437731716350394E-2</v>
      </c>
      <c r="E19" s="44">
        <f>N40/M40-1</f>
        <v>9.5437731716350394E-2</v>
      </c>
      <c r="F19" s="573"/>
      <c r="H19" s="567"/>
      <c r="I19" s="604"/>
      <c r="J19" s="607"/>
      <c r="K19" s="607"/>
      <c r="L19" s="607"/>
      <c r="M19" s="607"/>
      <c r="N19" s="689"/>
      <c r="O19" s="688"/>
      <c r="P19" s="607"/>
      <c r="Q19" s="608"/>
      <c r="R19" s="608"/>
      <c r="S19" s="608"/>
      <c r="T19" s="608"/>
      <c r="U19" s="600"/>
    </row>
    <row r="20" spans="2:21" ht="15" customHeight="1" thickBot="1">
      <c r="B20" s="575"/>
      <c r="C20" s="576"/>
      <c r="D20" s="576"/>
      <c r="E20" s="577"/>
      <c r="F20" s="578"/>
      <c r="H20" s="567"/>
      <c r="I20" s="601" t="str">
        <f>IF('Summary | Sumário'!$D$6=Names!$B$3,Names!BP33,Names!BQ33)</f>
        <v>Operational expenses</v>
      </c>
      <c r="J20" s="609">
        <f>('3. IS | DRE'!U18+'3. IS | DRE'!U19+'3. IS | DRE'!U21)/1000</f>
        <v>-627.54700000000003</v>
      </c>
      <c r="K20" s="609">
        <f>('3. IS | DRE'!V18+'3. IS | DRE'!V19+'3. IS | DRE'!V21)/1000</f>
        <v>-627.60699999999997</v>
      </c>
      <c r="L20" s="609">
        <f>('3. IS | DRE'!W18+'3. IS | DRE'!W19+'3. IS | DRE'!W21)/1000</f>
        <v>-660.06869852</v>
      </c>
      <c r="M20" s="609">
        <f>('3. IS | DRE'!X18+'3. IS | DRE'!X19+'3. IS | DRE'!X21)/1000</f>
        <v>-787.12960448000001</v>
      </c>
      <c r="N20" s="687">
        <f>('3. IS | DRE'!Y18+'3. IS | DRE'!Y19+'3. IS | DRE'!Y21)/1000</f>
        <v>-840.84038400000009</v>
      </c>
      <c r="O20" s="688">
        <f>-D15*SUM(O12,O14,O21)</f>
        <v>-840.84084005060652</v>
      </c>
      <c r="P20" s="609"/>
      <c r="Q20" s="610">
        <f>O20/M20-1</f>
        <v>6.823683833628591E-2</v>
      </c>
      <c r="R20" s="610">
        <f>N20/M20-1</f>
        <v>6.8236258951895223E-2</v>
      </c>
      <c r="S20" s="610">
        <f t="shared" ref="S20:S23" si="14">O20/J20-1</f>
        <v>0.33988504454743063</v>
      </c>
      <c r="T20" s="610">
        <f t="shared" ref="T20:T23" si="15">N20/J20-1</f>
        <v>0.33988431782798756</v>
      </c>
      <c r="U20" s="600"/>
    </row>
    <row r="21" spans="2:21" ht="15" customHeight="1">
      <c r="H21" s="567"/>
      <c r="I21" s="604" t="str">
        <f>IF('Summary | Sumário'!$D$6=Names!$B$3,Names!BP34,Names!BQ34)</f>
        <v>Tax expenses</v>
      </c>
      <c r="J21" s="607">
        <f>('3. IS | DRE'!U20)/1000</f>
        <v>-91.177999999999997</v>
      </c>
      <c r="K21" s="607">
        <f>('3. IS | DRE'!V20)/1000</f>
        <v>-86.331000000000003</v>
      </c>
      <c r="L21" s="607">
        <f>('3. IS | DRE'!W20)/1000</f>
        <v>-99.417271</v>
      </c>
      <c r="M21" s="607">
        <f>('3. IS | DRE'!X20)/1000</f>
        <v>-123.632909</v>
      </c>
      <c r="N21" s="689">
        <f>('3. IS | DRE'!Y20)/1000</f>
        <v>-167.65621600000003</v>
      </c>
      <c r="O21" s="688">
        <f>-D16*O15</f>
        <v>-167.65630693250094</v>
      </c>
      <c r="P21" s="607"/>
      <c r="Q21" s="608">
        <f>O21/M21-1</f>
        <v>0.35608155052390567</v>
      </c>
      <c r="R21" s="608">
        <f>N21/M21-1</f>
        <v>0.35608081501989108</v>
      </c>
      <c r="S21" s="608">
        <f t="shared" si="14"/>
        <v>0.83878026423590057</v>
      </c>
      <c r="T21" s="608">
        <f t="shared" si="15"/>
        <v>0.83877926692842619</v>
      </c>
      <c r="U21" s="600"/>
    </row>
    <row r="22" spans="2:21" ht="15" customHeight="1" thickBot="1">
      <c r="H22" s="567"/>
      <c r="I22" s="601" t="str">
        <f>IF('Summary | Sumário'!$D$6=Names!$B$3,Names!BP35,Names!BQ35)</f>
        <v>Other expenses</v>
      </c>
      <c r="J22" s="609">
        <f>'3. IS | DRE'!U22/1000</f>
        <v>-1.4431013100000019</v>
      </c>
      <c r="K22" s="609">
        <f>'3. IS | DRE'!V22/1000</f>
        <v>-2.2229999999999999</v>
      </c>
      <c r="L22" s="609">
        <f>'3. IS | DRE'!W22/1000</f>
        <v>-0.25702199999999997</v>
      </c>
      <c r="M22" s="609">
        <f>'3. IS | DRE'!X22/1000</f>
        <v>0</v>
      </c>
      <c r="N22" s="687">
        <f>'3. IS | DRE'!Y22/1000</f>
        <v>0</v>
      </c>
      <c r="O22" s="688">
        <f>IF(D12=0,0,N22)</f>
        <v>0</v>
      </c>
      <c r="P22" s="609"/>
      <c r="Q22" s="697" t="str">
        <f>IFERROR(O22/M22-1,"n.m")</f>
        <v>n.m</v>
      </c>
      <c r="R22" s="697" t="str">
        <f>IFERROR(N22/M22-1,"n.m.")</f>
        <v>n.m.</v>
      </c>
      <c r="S22" s="610">
        <f t="shared" si="14"/>
        <v>-1</v>
      </c>
      <c r="T22" s="610">
        <f t="shared" si="15"/>
        <v>-1</v>
      </c>
      <c r="U22" s="600"/>
    </row>
    <row r="23" spans="2:21" ht="15" customHeight="1">
      <c r="B23" s="579"/>
      <c r="C23" s="580"/>
      <c r="D23" s="580"/>
      <c r="E23" s="581"/>
      <c r="F23" s="582"/>
      <c r="H23" s="567"/>
      <c r="I23" s="36" t="str">
        <f>IF('Summary | Sumário'!$D$6=Names!$B$3,Names!BP36,Names!BQ36)</f>
        <v>Profit / (loss) before income tax</v>
      </c>
      <c r="J23" s="34">
        <f t="shared" ref="J23:M23" si="16">J18+SUM(J20:J22)</f>
        <v>208.32076144999985</v>
      </c>
      <c r="K23" s="34">
        <f t="shared" si="16"/>
        <v>273.73011537153195</v>
      </c>
      <c r="L23" s="34">
        <f t="shared" si="16"/>
        <v>297.60715852252952</v>
      </c>
      <c r="M23" s="34">
        <f t="shared" si="16"/>
        <v>293.95408107357207</v>
      </c>
      <c r="N23" s="692">
        <f t="shared" ref="N23" si="17">N18+SUM(N20:N22)</f>
        <v>340.258401243766</v>
      </c>
      <c r="O23" s="691">
        <f t="shared" ref="O23" si="18">O18+SUM(O20:O22)</f>
        <v>340.25885466279362</v>
      </c>
      <c r="P23" s="34"/>
      <c r="Q23" s="100">
        <f>O23/M23-1</f>
        <v>0.15752383304259077</v>
      </c>
      <c r="R23" s="100">
        <f>N23/M23-1</f>
        <v>0.15752229056008482</v>
      </c>
      <c r="S23" s="100">
        <f t="shared" si="14"/>
        <v>0.63334106641339694</v>
      </c>
      <c r="T23" s="100">
        <f t="shared" si="15"/>
        <v>0.63333888987072084</v>
      </c>
      <c r="U23" s="600"/>
    </row>
    <row r="24" spans="2:21" ht="15" customHeight="1">
      <c r="B24" s="567"/>
      <c r="C24" s="310" t="str">
        <f>IF('Summary | Sumário'!$D$6=Names!$B$3,Names!BP14,Names!BQ14)</f>
        <v>KPI Outputs</v>
      </c>
      <c r="D24" s="594" t="str">
        <f>IF('Summary | Sumário'!$D$6=Names!$B$3,Names!BP20,Names!BQ20)</f>
        <v>Output</v>
      </c>
      <c r="E24" s="568" t="str">
        <f>IF('Summary | Sumário'!$D$6=Names!$B$3,Names!BP21,Names!BQ21)</f>
        <v>4Q24 Actual</v>
      </c>
      <c r="F24" s="583"/>
      <c r="H24" s="567"/>
      <c r="I24" s="611"/>
      <c r="J24" s="28"/>
      <c r="K24" s="28"/>
      <c r="L24" s="28"/>
      <c r="M24" s="28"/>
      <c r="N24" s="693"/>
      <c r="O24" s="694"/>
      <c r="P24" s="28"/>
      <c r="Q24" s="102"/>
      <c r="R24" s="102"/>
      <c r="S24" s="102"/>
      <c r="T24" s="102"/>
      <c r="U24" s="600"/>
    </row>
    <row r="25" spans="2:21" ht="15" customHeight="1">
      <c r="B25" s="567"/>
      <c r="C25" s="595" t="str">
        <f>IF('Summary | Sumário'!$D$6=Names!$B$3,Names!BP15,Names!BQ15)</f>
        <v>ROEA (%)</v>
      </c>
      <c r="D25" s="45">
        <f>O26*4/(AVERAGE(O42,L42)*1000)</f>
        <v>0.13346165261800139</v>
      </c>
      <c r="E25" s="30">
        <f>N26*4/(AVERAGE(N42,M42)*1000)</f>
        <v>0.1315287339805741</v>
      </c>
      <c r="F25" s="584"/>
      <c r="H25" s="567"/>
      <c r="I25" s="604" t="str">
        <f>IF('Summary | Sumário'!$D$6=Names!$B$3,Names!BP38,Names!BQ38)</f>
        <v>Income tax and social contribution</v>
      </c>
      <c r="J25" s="607">
        <f>'3. IS | DRE'!U25/1000</f>
        <v>-48.579000000000001</v>
      </c>
      <c r="K25" s="607">
        <f>'3. IS | DRE'!V25/1000</f>
        <v>-78.512</v>
      </c>
      <c r="L25" s="607">
        <f>'3. IS | DRE'!W25/1000</f>
        <v>-74.943733999999992</v>
      </c>
      <c r="M25" s="607">
        <f>'3. IS | DRE'!X25/1000</f>
        <v>-33.942</v>
      </c>
      <c r="N25" s="689">
        <f>'3. IS | DRE'!Y25/1000</f>
        <v>-45.31105187989899</v>
      </c>
      <c r="O25" s="688">
        <f>IF(O23&lt;=N23,N25,N25+((N23-O23)*0.38))</f>
        <v>-45.311224179129489</v>
      </c>
      <c r="P25" s="607"/>
      <c r="Q25" s="608">
        <f>O25/M25-1</f>
        <v>0.33496034939395103</v>
      </c>
      <c r="R25" s="608">
        <f>N25/M25-1</f>
        <v>0.33495527310998141</v>
      </c>
      <c r="S25" s="608">
        <f t="shared" ref="S25:S26" si="19">O25/J25-1</f>
        <v>-6.7267251711037979E-2</v>
      </c>
      <c r="T25" s="608">
        <f t="shared" ref="T25:T26" si="20">N25/J25-1</f>
        <v>-6.7270798495255413E-2</v>
      </c>
      <c r="U25" s="600"/>
    </row>
    <row r="26" spans="2:21" ht="15" customHeight="1">
      <c r="B26" s="567"/>
      <c r="C26" s="595" t="str">
        <f>IF('Summary | Sumário'!$D$6=Names!$B$3,Names!BP16,Names!BQ16)</f>
        <v>ROAA (%)</v>
      </c>
      <c r="D26" s="45">
        <f>(O26*4)/(AVERAGE(L37,O37)*1000)</f>
        <v>1.6496887731627378E-2</v>
      </c>
      <c r="E26" s="30">
        <f>(N26*4)/(AVERAGE(N37,M37)*1000)</f>
        <v>1.611882700842451E-2</v>
      </c>
      <c r="F26" s="584"/>
      <c r="H26" s="567"/>
      <c r="I26" s="35" t="str">
        <f>IF('Summary | Sumário'!$D$6=Names!$B$3,Names!BP39,Names!BQ39)</f>
        <v>Profit / (loss) for the period</v>
      </c>
      <c r="J26" s="32">
        <f t="shared" ref="J26:M26" si="21">J23+J25</f>
        <v>159.74176144999984</v>
      </c>
      <c r="K26" s="32">
        <f t="shared" si="21"/>
        <v>195.21811537153195</v>
      </c>
      <c r="L26" s="32">
        <f t="shared" si="21"/>
        <v>222.66342452252951</v>
      </c>
      <c r="M26" s="32">
        <f t="shared" si="21"/>
        <v>260.01208107357206</v>
      </c>
      <c r="N26" s="690">
        <f>N23+N25</f>
        <v>294.94734936386703</v>
      </c>
      <c r="O26" s="691">
        <f>O23+O25</f>
        <v>294.94763048366411</v>
      </c>
      <c r="P26" s="32"/>
      <c r="Q26" s="99">
        <f>O26/M26-1</f>
        <v>0.13436125454573333</v>
      </c>
      <c r="R26" s="99">
        <f>N26/M26-1</f>
        <v>0.13436017336598227</v>
      </c>
      <c r="S26" s="99">
        <f t="shared" si="19"/>
        <v>0.84640276785719903</v>
      </c>
      <c r="T26" s="99">
        <f t="shared" si="20"/>
        <v>0.84640100801810281</v>
      </c>
      <c r="U26" s="600"/>
    </row>
    <row r="27" spans="2:21" ht="15" customHeight="1" thickBot="1">
      <c r="B27" s="567"/>
      <c r="C27" s="595" t="str">
        <f>IF('Summary | Sumário'!$D$6=Names!$B$3,Names!BP17,Names!BQ17)</f>
        <v>Fee income ratio (%)</v>
      </c>
      <c r="D27" s="45">
        <f>O14/O15</f>
        <v>0.32389890833587509</v>
      </c>
      <c r="E27" s="30">
        <f>N14/N15</f>
        <v>0.32389908401046974</v>
      </c>
      <c r="F27" s="584"/>
      <c r="H27" s="575"/>
      <c r="I27" s="612"/>
      <c r="J27" s="612"/>
      <c r="K27" s="612"/>
      <c r="L27" s="612"/>
      <c r="M27" s="612"/>
      <c r="N27" s="612"/>
      <c r="O27" s="613"/>
      <c r="P27" s="586"/>
      <c r="Q27" s="586"/>
      <c r="R27" s="586"/>
      <c r="S27" s="612"/>
      <c r="T27" s="612"/>
      <c r="U27" s="614"/>
    </row>
    <row r="28" spans="2:21" ht="15" customHeight="1" thickBot="1">
      <c r="B28" s="585"/>
      <c r="C28" s="586"/>
      <c r="D28" s="586"/>
      <c r="E28" s="587"/>
      <c r="F28" s="588"/>
      <c r="I28" s="33"/>
      <c r="J28" s="33"/>
      <c r="K28" s="33"/>
      <c r="L28" s="33"/>
      <c r="M28" s="33"/>
      <c r="N28" s="33"/>
      <c r="O28" s="38"/>
      <c r="S28" s="33"/>
      <c r="T28" s="33"/>
    </row>
    <row r="29" spans="2:21" ht="15" customHeight="1">
      <c r="I29" s="33"/>
      <c r="J29" s="33"/>
      <c r="K29" s="33"/>
      <c r="L29" s="33"/>
      <c r="M29" s="33"/>
      <c r="N29" s="33"/>
      <c r="O29" s="38"/>
      <c r="S29" s="33"/>
      <c r="T29" s="33"/>
    </row>
    <row r="30" spans="2:21" ht="15" customHeight="1" thickBot="1">
      <c r="I30" s="33"/>
      <c r="J30" s="33"/>
      <c r="K30" s="33"/>
      <c r="L30" s="33"/>
      <c r="M30" s="33"/>
      <c r="N30" s="33"/>
      <c r="O30" s="38"/>
      <c r="S30" s="33"/>
      <c r="T30" s="33"/>
    </row>
    <row r="31" spans="2:21" ht="15" customHeight="1">
      <c r="H31" s="564"/>
      <c r="I31" s="615"/>
      <c r="J31" s="565"/>
      <c r="K31" s="565"/>
      <c r="L31" s="565"/>
      <c r="M31" s="565"/>
      <c r="N31" s="565"/>
      <c r="O31" s="616"/>
      <c r="P31" s="597"/>
      <c r="Q31" s="722" t="str">
        <f>Q8</f>
        <v>Variation %</v>
      </c>
      <c r="R31" s="722"/>
      <c r="S31" s="722"/>
      <c r="T31" s="722"/>
      <c r="U31" s="598"/>
    </row>
    <row r="32" spans="2:21" ht="15" customHeight="1">
      <c r="H32" s="567"/>
      <c r="I32" s="310" t="str">
        <f>IF('Summary | Sumário'!$D$6=Names!$B$3,Names!BP41,Names!BQ41)</f>
        <v>Managerial Balance Sheet (R$ Billions)</v>
      </c>
      <c r="J32" s="568" t="str">
        <f t="shared" ref="J32:O32" si="22">J9</f>
        <v>4Q23</v>
      </c>
      <c r="K32" s="568" t="str">
        <f t="shared" si="22"/>
        <v>1Q24</v>
      </c>
      <c r="L32" s="568" t="str">
        <f t="shared" si="22"/>
        <v>2Q24</v>
      </c>
      <c r="M32" s="568" t="str">
        <f t="shared" si="22"/>
        <v>3Q24</v>
      </c>
      <c r="N32" s="568" t="str">
        <f>N9</f>
        <v>4Q24</v>
      </c>
      <c r="O32" s="376" t="str">
        <f t="shared" si="22"/>
        <v>4Q24S</v>
      </c>
      <c r="P32" s="599"/>
      <c r="Q32" s="96" t="str">
        <f>Q9</f>
        <v>Δ QoQS</v>
      </c>
      <c r="R32" s="96" t="str">
        <f>R9</f>
        <v>Δ QoQ Actual</v>
      </c>
      <c r="S32" s="96" t="str">
        <f>S9</f>
        <v>ΔYoYS</v>
      </c>
      <c r="T32" s="96" t="str">
        <f>T9</f>
        <v>ΔYoY Actual</v>
      </c>
      <c r="U32" s="600"/>
    </row>
    <row r="33" spans="2:21" ht="15" customHeight="1">
      <c r="H33" s="567"/>
      <c r="I33" s="617" t="str">
        <f>IF('Summary | Sumário'!$D$6=Names!$B$3,Names!BP42,Names!BQ42)</f>
        <v>Assets</v>
      </c>
      <c r="J33" s="572"/>
      <c r="K33" s="572"/>
      <c r="L33" s="572"/>
      <c r="M33" s="572"/>
      <c r="N33" s="572"/>
      <c r="O33" s="618"/>
      <c r="P33" s="572"/>
      <c r="Q33" s="603"/>
      <c r="R33" s="603"/>
      <c r="S33" s="603"/>
      <c r="T33" s="603"/>
      <c r="U33" s="600"/>
    </row>
    <row r="34" spans="2:21" ht="15" customHeight="1">
      <c r="H34" s="567"/>
      <c r="I34" s="619" t="str">
        <f>IF('Summary | Sumário'!$D$6=Names!$B$3,Names!BP43,Names!BQ43)</f>
        <v>Interest earning portfolio (IEP)</v>
      </c>
      <c r="J34" s="91">
        <f>'7.2. NIMs'!U19/1000000</f>
        <v>41.001388191909996</v>
      </c>
      <c r="K34" s="91">
        <f>'7.2. NIMs'!V19/1000000</f>
        <v>43.117848082490198</v>
      </c>
      <c r="L34" s="91">
        <f>'7.2. NIMs'!W19/1000000</f>
        <v>46.126596310819998</v>
      </c>
      <c r="M34" s="91">
        <f>'7.2. NIMs'!X19/1000000</f>
        <v>48.745875979180298</v>
      </c>
      <c r="N34" s="91">
        <f>'7.2. NIMs'!Y19/1000000</f>
        <v>53.872393355334999</v>
      </c>
      <c r="O34" s="89">
        <f>M34*(1+D18)</f>
        <v>53.872393355334999</v>
      </c>
      <c r="P34" s="91"/>
      <c r="Q34" s="103">
        <f>O34/M34-1</f>
        <v>0.1051682275305561</v>
      </c>
      <c r="R34" s="103">
        <f>N34/M34-1</f>
        <v>0.1051682275305561</v>
      </c>
      <c r="S34" s="103">
        <f t="shared" ref="S34:S37" si="23">O34/J34-1</f>
        <v>0.31391632652000268</v>
      </c>
      <c r="T34" s="103">
        <f t="shared" ref="T34:T37" si="24">N34/J34-1</f>
        <v>0.31391632652000268</v>
      </c>
      <c r="U34" s="600"/>
    </row>
    <row r="35" spans="2:21" ht="15" customHeight="1">
      <c r="H35" s="567"/>
      <c r="I35" s="620" t="str">
        <f>IF('Summary | Sumário'!$D$6=Names!$B$3,Names!BP63,Names!BQ63)</f>
        <v>Gross loans and advances to customers</v>
      </c>
      <c r="J35" s="29">
        <f>'7.6. Cost of Risk'!U8/1000000</f>
        <v>31.020837</v>
      </c>
      <c r="K35" s="29">
        <f>'7.6. Cost of Risk'!V8/1000000</f>
        <v>32.143623531950205</v>
      </c>
      <c r="L35" s="29">
        <f>'7.6. Cost of Risk'!W8/1000000</f>
        <v>35.674371416580001</v>
      </c>
      <c r="M35" s="29">
        <f>'7.6. Cost of Risk'!X8/1000000</f>
        <v>38.059886803049999</v>
      </c>
      <c r="N35" s="29">
        <f>'7.6. Cost of Risk'!Y8/1000000</f>
        <v>41.182813305160003</v>
      </c>
      <c r="O35" s="89">
        <f>N35/N34*O34</f>
        <v>41.182813305160003</v>
      </c>
      <c r="P35" s="29"/>
      <c r="Q35" s="104">
        <f>O35/M35-1</f>
        <v>8.2052963485423236E-2</v>
      </c>
      <c r="R35" s="104">
        <f>N35/M35-1</f>
        <v>8.2052963485423236E-2</v>
      </c>
      <c r="S35" s="104">
        <f t="shared" si="23"/>
        <v>0.32758549697288974</v>
      </c>
      <c r="T35" s="104">
        <f t="shared" si="24"/>
        <v>0.32758549697288974</v>
      </c>
      <c r="U35" s="600"/>
    </row>
    <row r="36" spans="2:21" ht="15" customHeight="1">
      <c r="D36" s="40"/>
      <c r="H36" s="567"/>
      <c r="I36" s="619" t="str">
        <f>IF('Summary | Sumário'!$D$6=Names!$B$3,Names!BP44,Names!BQ44)</f>
        <v>Other assets</v>
      </c>
      <c r="J36" s="91">
        <f t="shared" ref="J36:M36" si="25">J37-J34</f>
        <v>20.695712603000004</v>
      </c>
      <c r="K36" s="91">
        <f t="shared" si="25"/>
        <v>19.428714413637294</v>
      </c>
      <c r="L36" s="91">
        <f t="shared" si="25"/>
        <v>20.446864095180011</v>
      </c>
      <c r="M36" s="91">
        <f t="shared" si="25"/>
        <v>21.182201426817713</v>
      </c>
      <c r="N36" s="91">
        <f t="shared" ref="N36" si="26">N37-N34</f>
        <v>22.586036996191901</v>
      </c>
      <c r="O36" s="89">
        <f>N36</f>
        <v>22.586036996191901</v>
      </c>
      <c r="P36" s="91"/>
      <c r="Q36" s="103">
        <f>O36/M36-1</f>
        <v>6.6274299875029197E-2</v>
      </c>
      <c r="R36" s="103">
        <f>N36/M36-1</f>
        <v>6.6274299875029197E-2</v>
      </c>
      <c r="S36" s="103">
        <f t="shared" si="23"/>
        <v>9.1338937172807499E-2</v>
      </c>
      <c r="T36" s="103">
        <f t="shared" si="24"/>
        <v>9.1338937172807499E-2</v>
      </c>
      <c r="U36" s="600"/>
    </row>
    <row r="37" spans="2:21" ht="15" customHeight="1">
      <c r="D37" s="46"/>
      <c r="H37" s="567"/>
      <c r="I37" s="35" t="str">
        <f>IF('Summary | Sumário'!$D$6=Names!$B$3,Names!BP45,Names!BQ45)</f>
        <v>Total assets</v>
      </c>
      <c r="J37" s="32">
        <f>'2. BS | BP'!U17/1000000</f>
        <v>61.69710079491</v>
      </c>
      <c r="K37" s="32">
        <f>'2. BS | BP'!V17/1000000</f>
        <v>62.546562496127493</v>
      </c>
      <c r="L37" s="32">
        <f>'2. BS | BP'!W17/1000000</f>
        <v>66.573460406000009</v>
      </c>
      <c r="M37" s="32">
        <f>'2. BS | BP'!X17/1000000</f>
        <v>69.92807740599801</v>
      </c>
      <c r="N37" s="32">
        <f>'2. BS | BP'!Y17/1000000</f>
        <v>76.4584303515269</v>
      </c>
      <c r="O37" s="90">
        <f>O34+O36</f>
        <v>76.4584303515269</v>
      </c>
      <c r="P37" s="32"/>
      <c r="Q37" s="99">
        <f>O37/M37-1</f>
        <v>9.338670799733384E-2</v>
      </c>
      <c r="R37" s="99">
        <f>N37/M37-1</f>
        <v>9.338670799733384E-2</v>
      </c>
      <c r="S37" s="99">
        <f t="shared" si="23"/>
        <v>0.23925483315149076</v>
      </c>
      <c r="T37" s="99">
        <f t="shared" si="24"/>
        <v>0.23925483315149076</v>
      </c>
      <c r="U37" s="600"/>
    </row>
    <row r="38" spans="2:21" ht="15" customHeight="1">
      <c r="H38" s="567"/>
      <c r="I38" s="621"/>
      <c r="J38" s="621"/>
      <c r="K38" s="621"/>
      <c r="L38" s="621"/>
      <c r="M38" s="621"/>
      <c r="N38" s="695"/>
      <c r="O38" s="696"/>
      <c r="P38" s="621"/>
      <c r="Q38" s="621"/>
      <c r="R38" s="621"/>
      <c r="S38" s="621"/>
      <c r="T38" s="621"/>
      <c r="U38" s="600"/>
    </row>
    <row r="39" spans="2:21" ht="15" customHeight="1">
      <c r="H39" s="567"/>
      <c r="I39" s="617" t="str">
        <f>IF('Summary | Sumário'!$D$6=Names!$B$3,Names!BP47,Names!BQ47)</f>
        <v>Liabilities + equity</v>
      </c>
      <c r="J39" s="572"/>
      <c r="K39" s="572"/>
      <c r="L39" s="572"/>
      <c r="M39" s="572"/>
      <c r="N39" s="609"/>
      <c r="O39" s="696"/>
      <c r="P39" s="572"/>
      <c r="Q39" s="603"/>
      <c r="R39" s="603"/>
      <c r="S39" s="603"/>
      <c r="T39" s="603"/>
      <c r="U39" s="600"/>
    </row>
    <row r="40" spans="2:21" ht="15" customHeight="1">
      <c r="H40" s="567"/>
      <c r="I40" s="619" t="str">
        <f>IF('Summary | Sumário'!$D$6=Names!$B$3,Names!BP48,Names!BQ48)</f>
        <v>Total funding</v>
      </c>
      <c r="J40" s="91">
        <f>'5. Funding'!U15/1000000</f>
        <v>43.513032000000003</v>
      </c>
      <c r="K40" s="91">
        <f>'5. Funding'!V15/1000000</f>
        <v>43.783581005715945</v>
      </c>
      <c r="L40" s="91">
        <f>'5. Funding'!W15/1000000</f>
        <v>47.759601090000004</v>
      </c>
      <c r="M40" s="91">
        <f>'5. Funding'!X15/1000000</f>
        <v>50.267847091739995</v>
      </c>
      <c r="N40" s="91">
        <f>'5. Funding'!Y15/1000000</f>
        <v>55.065296396439997</v>
      </c>
      <c r="O40" s="89">
        <f>N40/N34*O34</f>
        <v>55.065296396440004</v>
      </c>
      <c r="P40" s="91"/>
      <c r="Q40" s="103">
        <f>O40/M40-1</f>
        <v>9.5437731716350394E-2</v>
      </c>
      <c r="R40" s="103">
        <f>N40/M40-1</f>
        <v>9.5437731716350394E-2</v>
      </c>
      <c r="S40" s="103">
        <f t="shared" ref="S40:S43" si="27">O40/J40-1</f>
        <v>0.26548975939989661</v>
      </c>
      <c r="T40" s="103">
        <f t="shared" ref="T40:T43" si="28">N40/J40-1</f>
        <v>0.26548975939989639</v>
      </c>
      <c r="U40" s="600"/>
    </row>
    <row r="41" spans="2:21" ht="15" customHeight="1">
      <c r="H41" s="567"/>
      <c r="I41" s="601" t="str">
        <f>IF('Summary | Sumário'!$D$6=Names!$B$3,Names!BP49,Names!BQ49)</f>
        <v>Other liabilities</v>
      </c>
      <c r="J41" s="29">
        <f t="shared" ref="J41:M41" si="29">J43-J40-J42</f>
        <v>10.587377794909997</v>
      </c>
      <c r="K41" s="29">
        <f t="shared" si="29"/>
        <v>10.224529489505514</v>
      </c>
      <c r="L41" s="29">
        <f t="shared" si="29"/>
        <v>10.206323754000005</v>
      </c>
      <c r="M41" s="29">
        <f t="shared" si="29"/>
        <v>10.792892314258015</v>
      </c>
      <c r="N41" s="29">
        <f t="shared" ref="N41" si="30">N43-N40-N42</f>
        <v>12.320826955086902</v>
      </c>
      <c r="O41" s="89">
        <f>O43-O40-O42</f>
        <v>12.320826673967098</v>
      </c>
      <c r="P41" s="29"/>
      <c r="Q41" s="104">
        <f>O41/M41-1</f>
        <v>0.14156857265133604</v>
      </c>
      <c r="R41" s="104">
        <f>N41/M41-1</f>
        <v>0.14156859869808947</v>
      </c>
      <c r="S41" s="104">
        <f t="shared" si="27"/>
        <v>0.16372787602710037</v>
      </c>
      <c r="T41" s="104">
        <f t="shared" si="28"/>
        <v>0.16372790257945469</v>
      </c>
      <c r="U41" s="600"/>
    </row>
    <row r="42" spans="2:21" ht="15" customHeight="1">
      <c r="H42" s="567"/>
      <c r="I42" s="619" t="str">
        <f>IF('Summary | Sumário'!$D$6=Names!$B$3,Names!BP50,Names!BQ50)</f>
        <v>Equity</v>
      </c>
      <c r="J42" s="91">
        <f>'2. BS | BP'!U38/1000000</f>
        <v>7.5966909999999999</v>
      </c>
      <c r="K42" s="91">
        <f>'2. BS | BP'!V38/1000000</f>
        <v>8.5384520009060338</v>
      </c>
      <c r="L42" s="91">
        <f>'2. BS | BP'!W38/1000000</f>
        <v>8.6075355620000007</v>
      </c>
      <c r="M42" s="91">
        <f>'2. BS | BP'!X38/1000000</f>
        <v>8.8673380000000002</v>
      </c>
      <c r="N42" s="91">
        <f>'2. BS | BP'!Y38/1000000</f>
        <v>9.0723070000000003</v>
      </c>
      <c r="O42" s="89">
        <f>N42+(O26-N26)/1000</f>
        <v>9.072307281119798</v>
      </c>
      <c r="P42" s="91"/>
      <c r="Q42" s="103">
        <f>O42/M42-1</f>
        <v>2.311508607428725E-2</v>
      </c>
      <c r="R42" s="103">
        <f>N42/M42-1</f>
        <v>2.3115054371447341E-2</v>
      </c>
      <c r="S42" s="103">
        <f t="shared" si="27"/>
        <v>0.19424461007033167</v>
      </c>
      <c r="T42" s="103">
        <f t="shared" si="28"/>
        <v>0.19424457306477261</v>
      </c>
      <c r="U42" s="600"/>
    </row>
    <row r="43" spans="2:21" ht="15" customHeight="1">
      <c r="H43" s="567"/>
      <c r="I43" s="35" t="str">
        <f>IF('Summary | Sumário'!$D$6=Names!$B$3,Names!BP51,Names!BQ51)</f>
        <v>Total liabilities</v>
      </c>
      <c r="J43" s="32">
        <f t="shared" ref="J43:M43" si="31">J37</f>
        <v>61.69710079491</v>
      </c>
      <c r="K43" s="32">
        <f t="shared" si="31"/>
        <v>62.546562496127493</v>
      </c>
      <c r="L43" s="32">
        <f t="shared" si="31"/>
        <v>66.573460406000009</v>
      </c>
      <c r="M43" s="32">
        <f t="shared" si="31"/>
        <v>69.92807740599801</v>
      </c>
      <c r="N43" s="32">
        <f t="shared" ref="N43" si="32">N37</f>
        <v>76.4584303515269</v>
      </c>
      <c r="O43" s="90">
        <f>O37</f>
        <v>76.4584303515269</v>
      </c>
      <c r="P43" s="87"/>
      <c r="Q43" s="105">
        <f>O43/M43-1</f>
        <v>9.338670799733384E-2</v>
      </c>
      <c r="R43" s="105">
        <f>N43/M43-1</f>
        <v>9.338670799733384E-2</v>
      </c>
      <c r="S43" s="105">
        <f t="shared" si="27"/>
        <v>0.23925483315149076</v>
      </c>
      <c r="T43" s="105">
        <f t="shared" si="28"/>
        <v>0.23925483315149076</v>
      </c>
      <c r="U43" s="600"/>
    </row>
    <row r="44" spans="2:21" ht="15" customHeight="1" thickBot="1">
      <c r="H44" s="575"/>
      <c r="I44" s="576"/>
      <c r="J44" s="576"/>
      <c r="K44" s="576"/>
      <c r="L44" s="576"/>
      <c r="M44" s="576"/>
      <c r="N44" s="576"/>
      <c r="O44" s="576"/>
      <c r="P44" s="576"/>
      <c r="Q44" s="576"/>
      <c r="R44" s="576"/>
      <c r="S44" s="576"/>
      <c r="T44" s="576"/>
      <c r="U44" s="614"/>
    </row>
    <row r="45" spans="2:21" ht="15" customHeight="1" thickBot="1"/>
    <row r="46" spans="2:21" ht="15" customHeight="1">
      <c r="B46" s="579"/>
      <c r="C46" s="580"/>
      <c r="D46" s="580"/>
      <c r="E46" s="581"/>
      <c r="F46" s="581"/>
      <c r="G46" s="580"/>
      <c r="H46" s="580"/>
      <c r="I46" s="580"/>
      <c r="J46" s="580"/>
      <c r="K46" s="580"/>
      <c r="L46" s="580"/>
      <c r="M46" s="580"/>
      <c r="N46" s="580"/>
      <c r="O46" s="580"/>
      <c r="P46" s="580"/>
      <c r="Q46" s="580"/>
      <c r="R46" s="580"/>
      <c r="S46" s="580"/>
      <c r="T46" s="580"/>
      <c r="U46" s="589"/>
    </row>
    <row r="47" spans="2:21" ht="49" customHeight="1">
      <c r="B47" s="590"/>
      <c r="C47" s="723" t="str">
        <f>IF('Summary | Sumário'!$D$6=Names!$B$3,Names!BP60,Names!BQ60)</f>
        <v>Disclaimer:
Please note that this simulation is for illustrative purposes only, does not represent actual financial data and the results may not accurately reflect real-world outcomes. The information provided is based on hypothetical scenarios and assumptions. The simulation is intended as a learning tool and does not provide any investment advice, recommendations, or guidance.
Users are advised to exercise caution when interpreting the results and are encouraged to consult with qualified financial professionals.</v>
      </c>
      <c r="D47" s="723"/>
      <c r="E47" s="723"/>
      <c r="F47" s="723"/>
      <c r="G47" s="723"/>
      <c r="H47" s="723"/>
      <c r="I47" s="723"/>
      <c r="J47" s="723"/>
      <c r="K47" s="723"/>
      <c r="L47" s="723"/>
      <c r="M47" s="723"/>
      <c r="N47" s="723"/>
      <c r="O47" s="723"/>
      <c r="P47" s="723"/>
      <c r="Q47" s="723"/>
      <c r="R47" s="723"/>
      <c r="S47" s="723"/>
      <c r="T47" s="723"/>
      <c r="U47" s="724"/>
    </row>
    <row r="48" spans="2:21" ht="15" customHeight="1" thickBot="1">
      <c r="B48" s="585"/>
      <c r="C48" s="586"/>
      <c r="D48" s="586"/>
      <c r="E48" s="587"/>
      <c r="F48" s="587"/>
      <c r="G48" s="586"/>
      <c r="H48" s="586"/>
      <c r="I48" s="586"/>
      <c r="J48" s="586"/>
      <c r="K48" s="586"/>
      <c r="L48" s="586"/>
      <c r="M48" s="586"/>
      <c r="N48" s="586"/>
      <c r="O48" s="586"/>
      <c r="P48" s="586"/>
      <c r="Q48" s="586"/>
      <c r="R48" s="586"/>
      <c r="S48" s="586"/>
      <c r="T48" s="586"/>
      <c r="U48" s="593"/>
    </row>
    <row r="64" spans="9:9" ht="15" customHeight="1">
      <c r="I64" s="40"/>
    </row>
    <row r="66" spans="3:16" ht="15" customHeight="1">
      <c r="C66" s="721"/>
      <c r="D66" s="721"/>
      <c r="E66" s="721"/>
      <c r="F66" s="721"/>
      <c r="G66" s="721"/>
      <c r="H66" s="721"/>
      <c r="I66" s="721"/>
      <c r="J66" s="721"/>
      <c r="K66" s="721"/>
      <c r="L66" s="721"/>
      <c r="M66" s="721"/>
      <c r="N66" s="721"/>
      <c r="O66" s="721"/>
      <c r="P66" s="41"/>
    </row>
  </sheetData>
  <sheetProtection algorithmName="SHA-512" hashValue="aaPkdl7VAmdl0FjWyFUprrYZot6mX9ZN1xF6uDYVZbdq288pJku1XOlWMFiUI0OECugSsDO63afXnzZjfvGWvg==" saltValue="eucxP3XoG+PeGovYZskrDw==" spinCount="100000" sheet="1" formatCells="0" formatColumns="0" formatRows="0" insertColumns="0" insertRows="0" insertHyperlinks="0" deleteColumns="0" deleteRows="0" sort="0" autoFilter="0" pivotTables="0"/>
  <mergeCells count="6">
    <mergeCell ref="C3:T4"/>
    <mergeCell ref="C5:U5"/>
    <mergeCell ref="C66:O66"/>
    <mergeCell ref="Q8:T8"/>
    <mergeCell ref="Q31:T31"/>
    <mergeCell ref="C47:U47"/>
  </mergeCells>
  <pageMargins left="0.511811024" right="0.511811024" top="0.78740157499999996" bottom="0.78740157499999996" header="0.31496062000000002" footer="0.31496062000000002"/>
  <pageSetup paperSize="9" orientation="portrait" horizontalDpi="0" verticalDpi="0"/>
  <ignoredErrors>
    <ignoredError sqref="G64 J64 D64:E64 D27 O19 O41 O23:O24 O43 O13 O10 O16 O20 O26 O38:O39 O37 K64:L64" unlockedFormula="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3AFE-1A05-E54A-9DA1-4A8675E3D330}">
  <sheetPr>
    <tabColor theme="0" tint="-0.14999847407452621"/>
  </sheetPr>
  <dimension ref="A1:A33"/>
  <sheetViews>
    <sheetView showGridLines="0" zoomScaleNormal="100" workbookViewId="0"/>
  </sheetViews>
  <sheetFormatPr baseColWidth="10" defaultColWidth="10.83203125" defaultRowHeight="15" customHeight="1"/>
  <cols>
    <col min="1" max="16" width="10.83203125" style="2" customWidth="1"/>
    <col min="17" max="16384" width="10.83203125" style="2"/>
  </cols>
  <sheetData>
    <row r="1"/>
    <row r="2"/>
    <row r="3"/>
    <row r="4"/>
    <row r="5"/>
    <row r="6"/>
    <row r="7"/>
    <row r="8"/>
    <row r="9"/>
    <row r="10"/>
    <row r="11"/>
    <row r="12"/>
    <row r="13"/>
    <row r="14"/>
    <row r="15"/>
    <row r="16"/>
    <row r="17"/>
    <row r="18"/>
    <row r="19"/>
    <row r="20"/>
    <row r="21"/>
    <row r="22"/>
    <row r="23"/>
    <row r="24"/>
    <row r="25"/>
    <row r="26"/>
    <row r="27"/>
    <row r="28"/>
    <row r="29"/>
    <row r="30"/>
    <row r="31"/>
    <row r="32"/>
    <row r="33"/>
  </sheetData>
  <sheetProtection algorithmName="SHA-512" hashValue="zKs9tLWYgQ18dhOgHFYiZeGaZKF3aavVRfgAQNgp1lNu1SRxSAP3OhiAVdxbLZvFFuhmcvpvG/UE/tp1UTPJSg==" saltValue="GPmDQsGpXjRKDrtL/bla4Q==" spinCount="100000" sheet="1" scenarios="1" selectLockedCells="1" selectUnlockedCells="1"/>
  <pageMargins left="0.7" right="0.7" top="0.75" bottom="0.75" header="0.3" footer="0.3"/>
  <pageSetup paperSize="9"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B4C1-B1C1-1C41-9FFC-03C030DA8A9B}">
  <sheetPr>
    <tabColor theme="0" tint="-0.14999847407452621"/>
  </sheetPr>
  <dimension ref="A1"/>
  <sheetViews>
    <sheetView showGridLines="0" zoomScaleNormal="100" workbookViewId="0"/>
  </sheetViews>
  <sheetFormatPr baseColWidth="10" defaultColWidth="10.83203125" defaultRowHeight="15"/>
  <cols>
    <col min="1" max="31" width="10.83203125" customWidth="1"/>
  </cols>
  <sheetData/>
  <sheetProtection algorithmName="SHA-512" hashValue="RRNHBUSHeOC7ftmaBXDTB50wG5SNZklLl1CSGkRj9V1oEhs9XqFNy4xdKxIP9i0Py7DaBgRU+vL1qA3YNAxIHQ==" saltValue="I5/4EZD+xPcXZOasA3WTtw==" spinCount="100000" sheet="1" scenarios="1" selectLockedCells="1" selectUnlockedCells="1"/>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32387ac-e78b-4690-a915-72ca2ef0e251">
      <UserInfo>
        <DisplayName/>
        <AccountId xsi:nil="true"/>
        <AccountType/>
      </UserInfo>
    </SharedWithUsers>
    <lcf76f155ced4ddcb4097134ff3c332f xmlns="5d9f6fee-b6ef-4fa4-8eca-ab2ea167719e">
      <Terms xmlns="http://schemas.microsoft.com/office/infopath/2007/PartnerControls"/>
    </lcf76f155ced4ddcb4097134ff3c332f>
    <TaxCatchAll xmlns="732387ac-e78b-4690-a915-72ca2ef0e2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E818A26B56FC449FC3FC4B33B773FD" ma:contentTypeVersion="16" ma:contentTypeDescription="Create a new document." ma:contentTypeScope="" ma:versionID="df4f162508ec91738c646fc934dde22c">
  <xsd:schema xmlns:xsd="http://www.w3.org/2001/XMLSchema" xmlns:xs="http://www.w3.org/2001/XMLSchema" xmlns:p="http://schemas.microsoft.com/office/2006/metadata/properties" xmlns:ns2="5d9f6fee-b6ef-4fa4-8eca-ab2ea167719e" xmlns:ns3="732387ac-e78b-4690-a915-72ca2ef0e251" targetNamespace="http://schemas.microsoft.com/office/2006/metadata/properties" ma:root="true" ma:fieldsID="654138d876e56177fb2dbeaa804090c0" ns2:_="" ns3:_="">
    <xsd:import namespace="5d9f6fee-b6ef-4fa4-8eca-ab2ea167719e"/>
    <xsd:import namespace="732387ac-e78b-4690-a915-72ca2ef0e2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9f6fee-b6ef-4fa4-8eca-ab2ea16771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5be271f-47c9-4e56-9709-cda91bb8546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387ac-e78b-4690-a915-72ca2ef0e25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12c62a7-6304-4677-961b-98b31ee99232}" ma:internalName="TaxCatchAll" ma:showField="CatchAllData" ma:web="732387ac-e78b-4690-a915-72ca2ef0e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2DE5B4-D031-4212-9547-CB6B5BD9375B}">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5d9f6fee-b6ef-4fa4-8eca-ab2ea167719e"/>
    <ds:schemaRef ds:uri="http://schemas.microsoft.com/office/infopath/2007/PartnerControls"/>
    <ds:schemaRef ds:uri="http://schemas.openxmlformats.org/package/2006/metadata/core-properties"/>
    <ds:schemaRef ds:uri="732387ac-e78b-4690-a915-72ca2ef0e251"/>
    <ds:schemaRef ds:uri="http://purl.org/dc/dcmitype/"/>
  </ds:schemaRefs>
</ds:datastoreItem>
</file>

<file path=customXml/itemProps2.xml><?xml version="1.0" encoding="utf-8"?>
<ds:datastoreItem xmlns:ds="http://schemas.openxmlformats.org/officeDocument/2006/customXml" ds:itemID="{AF9E1C11-B7C8-44F6-B537-0E55B6393F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9f6fee-b6ef-4fa4-8eca-ab2ea167719e"/>
    <ds:schemaRef ds:uri="732387ac-e78b-4690-a915-72ca2ef0e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3CD487-4B02-4B36-BF83-23F3D0CAFB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24</vt:i4>
      </vt:variant>
    </vt:vector>
  </HeadingPairs>
  <TitlesOfParts>
    <vt:vector size="24" baseType="lpstr">
      <vt:lpstr>Names</vt:lpstr>
      <vt:lpstr>Summary | Sumário</vt:lpstr>
      <vt:lpstr>1. Highlights</vt:lpstr>
      <vt:lpstr>2. BS | BP</vt:lpstr>
      <vt:lpstr>3. IS | DRE</vt:lpstr>
      <vt:lpstr>4. Credit | Crédito</vt:lpstr>
      <vt:lpstr>5. Funding</vt:lpstr>
      <vt:lpstr>6. Fee Revenue | R. de Serviços</vt:lpstr>
      <vt:lpstr>7. Financial KPIs (Financeiros)</vt:lpstr>
      <vt:lpstr>7.1. Tier I Ratio | Basileia</vt:lpstr>
      <vt:lpstr>7.2. NIMs</vt:lpstr>
      <vt:lpstr>7.3. Efficiency | Eficiência</vt:lpstr>
      <vt:lpstr>7.4. CTS | Custo de servir</vt:lpstr>
      <vt:lpstr>7.5. ARPAC</vt:lpstr>
      <vt:lpstr>7.6. Cost of Risk</vt:lpstr>
      <vt:lpstr>1. Inter Invest</vt:lpstr>
      <vt:lpstr>2. Inter Seguros</vt:lpstr>
      <vt:lpstr>3. Inter Shop</vt:lpstr>
      <vt:lpstr>4. Digital Acou. | Conta Dig.</vt:lpstr>
      <vt:lpstr>5. Oper. KPIs | KPIs Oper.</vt:lpstr>
      <vt:lpstr>1. Market Data | Dado de Mer.</vt:lpstr>
      <vt:lpstr>2. Simulation | Simulação</vt:lpstr>
      <vt:lpstr>3. Disclaimer</vt:lpstr>
      <vt:lpstr>4. Glossary | Glossário</vt:lpstr>
    </vt:vector>
  </TitlesOfParts>
  <Manager/>
  <Company>Inter&amp;Co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Inter&amp;Co - Historical Data</dc:title>
  <dc:subject/>
  <dc:creator>Fernand Marinho Fernandes</dc:creator>
  <cp:keywords/>
  <dc:description/>
  <cp:lastModifiedBy>Fernando Marinho Fernandes</cp:lastModifiedBy>
  <cp:revision/>
  <dcterms:created xsi:type="dcterms:W3CDTF">2016-08-05T17:50:49Z</dcterms:created>
  <dcterms:modified xsi:type="dcterms:W3CDTF">2025-02-18T17:21:20Z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24d9c5-38c1-495b-ab07-d4fc08626d86_Enabled">
    <vt:lpwstr>true</vt:lpwstr>
  </property>
  <property fmtid="{D5CDD505-2E9C-101B-9397-08002B2CF9AE}" pid="3" name="MSIP_Label_5d24d9c5-38c1-495b-ab07-d4fc08626d86_SetDate">
    <vt:lpwstr>2022-02-22T04:35:44Z</vt:lpwstr>
  </property>
  <property fmtid="{D5CDD505-2E9C-101B-9397-08002B2CF9AE}" pid="4" name="MSIP_Label_5d24d9c5-38c1-495b-ab07-d4fc08626d86_Method">
    <vt:lpwstr>Privileged</vt:lpwstr>
  </property>
  <property fmtid="{D5CDD505-2E9C-101B-9397-08002B2CF9AE}" pid="5" name="MSIP_Label_5d24d9c5-38c1-495b-ab07-d4fc08626d86_Name">
    <vt:lpwstr>Público</vt:lpwstr>
  </property>
  <property fmtid="{D5CDD505-2E9C-101B-9397-08002B2CF9AE}" pid="6" name="MSIP_Label_5d24d9c5-38c1-495b-ab07-d4fc08626d86_SiteId">
    <vt:lpwstr>05e665c9-c502-4a19-98a5-a913a6f52be8</vt:lpwstr>
  </property>
  <property fmtid="{D5CDD505-2E9C-101B-9397-08002B2CF9AE}" pid="7" name="MSIP_Label_5d24d9c5-38c1-495b-ab07-d4fc08626d86_ActionId">
    <vt:lpwstr>5a590cc8-4202-46c6-9f11-08b8c9841dbb</vt:lpwstr>
  </property>
  <property fmtid="{D5CDD505-2E9C-101B-9397-08002B2CF9AE}" pid="8" name="MSIP_Label_5d24d9c5-38c1-495b-ab07-d4fc08626d86_ContentBits">
    <vt:lpwstr>0</vt:lpwstr>
  </property>
  <property fmtid="{D5CDD505-2E9C-101B-9397-08002B2CF9AE}" pid="9" name="ContentTypeId">
    <vt:lpwstr>0x0101003BE818A26B56FC449FC3FC4B33B773FD</vt:lpwstr>
  </property>
  <property fmtid="{D5CDD505-2E9C-101B-9397-08002B2CF9AE}" pid="10" name="Order">
    <vt:i4>174300</vt:i4>
  </property>
  <property fmtid="{D5CDD505-2E9C-101B-9397-08002B2CF9AE}" pid="11" name="SharedWithUsers">
    <vt:lpwstr>149;#Clara Andrade Santi;#18;#Felipe Lobo Rezende;#1109;#Pedro Henrique Leite Bontempo</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_activity">
    <vt:lpwstr>{"FileActivityType":"9","FileActivityTimeStamp":"2022-11-08T17:41:21.233Z","FileActivityUsersOnPage":[{"DisplayName":"Maria Clara Loschi Ferreira","Id":"bi001615@bancointer.com.br"},{"DisplayName":"Pedro Henrique Leite Bontempo","Id":"bi005720@bancointer.com.br"}]}</vt:lpwstr>
  </property>
  <property fmtid="{D5CDD505-2E9C-101B-9397-08002B2CF9AE}" pid="16" name="_ExtendedDescription">
    <vt:lpwstr/>
  </property>
  <property fmtid="{D5CDD505-2E9C-101B-9397-08002B2CF9AE}" pid="17" name="TriggerFlowInfo">
    <vt:lpwstr/>
  </property>
  <property fmtid="{D5CDD505-2E9C-101B-9397-08002B2CF9AE}" pid="18" name="xd_ProgID">
    <vt:lpwstr/>
  </property>
  <property fmtid="{D5CDD505-2E9C-101B-9397-08002B2CF9AE}" pid="19" name="TemplateUrl">
    <vt:lpwstr/>
  </property>
  <property fmtid="{D5CDD505-2E9C-101B-9397-08002B2CF9AE}" pid="20" name="xd_Signature">
    <vt:bool>false</vt:bool>
  </property>
  <property fmtid="{D5CDD505-2E9C-101B-9397-08002B2CF9AE}" pid="21" name="MediaServiceImageTags">
    <vt:lpwstr/>
  </property>
</Properties>
</file>