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codeName="ThisWorkbook"/>
  <mc:AlternateContent xmlns:mc="http://schemas.openxmlformats.org/markup-compatibility/2006">
    <mc:Choice Requires="x15">
      <x15ac:absPath xmlns:x15ac="http://schemas.microsoft.com/office/spreadsheetml/2010/11/ac" url="/Users/bi010936/Desktop/"/>
    </mc:Choice>
  </mc:AlternateContent>
  <xr:revisionPtr revIDLastSave="0" documentId="13_ncr:1_{324C9EF1-C9DC-D84B-9DFA-83F239ECE6B9}" xr6:coauthVersionLast="47" xr6:coauthVersionMax="47" xr10:uidLastSave="{00000000-0000-0000-0000-000000000000}"/>
  <bookViews>
    <workbookView xWindow="0" yWindow="620" windowWidth="28800" windowHeight="17380" tabRatio="502" activeTab="1" xr2:uid="{00000000-000D-0000-FFFF-FFFF00000000}"/>
  </bookViews>
  <sheets>
    <sheet name="Names" sheetId="40" state="hidden" r:id="rId1"/>
    <sheet name="Summary | Sumário" sheetId="13" r:id="rId2"/>
    <sheet name="1. Highlights" sheetId="48" r:id="rId3"/>
    <sheet name="2. BS | BP" sheetId="20" r:id="rId4"/>
    <sheet name="3. IS | DRE" sheetId="18" r:id="rId5"/>
    <sheet name="4. Funding" sheetId="76" r:id="rId6"/>
    <sheet name="5. IEP" sheetId="59" r:id="rId7"/>
    <sheet name="6. NII" sheetId="58" r:id="rId8"/>
    <sheet name="7. Fee Revenue | R. de Serv " sheetId="60" r:id="rId9"/>
    <sheet name="8. Expenses" sheetId="61" r:id="rId10"/>
    <sheet name="9. Financial KPIs | KPIs Fin." sheetId="74" r:id="rId11"/>
    <sheet name="9.1 Asset Quality" sheetId="62" r:id="rId12"/>
    <sheet name="9.2 NIM &amp; Yields" sheetId="63" r:id="rId13"/>
    <sheet name="9.3 Fee Income Ratio" sheetId="64" r:id="rId14"/>
    <sheet name="9.4 Efficiency | Eficiência" sheetId="65" r:id="rId15"/>
    <sheet name="9.5 CTS | Custo de servir " sheetId="66" r:id="rId16"/>
    <sheet name="9.6 ARPAC" sheetId="67" r:id="rId17"/>
    <sheet name="9.7 Cost of Funding" sheetId="68" r:id="rId18"/>
    <sheet name="9.8 ROE" sheetId="78" r:id="rId19"/>
    <sheet name="9.9 Capital | Basileia" sheetId="75" r:id="rId20"/>
    <sheet name="9.10 Income Tax Rate" sheetId="79" r:id="rId21"/>
    <sheet name="1. Inter Invest" sheetId="69" r:id="rId22"/>
    <sheet name="2. Inter Seguros" sheetId="70" r:id="rId23"/>
    <sheet name="3. Inter Shop" sheetId="71" r:id="rId24"/>
    <sheet name="4. Digital Acou. | Conta Di" sheetId="72" r:id="rId25"/>
    <sheet name="5. Oper. KPIs | KPIs Oper." sheetId="73" r:id="rId26"/>
    <sheet name="1. Market Data | Dado de Mer." sheetId="54" r:id="rId27"/>
    <sheet name="2. Simulation | Simulação" sheetId="52" state="hidden" r:id="rId28"/>
    <sheet name="2. Disclaimer" sheetId="46" r:id="rId29"/>
    <sheet name="3. Glossary | Glossário" sheetId="44" r:id="rId30"/>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66" l="1"/>
  <c r="AE29" i="18"/>
  <c r="B12" i="60"/>
  <c r="B16" i="58"/>
  <c r="AB2" i="58"/>
  <c r="AA2" i="58"/>
  <c r="Z2" i="58"/>
  <c r="Y2" i="58"/>
  <c r="X2" i="58"/>
  <c r="W2" i="58"/>
  <c r="V2" i="58"/>
  <c r="U2" i="58"/>
  <c r="T2" i="58"/>
  <c r="S2" i="58"/>
  <c r="R2" i="58"/>
  <c r="Q2" i="58"/>
  <c r="P2" i="58"/>
  <c r="O2" i="58"/>
  <c r="N2" i="58"/>
  <c r="M2" i="58"/>
  <c r="L2" i="58"/>
  <c r="K2" i="58"/>
  <c r="J2" i="58"/>
  <c r="H2" i="58"/>
  <c r="G2" i="58"/>
  <c r="F2" i="58"/>
  <c r="E2" i="58"/>
  <c r="D2" i="58"/>
  <c r="C2" i="58"/>
  <c r="B17" i="18"/>
  <c r="AA2" i="18"/>
  <c r="AB2" i="18"/>
  <c r="B7" i="61"/>
  <c r="S2" i="61"/>
  <c r="S19" i="65"/>
  <c r="B8" i="61"/>
  <c r="S20" i="65"/>
  <c r="B9" i="61"/>
  <c r="S21" i="65"/>
  <c r="S18" i="65"/>
  <c r="S5" i="65"/>
  <c r="B5" i="58"/>
  <c r="S36" i="58"/>
  <c r="B14" i="58"/>
  <c r="S37" i="58"/>
  <c r="B21" i="58"/>
  <c r="S38" i="58"/>
  <c r="B25" i="58"/>
  <c r="S39" i="58"/>
  <c r="B32" i="58"/>
  <c r="S40" i="58"/>
  <c r="S41" i="58"/>
  <c r="S23" i="65"/>
  <c r="S10" i="65"/>
  <c r="B5" i="60"/>
  <c r="S2" i="60"/>
  <c r="B15" i="60"/>
  <c r="B16" i="60"/>
  <c r="B17" i="60"/>
  <c r="B18" i="60"/>
  <c r="S14" i="60"/>
  <c r="S19" i="60"/>
  <c r="S24" i="65"/>
  <c r="S11" i="65"/>
  <c r="B20" i="18"/>
  <c r="S2" i="18"/>
  <c r="S25" i="65"/>
  <c r="S13" i="65"/>
  <c r="S12" i="65"/>
  <c r="S9" i="65"/>
  <c r="S15" i="65"/>
  <c r="D35" i="48"/>
  <c r="T2" i="61"/>
  <c r="T19" i="65"/>
  <c r="T20" i="65"/>
  <c r="T21" i="65"/>
  <c r="T18" i="65"/>
  <c r="T5" i="65"/>
  <c r="T36" i="58"/>
  <c r="T37" i="58"/>
  <c r="T38" i="58"/>
  <c r="T39" i="58"/>
  <c r="T40" i="58"/>
  <c r="T41" i="58"/>
  <c r="T23" i="65"/>
  <c r="T10" i="65"/>
  <c r="T2" i="60"/>
  <c r="T14" i="60"/>
  <c r="T19" i="60"/>
  <c r="T24" i="65"/>
  <c r="T11" i="65"/>
  <c r="T2" i="18"/>
  <c r="T25" i="65"/>
  <c r="T13" i="65"/>
  <c r="T12" i="65"/>
  <c r="T9" i="65"/>
  <c r="T15" i="65"/>
  <c r="E35" i="48"/>
  <c r="U2" i="61"/>
  <c r="U19" i="65"/>
  <c r="U20" i="65"/>
  <c r="U21" i="65"/>
  <c r="U18" i="65"/>
  <c r="U5" i="65"/>
  <c r="U36" i="58"/>
  <c r="U37" i="58"/>
  <c r="U38" i="58"/>
  <c r="U39" i="58"/>
  <c r="U40" i="58"/>
  <c r="U41" i="58"/>
  <c r="U23" i="65"/>
  <c r="U10" i="65"/>
  <c r="U2" i="60"/>
  <c r="U14" i="60"/>
  <c r="U19" i="60"/>
  <c r="U24" i="65"/>
  <c r="U11" i="65"/>
  <c r="U2" i="18"/>
  <c r="U25" i="65"/>
  <c r="U13" i="65"/>
  <c r="U12" i="65"/>
  <c r="U9" i="65"/>
  <c r="U15" i="65"/>
  <c r="F35" i="48"/>
  <c r="V2" i="61"/>
  <c r="V19" i="65"/>
  <c r="V20" i="65"/>
  <c r="V21" i="65"/>
  <c r="V18" i="65"/>
  <c r="V5" i="65"/>
  <c r="V36" i="58"/>
  <c r="V37" i="58"/>
  <c r="V38" i="58"/>
  <c r="V39" i="58"/>
  <c r="V40" i="58"/>
  <c r="V41" i="58"/>
  <c r="V23" i="65"/>
  <c r="V10" i="65"/>
  <c r="V2" i="60"/>
  <c r="V14" i="60"/>
  <c r="V19" i="60"/>
  <c r="V24" i="65"/>
  <c r="V11" i="65"/>
  <c r="V2" i="18"/>
  <c r="V25" i="65"/>
  <c r="V13" i="65"/>
  <c r="V12" i="65"/>
  <c r="V9" i="65"/>
  <c r="V15" i="65"/>
  <c r="G35" i="48"/>
  <c r="W2" i="61"/>
  <c r="W19" i="65"/>
  <c r="W20" i="65"/>
  <c r="W21" i="65"/>
  <c r="W18" i="65"/>
  <c r="W5" i="65"/>
  <c r="W36" i="58"/>
  <c r="W37" i="58"/>
  <c r="W38" i="58"/>
  <c r="W39" i="58"/>
  <c r="W40" i="58"/>
  <c r="W41" i="58"/>
  <c r="W23" i="65"/>
  <c r="W10" i="65"/>
  <c r="W2" i="60"/>
  <c r="W14" i="60"/>
  <c r="W19" i="60"/>
  <c r="W24" i="65"/>
  <c r="W11" i="65"/>
  <c r="W2" i="18"/>
  <c r="W25" i="65"/>
  <c r="W13" i="65"/>
  <c r="W12" i="65"/>
  <c r="W9" i="65"/>
  <c r="W15" i="65"/>
  <c r="H35" i="48"/>
  <c r="X2" i="61"/>
  <c r="X19" i="65"/>
  <c r="X20" i="65"/>
  <c r="X21" i="65"/>
  <c r="X18" i="65"/>
  <c r="X5" i="65"/>
  <c r="X36" i="58"/>
  <c r="X37" i="58"/>
  <c r="X38" i="58"/>
  <c r="X39" i="58"/>
  <c r="X40" i="58"/>
  <c r="X41" i="58"/>
  <c r="X23" i="65"/>
  <c r="X10" i="65"/>
  <c r="X2" i="60"/>
  <c r="X14" i="60"/>
  <c r="X19" i="60"/>
  <c r="X24" i="65"/>
  <c r="X11" i="65"/>
  <c r="X2" i="18"/>
  <c r="X25" i="65"/>
  <c r="X13" i="65"/>
  <c r="X12" i="65"/>
  <c r="X9" i="65"/>
  <c r="X15" i="65"/>
  <c r="I35" i="48"/>
  <c r="Y2" i="61"/>
  <c r="Y19" i="65"/>
  <c r="Y20" i="65"/>
  <c r="Y21" i="65"/>
  <c r="Y18" i="65"/>
  <c r="Y5" i="65"/>
  <c r="B6" i="58"/>
  <c r="B11" i="58"/>
  <c r="B12" i="58"/>
  <c r="B13" i="58"/>
  <c r="Y5" i="58"/>
  <c r="Y36" i="58"/>
  <c r="Y37" i="58"/>
  <c r="Y38" i="58"/>
  <c r="Y39" i="58"/>
  <c r="Y40" i="58"/>
  <c r="Y41" i="58"/>
  <c r="Y23" i="65"/>
  <c r="Y10" i="65"/>
  <c r="Y2" i="60"/>
  <c r="Y14" i="60"/>
  <c r="Y19" i="60"/>
  <c r="Y24" i="65"/>
  <c r="Y11" i="65"/>
  <c r="Y2" i="18"/>
  <c r="Y25" i="65"/>
  <c r="Y13" i="65"/>
  <c r="Y12" i="65"/>
  <c r="Y9" i="65"/>
  <c r="Y15" i="65"/>
  <c r="J35" i="48"/>
  <c r="Z2" i="61"/>
  <c r="Z19" i="65"/>
  <c r="Z20" i="65"/>
  <c r="Z21" i="65"/>
  <c r="Z18" i="65"/>
  <c r="Z5" i="65"/>
  <c r="Z5" i="58"/>
  <c r="Z36" i="58"/>
  <c r="Z37" i="58"/>
  <c r="Z38" i="58"/>
  <c r="Z39" i="58"/>
  <c r="Z40" i="58"/>
  <c r="Z41" i="58"/>
  <c r="Z23" i="65"/>
  <c r="Z10" i="65"/>
  <c r="Z2" i="60"/>
  <c r="Z14" i="60"/>
  <c r="Z19" i="60"/>
  <c r="Z24" i="65"/>
  <c r="Z11" i="65"/>
  <c r="Z2" i="18"/>
  <c r="Z25" i="65"/>
  <c r="Z13" i="65"/>
  <c r="Z12" i="65"/>
  <c r="Z9" i="65"/>
  <c r="Z15" i="65"/>
  <c r="K35" i="48"/>
  <c r="AA2" i="61"/>
  <c r="AA19" i="65"/>
  <c r="AA20" i="65"/>
  <c r="AA21" i="65"/>
  <c r="AA18" i="65"/>
  <c r="AA5" i="65"/>
  <c r="AA5" i="58"/>
  <c r="AA36" i="58"/>
  <c r="AA37" i="58"/>
  <c r="AA38" i="58"/>
  <c r="AA39" i="58"/>
  <c r="AA40" i="58"/>
  <c r="AA41" i="58"/>
  <c r="AA23" i="65"/>
  <c r="AA10" i="65"/>
  <c r="AA2" i="60"/>
  <c r="AA14" i="60"/>
  <c r="AA19" i="60"/>
  <c r="AA24" i="65"/>
  <c r="AA11" i="65"/>
  <c r="AA25" i="65"/>
  <c r="AA13" i="65"/>
  <c r="AA12" i="65"/>
  <c r="AA9" i="65"/>
  <c r="AA15" i="65"/>
  <c r="L35" i="48"/>
  <c r="AB2" i="61"/>
  <c r="AB19" i="65"/>
  <c r="AB20" i="65"/>
  <c r="AB21" i="65"/>
  <c r="AB18" i="65"/>
  <c r="AB5" i="65"/>
  <c r="AB5" i="58"/>
  <c r="AB36" i="58"/>
  <c r="AB37" i="58"/>
  <c r="AB38" i="58"/>
  <c r="AB39" i="58"/>
  <c r="AB40" i="58"/>
  <c r="AB41" i="58"/>
  <c r="AB23" i="65"/>
  <c r="AB10" i="65"/>
  <c r="AB2" i="60"/>
  <c r="AB14" i="60"/>
  <c r="AB19" i="60"/>
  <c r="AB24" i="65"/>
  <c r="AB11" i="65"/>
  <c r="AB25" i="65"/>
  <c r="AB13" i="65"/>
  <c r="AB12" i="65"/>
  <c r="AB9" i="65"/>
  <c r="AB15" i="65"/>
  <c r="M35" i="48"/>
  <c r="R2" i="61"/>
  <c r="R19" i="65"/>
  <c r="R20" i="65"/>
  <c r="R21" i="65"/>
  <c r="R18" i="65"/>
  <c r="R5" i="65"/>
  <c r="R36" i="58"/>
  <c r="R37" i="58"/>
  <c r="R38" i="58"/>
  <c r="R39" i="58"/>
  <c r="R40" i="58"/>
  <c r="R41" i="58"/>
  <c r="R23" i="65"/>
  <c r="R10" i="65"/>
  <c r="R2" i="60"/>
  <c r="R14" i="60"/>
  <c r="R19" i="60"/>
  <c r="R24" i="65"/>
  <c r="R11" i="65"/>
  <c r="R2" i="18"/>
  <c r="R25" i="65"/>
  <c r="R13" i="65"/>
  <c r="R12" i="65"/>
  <c r="R9" i="65"/>
  <c r="R15" i="65"/>
  <c r="C35" i="48"/>
  <c r="B26" i="65"/>
  <c r="B17" i="65"/>
  <c r="B15" i="65"/>
  <c r="B4" i="65"/>
  <c r="B14" i="18"/>
  <c r="B5" i="20"/>
  <c r="B10" i="76"/>
  <c r="AB2" i="76"/>
  <c r="B22" i="18"/>
  <c r="Q2" i="18"/>
  <c r="P2" i="18"/>
  <c r="O2" i="18"/>
  <c r="N2" i="18"/>
  <c r="M2" i="18"/>
  <c r="L2" i="18"/>
  <c r="K2" i="18"/>
  <c r="J2" i="18"/>
  <c r="H2" i="18"/>
  <c r="G2" i="18"/>
  <c r="F2" i="18"/>
  <c r="E2" i="18"/>
  <c r="D2" i="18"/>
  <c r="C2" i="18"/>
  <c r="AE23" i="75"/>
  <c r="AD23" i="75"/>
  <c r="AE22" i="75"/>
  <c r="AD22" i="75"/>
  <c r="AE21" i="75"/>
  <c r="AD21" i="75"/>
  <c r="AE20" i="75"/>
  <c r="AE19" i="75"/>
  <c r="AE17" i="75"/>
  <c r="AE16" i="75"/>
  <c r="AE15" i="75"/>
  <c r="AE13" i="75"/>
  <c r="AE12" i="75"/>
  <c r="AE11" i="75"/>
  <c r="AE10" i="75"/>
  <c r="AE9" i="75"/>
  <c r="AE7" i="75"/>
  <c r="AE6" i="75"/>
  <c r="AE5" i="75"/>
  <c r="AD20" i="75"/>
  <c r="AD19" i="75"/>
  <c r="AD17" i="75"/>
  <c r="AD16" i="75"/>
  <c r="AD15" i="75"/>
  <c r="AD13" i="75"/>
  <c r="AD12" i="75"/>
  <c r="AD11" i="75"/>
  <c r="AD10" i="75"/>
  <c r="AD9" i="75"/>
  <c r="AD7" i="75"/>
  <c r="AD6" i="75"/>
  <c r="AD5" i="75"/>
  <c r="B25" i="18"/>
  <c r="B9" i="18"/>
  <c r="B52" i="62"/>
  <c r="AE17" i="68"/>
  <c r="AD17" i="68"/>
  <c r="B6" i="68"/>
  <c r="AB2" i="68"/>
  <c r="AB15" i="68"/>
  <c r="B11" i="68"/>
  <c r="B29" i="18"/>
  <c r="B28" i="18"/>
  <c r="B23" i="18"/>
  <c r="G13" i="78"/>
  <c r="G12" i="78"/>
  <c r="B26" i="18"/>
  <c r="B12" i="78"/>
  <c r="AB17" i="74"/>
  <c r="M2" i="48"/>
  <c r="T22" i="54"/>
  <c r="P22" i="54"/>
  <c r="Q22" i="54"/>
  <c r="R22" i="54"/>
  <c r="U22" i="54"/>
  <c r="T21" i="54"/>
  <c r="U21" i="54"/>
  <c r="W21" i="54"/>
  <c r="U19" i="54"/>
  <c r="T19" i="54"/>
  <c r="X20" i="54"/>
  <c r="W20" i="54"/>
  <c r="X18" i="54"/>
  <c r="W18" i="54"/>
  <c r="Z18" i="54"/>
  <c r="T13" i="54"/>
  <c r="U11" i="54"/>
  <c r="U10" i="54"/>
  <c r="X6" i="54"/>
  <c r="X5" i="54"/>
  <c r="U2" i="54"/>
  <c r="W2" i="73"/>
  <c r="V2" i="72"/>
  <c r="W2" i="72"/>
  <c r="V2" i="71"/>
  <c r="Z11" i="70"/>
  <c r="Y11" i="70"/>
  <c r="W2" i="70"/>
  <c r="W2" i="69"/>
  <c r="AB2" i="79"/>
  <c r="AB2" i="75"/>
  <c r="AB2" i="78"/>
  <c r="AB2" i="67"/>
  <c r="AB2" i="66"/>
  <c r="AB2" i="65"/>
  <c r="AB2" i="64"/>
  <c r="AB2" i="63"/>
  <c r="AA2" i="68"/>
  <c r="AB7" i="79"/>
  <c r="AB2" i="62"/>
  <c r="AB2" i="74"/>
  <c r="AB2" i="59"/>
  <c r="X22" i="54"/>
  <c r="U23" i="54"/>
  <c r="W22" i="54"/>
  <c r="W19" i="54"/>
  <c r="AB2" i="20"/>
  <c r="H46" i="13"/>
  <c r="B4" i="79"/>
  <c r="B13" i="79"/>
  <c r="B15" i="79"/>
  <c r="B8" i="79"/>
  <c r="B16" i="79"/>
  <c r="B11" i="79"/>
  <c r="B2" i="79"/>
  <c r="B10" i="79"/>
  <c r="B5" i="79"/>
  <c r="B7" i="79"/>
  <c r="AE2" i="79"/>
  <c r="AD2" i="79"/>
  <c r="AA2" i="79"/>
  <c r="Z2" i="79"/>
  <c r="Y2" i="79"/>
  <c r="X2" i="79"/>
  <c r="W2" i="79"/>
  <c r="V2" i="79"/>
  <c r="U2" i="79"/>
  <c r="T2" i="79"/>
  <c r="S2" i="79"/>
  <c r="R2" i="79"/>
  <c r="Q2" i="79"/>
  <c r="P2" i="79"/>
  <c r="O2" i="79"/>
  <c r="N2" i="79"/>
  <c r="M2" i="79"/>
  <c r="L2" i="79"/>
  <c r="K2" i="79"/>
  <c r="J2" i="79"/>
  <c r="H2" i="79"/>
  <c r="G2" i="79"/>
  <c r="F2" i="79"/>
  <c r="E2" i="79"/>
  <c r="D2" i="79"/>
  <c r="C2" i="79"/>
  <c r="G7" i="79"/>
  <c r="G10" i="79"/>
  <c r="H7" i="79"/>
  <c r="H10" i="79"/>
  <c r="Z7" i="79"/>
  <c r="Z10" i="79"/>
  <c r="Y7" i="79"/>
  <c r="Y10" i="79"/>
  <c r="W7" i="79"/>
  <c r="W10" i="79"/>
  <c r="V7" i="79"/>
  <c r="V10" i="79"/>
  <c r="U7" i="79"/>
  <c r="U10" i="79"/>
  <c r="T7" i="79"/>
  <c r="S7" i="79"/>
  <c r="S10" i="79"/>
  <c r="R7" i="79"/>
  <c r="Q7" i="79"/>
  <c r="Q10" i="79"/>
  <c r="P7" i="79"/>
  <c r="P10" i="79"/>
  <c r="O7" i="79"/>
  <c r="O10" i="79"/>
  <c r="N7" i="79"/>
  <c r="N10" i="79"/>
  <c r="M7" i="79"/>
  <c r="M10" i="79"/>
  <c r="L7" i="79"/>
  <c r="L10" i="79"/>
  <c r="K7" i="79"/>
  <c r="J7" i="79"/>
  <c r="J10" i="79"/>
  <c r="AA7" i="79"/>
  <c r="AA10" i="79"/>
  <c r="B2" i="48"/>
  <c r="C5" i="52"/>
  <c r="C3" i="52"/>
  <c r="T6" i="54"/>
  <c r="W6" i="54"/>
  <c r="T5" i="54"/>
  <c r="W5" i="54"/>
  <c r="B12" i="74"/>
  <c r="D7" i="79"/>
  <c r="D10" i="79"/>
  <c r="E7" i="79"/>
  <c r="E10" i="79"/>
  <c r="F7" i="79"/>
  <c r="F10" i="79"/>
  <c r="C7" i="79"/>
  <c r="C10" i="79"/>
  <c r="X7" i="79"/>
  <c r="B12" i="65"/>
  <c r="B14" i="65"/>
  <c r="B13" i="65"/>
  <c r="B11" i="65"/>
  <c r="B10" i="65"/>
  <c r="B9" i="65"/>
  <c r="B8" i="65"/>
  <c r="B7" i="65"/>
  <c r="B6" i="65"/>
  <c r="B5" i="65"/>
  <c r="B27" i="62"/>
  <c r="B22" i="62"/>
  <c r="B21" i="62"/>
  <c r="B8" i="75"/>
  <c r="B6" i="75"/>
  <c r="X10" i="79"/>
  <c r="B10" i="73"/>
  <c r="L2" i="48"/>
  <c r="AA17" i="74"/>
  <c r="AD17" i="74"/>
  <c r="E24" i="52"/>
  <c r="O9" i="52"/>
  <c r="O32" i="52"/>
  <c r="N9" i="52"/>
  <c r="N32" i="52"/>
  <c r="T11" i="54"/>
  <c r="W11" i="54"/>
  <c r="T10" i="54"/>
  <c r="W10" i="54"/>
  <c r="S13" i="54"/>
  <c r="V2" i="73"/>
  <c r="U2" i="71"/>
  <c r="S22" i="54"/>
  <c r="V2" i="70"/>
  <c r="S21" i="54"/>
  <c r="U2" i="69"/>
  <c r="V2" i="69"/>
  <c r="S19" i="54"/>
  <c r="AA2" i="75"/>
  <c r="T2" i="54"/>
  <c r="AA2" i="78"/>
  <c r="AA2" i="67"/>
  <c r="AA2" i="66"/>
  <c r="AA2" i="65"/>
  <c r="AA2" i="64"/>
  <c r="AA2" i="63"/>
  <c r="B21" i="67"/>
  <c r="W2" i="67"/>
  <c r="B22" i="67"/>
  <c r="B23" i="67"/>
  <c r="B24" i="67"/>
  <c r="B27" i="67"/>
  <c r="B14" i="67"/>
  <c r="V2" i="67"/>
  <c r="Z2" i="67"/>
  <c r="Y2" i="67"/>
  <c r="B7" i="66"/>
  <c r="W2" i="66"/>
  <c r="B8" i="66"/>
  <c r="B9" i="66"/>
  <c r="B11" i="66"/>
  <c r="V2" i="66"/>
  <c r="Z2" i="66"/>
  <c r="Y2" i="66"/>
  <c r="W17" i="74"/>
  <c r="Z17" i="74"/>
  <c r="W2" i="68"/>
  <c r="W15" i="68"/>
  <c r="Z2" i="68"/>
  <c r="B15" i="63"/>
  <c r="W2" i="63"/>
  <c r="Z2" i="63"/>
  <c r="AA2" i="62"/>
  <c r="Z2" i="62"/>
  <c r="AA2" i="74"/>
  <c r="AA2" i="59"/>
  <c r="AA2" i="76"/>
  <c r="Z2" i="76"/>
  <c r="AA2" i="20"/>
  <c r="B36" i="63"/>
  <c r="B28" i="63"/>
  <c r="B26" i="63"/>
  <c r="B23" i="63"/>
  <c r="B33" i="63"/>
  <c r="B25" i="63"/>
  <c r="B35" i="63"/>
  <c r="B20" i="63"/>
  <c r="B4" i="63"/>
  <c r="B40" i="58"/>
  <c r="B11" i="70"/>
  <c r="B10" i="70"/>
  <c r="B6" i="70"/>
  <c r="B36" i="48"/>
  <c r="B14" i="48"/>
  <c r="B7" i="69"/>
  <c r="O13" i="54"/>
  <c r="R13" i="54"/>
  <c r="B6" i="74"/>
  <c r="B5" i="74"/>
  <c r="B26" i="62"/>
  <c r="I35" i="52"/>
  <c r="C12" i="52"/>
  <c r="J9" i="52"/>
  <c r="K9" i="52"/>
  <c r="L9" i="52"/>
  <c r="M9" i="52"/>
  <c r="B18" i="74"/>
  <c r="B15" i="78"/>
  <c r="B16" i="78"/>
  <c r="B14" i="78"/>
  <c r="B13" i="78"/>
  <c r="B11" i="78"/>
  <c r="B9" i="78"/>
  <c r="B8" i="78"/>
  <c r="B7" i="78"/>
  <c r="B6" i="78"/>
  <c r="B5" i="78"/>
  <c r="B4" i="78"/>
  <c r="B2" i="78"/>
  <c r="S17" i="74"/>
  <c r="H17" i="74"/>
  <c r="T17" i="74"/>
  <c r="U17" i="74"/>
  <c r="V17" i="74"/>
  <c r="X17" i="74"/>
  <c r="AE17" i="74"/>
  <c r="Y17" i="74"/>
  <c r="AE2" i="78"/>
  <c r="AD2" i="78"/>
  <c r="Z2" i="78"/>
  <c r="Y2" i="78"/>
  <c r="X2" i="78"/>
  <c r="W2" i="78"/>
  <c r="V2" i="78"/>
  <c r="U2" i="78"/>
  <c r="T2" i="78"/>
  <c r="S2" i="78"/>
  <c r="R2" i="78"/>
  <c r="Q2" i="78"/>
  <c r="P2" i="78"/>
  <c r="O2" i="78"/>
  <c r="N2" i="78"/>
  <c r="M2" i="78"/>
  <c r="L2" i="78"/>
  <c r="K2" i="78"/>
  <c r="J2" i="78"/>
  <c r="H2" i="78"/>
  <c r="G2" i="78"/>
  <c r="F2" i="78"/>
  <c r="E2" i="78"/>
  <c r="D2" i="78"/>
  <c r="C2" i="78"/>
  <c r="B16" i="74"/>
  <c r="B15" i="74"/>
  <c r="B14" i="74"/>
  <c r="B13" i="74"/>
  <c r="B13" i="66"/>
  <c r="B11" i="74"/>
  <c r="B9" i="74"/>
  <c r="B10" i="74"/>
  <c r="B8" i="74"/>
  <c r="B7" i="74"/>
  <c r="B33" i="48"/>
  <c r="B34" i="48"/>
  <c r="B32" i="48"/>
  <c r="B7" i="70"/>
  <c r="B9" i="70"/>
  <c r="B7" i="71"/>
  <c r="B8" i="71"/>
  <c r="I53" i="40"/>
  <c r="I52" i="40"/>
  <c r="I51" i="40"/>
  <c r="H44" i="13"/>
  <c r="H40" i="13"/>
  <c r="H38" i="13"/>
  <c r="H36" i="13"/>
  <c r="H34" i="13"/>
  <c r="H32" i="13"/>
  <c r="H30" i="13"/>
  <c r="H28" i="13"/>
  <c r="H12" i="13"/>
  <c r="H26" i="13"/>
  <c r="H24" i="13"/>
  <c r="H22" i="13"/>
  <c r="H20" i="13"/>
  <c r="H18" i="13"/>
  <c r="H16" i="13"/>
  <c r="H14" i="13"/>
  <c r="H10" i="13"/>
  <c r="B15" i="76"/>
  <c r="B14" i="76"/>
  <c r="B13" i="76"/>
  <c r="B12" i="76"/>
  <c r="B11" i="76"/>
  <c r="B9" i="76"/>
  <c r="B8" i="76"/>
  <c r="B7" i="76"/>
  <c r="B6" i="76"/>
  <c r="B5" i="76"/>
  <c r="B4" i="76"/>
  <c r="AE2" i="76"/>
  <c r="AD2" i="76"/>
  <c r="Y2" i="76"/>
  <c r="X2" i="76"/>
  <c r="W2" i="76"/>
  <c r="V2" i="76"/>
  <c r="U2" i="76"/>
  <c r="T2" i="76"/>
  <c r="S2" i="76"/>
  <c r="R2" i="76"/>
  <c r="Q2" i="76"/>
  <c r="F6" i="76"/>
  <c r="P2" i="76"/>
  <c r="O2" i="76"/>
  <c r="N2" i="76"/>
  <c r="M2" i="76"/>
  <c r="E5" i="76"/>
  <c r="L2" i="76"/>
  <c r="K2" i="76"/>
  <c r="J2" i="76"/>
  <c r="H2" i="76"/>
  <c r="G2" i="76"/>
  <c r="F2" i="76"/>
  <c r="E2" i="76"/>
  <c r="D2" i="76"/>
  <c r="C2" i="76"/>
  <c r="B2" i="76"/>
  <c r="H23" i="75"/>
  <c r="G23" i="75"/>
  <c r="F23" i="75"/>
  <c r="E23" i="75"/>
  <c r="B23" i="75"/>
  <c r="H22" i="75"/>
  <c r="G22" i="75"/>
  <c r="F22" i="75"/>
  <c r="E22" i="75"/>
  <c r="B22" i="75"/>
  <c r="H21" i="75"/>
  <c r="G21" i="75"/>
  <c r="F21" i="75"/>
  <c r="E21" i="75"/>
  <c r="B21" i="75"/>
  <c r="H20" i="75"/>
  <c r="G20" i="75"/>
  <c r="B20" i="75"/>
  <c r="H19" i="75"/>
  <c r="G19" i="75"/>
  <c r="B19" i="75"/>
  <c r="B18" i="75"/>
  <c r="H17" i="75"/>
  <c r="G17" i="75"/>
  <c r="B17" i="75"/>
  <c r="H16" i="75"/>
  <c r="G16" i="75"/>
  <c r="B16" i="75"/>
  <c r="H15" i="75"/>
  <c r="G15" i="75"/>
  <c r="B15" i="75"/>
  <c r="B14" i="75"/>
  <c r="H13" i="75"/>
  <c r="B13" i="75"/>
  <c r="H12" i="75"/>
  <c r="G12" i="75"/>
  <c r="B12" i="75"/>
  <c r="H11" i="75"/>
  <c r="G11" i="75"/>
  <c r="B11" i="75"/>
  <c r="H10" i="75"/>
  <c r="G10" i="75"/>
  <c r="B10" i="75"/>
  <c r="H9" i="75"/>
  <c r="G9" i="75"/>
  <c r="E9" i="75"/>
  <c r="B9" i="75"/>
  <c r="H7" i="75"/>
  <c r="G7" i="75"/>
  <c r="F7" i="75"/>
  <c r="E7" i="75"/>
  <c r="B7" i="75"/>
  <c r="H6" i="75"/>
  <c r="G6" i="75"/>
  <c r="F6" i="75"/>
  <c r="E6" i="75"/>
  <c r="H5" i="75"/>
  <c r="G5" i="75"/>
  <c r="F5" i="75"/>
  <c r="E5" i="75"/>
  <c r="B5" i="75"/>
  <c r="B4" i="75"/>
  <c r="AE2" i="75"/>
  <c r="AD2" i="75"/>
  <c r="Z2" i="75"/>
  <c r="Y2" i="75"/>
  <c r="X2" i="75"/>
  <c r="W2" i="75"/>
  <c r="V2" i="75"/>
  <c r="U2" i="75"/>
  <c r="T2" i="75"/>
  <c r="S2" i="75"/>
  <c r="R2" i="75"/>
  <c r="Q2" i="75"/>
  <c r="P2" i="75"/>
  <c r="O2" i="75"/>
  <c r="N2" i="75"/>
  <c r="M2" i="75"/>
  <c r="L2" i="75"/>
  <c r="K2" i="75"/>
  <c r="J2" i="75"/>
  <c r="H2" i="75"/>
  <c r="G2" i="75"/>
  <c r="F2" i="75"/>
  <c r="E2" i="75"/>
  <c r="D2" i="75"/>
  <c r="C2" i="75"/>
  <c r="B2" i="75"/>
  <c r="E17" i="74"/>
  <c r="B17" i="74"/>
  <c r="B4" i="74"/>
  <c r="AE2" i="74"/>
  <c r="AD2" i="74"/>
  <c r="Z2" i="74"/>
  <c r="Y2" i="74"/>
  <c r="X2" i="74"/>
  <c r="W2" i="74"/>
  <c r="V2" i="74"/>
  <c r="U2" i="74"/>
  <c r="T2" i="74"/>
  <c r="S2" i="74"/>
  <c r="R2" i="74"/>
  <c r="Q2" i="74"/>
  <c r="P2" i="74"/>
  <c r="O2" i="74"/>
  <c r="N2" i="74"/>
  <c r="M2" i="74"/>
  <c r="L2" i="74"/>
  <c r="K2" i="74"/>
  <c r="J2" i="74"/>
  <c r="H2" i="74"/>
  <c r="G2" i="74"/>
  <c r="F2" i="74"/>
  <c r="E2" i="74"/>
  <c r="D2" i="74"/>
  <c r="C2" i="74"/>
  <c r="B2" i="74"/>
  <c r="B9" i="73"/>
  <c r="B8" i="73"/>
  <c r="B7" i="73"/>
  <c r="B6" i="73"/>
  <c r="B5" i="73"/>
  <c r="M5" i="48"/>
  <c r="B4" i="73"/>
  <c r="Z2" i="73"/>
  <c r="Y2" i="73"/>
  <c r="U2" i="73"/>
  <c r="T2" i="73"/>
  <c r="S2" i="73"/>
  <c r="R2" i="73"/>
  <c r="Q2" i="73"/>
  <c r="P2" i="73"/>
  <c r="O2" i="73"/>
  <c r="N2" i="73"/>
  <c r="M2" i="73"/>
  <c r="L2" i="73"/>
  <c r="K2" i="73"/>
  <c r="J2" i="73"/>
  <c r="I2" i="73"/>
  <c r="H2" i="73"/>
  <c r="G2" i="73"/>
  <c r="F2" i="73"/>
  <c r="E2" i="73"/>
  <c r="D2" i="73"/>
  <c r="C2" i="73"/>
  <c r="B2" i="73"/>
  <c r="B12" i="72"/>
  <c r="B11" i="72"/>
  <c r="B10" i="72"/>
  <c r="B9" i="72"/>
  <c r="B8" i="72"/>
  <c r="B6" i="72"/>
  <c r="B5" i="72"/>
  <c r="B4" i="72"/>
  <c r="Z2" i="72"/>
  <c r="Y2" i="72"/>
  <c r="U2" i="72"/>
  <c r="T2" i="72"/>
  <c r="S2" i="72"/>
  <c r="R2" i="72"/>
  <c r="Q2" i="72"/>
  <c r="P2" i="72"/>
  <c r="O2" i="72"/>
  <c r="N2" i="72"/>
  <c r="M2" i="72"/>
  <c r="L2" i="72"/>
  <c r="K2" i="72"/>
  <c r="J2" i="72"/>
  <c r="I2" i="72"/>
  <c r="H2" i="72"/>
  <c r="G2" i="72"/>
  <c r="F2" i="72"/>
  <c r="E2" i="72"/>
  <c r="D2" i="72"/>
  <c r="C2" i="72"/>
  <c r="B2" i="72"/>
  <c r="B11" i="71"/>
  <c r="B10" i="71"/>
  <c r="B9" i="71"/>
  <c r="B6" i="71"/>
  <c r="B5" i="71"/>
  <c r="B4" i="71"/>
  <c r="Y2" i="71"/>
  <c r="X2" i="71"/>
  <c r="T2" i="71"/>
  <c r="S2" i="71"/>
  <c r="R2" i="71"/>
  <c r="Q2" i="71"/>
  <c r="P2" i="71"/>
  <c r="O2" i="71"/>
  <c r="N2" i="71"/>
  <c r="M2" i="71"/>
  <c r="L2" i="71"/>
  <c r="K2" i="71"/>
  <c r="J2" i="71"/>
  <c r="I2" i="71"/>
  <c r="H2" i="71"/>
  <c r="G2" i="71"/>
  <c r="F2" i="71"/>
  <c r="E2" i="71"/>
  <c r="D2" i="71"/>
  <c r="C2" i="71"/>
  <c r="B2" i="71"/>
  <c r="B15" i="70"/>
  <c r="B13" i="70"/>
  <c r="B12" i="70"/>
  <c r="B8" i="70"/>
  <c r="B5" i="70"/>
  <c r="P2" i="70"/>
  <c r="B4" i="70"/>
  <c r="Z2" i="70"/>
  <c r="Y2" i="70"/>
  <c r="U2" i="70"/>
  <c r="T2" i="70"/>
  <c r="S2" i="70"/>
  <c r="R2" i="70"/>
  <c r="Q2" i="70"/>
  <c r="Q6" i="70"/>
  <c r="O2" i="70"/>
  <c r="N2" i="70"/>
  <c r="M2" i="70"/>
  <c r="L2" i="70"/>
  <c r="K2" i="70"/>
  <c r="J2" i="70"/>
  <c r="I2" i="70"/>
  <c r="H2" i="70"/>
  <c r="G2" i="70"/>
  <c r="F2" i="70"/>
  <c r="E2" i="70"/>
  <c r="D2" i="70"/>
  <c r="C2" i="70"/>
  <c r="B2" i="70"/>
  <c r="B11" i="69"/>
  <c r="B10" i="69"/>
  <c r="B9" i="69"/>
  <c r="B8" i="69"/>
  <c r="B6" i="69"/>
  <c r="B5" i="69"/>
  <c r="B4" i="69"/>
  <c r="Z2" i="69"/>
  <c r="Y2" i="69"/>
  <c r="T2" i="69"/>
  <c r="S2" i="69"/>
  <c r="R2" i="69"/>
  <c r="Q2" i="69"/>
  <c r="P2" i="69"/>
  <c r="O2" i="69"/>
  <c r="N2" i="69"/>
  <c r="M2" i="69"/>
  <c r="L2" i="69"/>
  <c r="K2" i="69"/>
  <c r="J2" i="69"/>
  <c r="I2" i="69"/>
  <c r="H2" i="69"/>
  <c r="G2" i="69"/>
  <c r="F2" i="69"/>
  <c r="E2" i="69"/>
  <c r="D2" i="69"/>
  <c r="C2" i="69"/>
  <c r="B2" i="69"/>
  <c r="B12" i="68"/>
  <c r="B10" i="68"/>
  <c r="B9" i="68"/>
  <c r="B8" i="68"/>
  <c r="B7" i="68"/>
  <c r="B5" i="68"/>
  <c r="B4" i="68"/>
  <c r="AE2" i="68"/>
  <c r="AD2" i="68"/>
  <c r="Y2" i="68"/>
  <c r="X2" i="68"/>
  <c r="X15" i="68"/>
  <c r="V2" i="68"/>
  <c r="V15" i="68"/>
  <c r="U2" i="68"/>
  <c r="U15" i="68"/>
  <c r="T2" i="68"/>
  <c r="S2" i="68"/>
  <c r="S15" i="68"/>
  <c r="R2" i="68"/>
  <c r="R15" i="68"/>
  <c r="Q2" i="68"/>
  <c r="Q15" i="68"/>
  <c r="P2" i="68"/>
  <c r="P5" i="68"/>
  <c r="O2" i="68"/>
  <c r="O15" i="68"/>
  <c r="N2" i="68"/>
  <c r="N15" i="68"/>
  <c r="M2" i="68"/>
  <c r="M15" i="68"/>
  <c r="L2" i="68"/>
  <c r="K2" i="68"/>
  <c r="K15" i="68"/>
  <c r="J2" i="68"/>
  <c r="J21" i="68"/>
  <c r="H2" i="68"/>
  <c r="G2" i="68"/>
  <c r="G15" i="68"/>
  <c r="F2" i="68"/>
  <c r="F15" i="68"/>
  <c r="E2" i="68"/>
  <c r="E15" i="68"/>
  <c r="E5" i="68"/>
  <c r="D2" i="68"/>
  <c r="D15" i="68"/>
  <c r="C2" i="68"/>
  <c r="C15" i="68"/>
  <c r="B2" i="68"/>
  <c r="B31" i="67"/>
  <c r="B30" i="67"/>
  <c r="B29" i="67"/>
  <c r="B28" i="67"/>
  <c r="B26" i="67"/>
  <c r="B25" i="67"/>
  <c r="B20" i="67"/>
  <c r="B19" i="67"/>
  <c r="B18" i="67"/>
  <c r="B16" i="67"/>
  <c r="B15" i="67"/>
  <c r="B13" i="67"/>
  <c r="B12" i="67"/>
  <c r="B11" i="67"/>
  <c r="B10" i="67"/>
  <c r="B9" i="67"/>
  <c r="B8" i="67"/>
  <c r="A8" i="67"/>
  <c r="B7" i="67"/>
  <c r="B6" i="67"/>
  <c r="B5" i="67"/>
  <c r="B4" i="67"/>
  <c r="AE2" i="67"/>
  <c r="AD2" i="67"/>
  <c r="X2" i="67"/>
  <c r="U2" i="67"/>
  <c r="T2" i="67"/>
  <c r="S2" i="67"/>
  <c r="R2" i="67"/>
  <c r="Q2" i="67"/>
  <c r="P2" i="67"/>
  <c r="O2" i="67"/>
  <c r="N2" i="67"/>
  <c r="M2" i="67"/>
  <c r="L2" i="67"/>
  <c r="K2" i="67"/>
  <c r="J2" i="67"/>
  <c r="H2" i="67"/>
  <c r="G2" i="67"/>
  <c r="F2" i="67"/>
  <c r="E2" i="67"/>
  <c r="D2" i="67"/>
  <c r="C2" i="67"/>
  <c r="C29" i="67"/>
  <c r="B2" i="67"/>
  <c r="B12" i="66"/>
  <c r="B10" i="66"/>
  <c r="B6" i="66"/>
  <c r="B5" i="66"/>
  <c r="B4" i="66"/>
  <c r="AE2" i="66"/>
  <c r="AD2" i="66"/>
  <c r="X2" i="66"/>
  <c r="U2" i="66"/>
  <c r="T2" i="66"/>
  <c r="S2" i="66"/>
  <c r="R2" i="66"/>
  <c r="Q2" i="66"/>
  <c r="P2" i="66"/>
  <c r="O2" i="66"/>
  <c r="N2" i="66"/>
  <c r="M2" i="66"/>
  <c r="L2" i="66"/>
  <c r="K2" i="66"/>
  <c r="J2" i="66"/>
  <c r="H2" i="66"/>
  <c r="G2" i="66"/>
  <c r="F2" i="66"/>
  <c r="G12" i="66"/>
  <c r="E2" i="66"/>
  <c r="D2" i="66"/>
  <c r="C2" i="66"/>
  <c r="B2" i="66"/>
  <c r="B25" i="65"/>
  <c r="B23" i="65"/>
  <c r="B24" i="65"/>
  <c r="B22" i="65"/>
  <c r="B21" i="65"/>
  <c r="B20" i="65"/>
  <c r="B19" i="65"/>
  <c r="B18" i="65"/>
  <c r="AE2" i="65"/>
  <c r="AD2" i="65"/>
  <c r="Z2" i="65"/>
  <c r="Y2" i="65"/>
  <c r="X2" i="65"/>
  <c r="W2" i="65"/>
  <c r="V2" i="65"/>
  <c r="U2" i="65"/>
  <c r="T2" i="65"/>
  <c r="S2" i="65"/>
  <c r="R2" i="65"/>
  <c r="Q2" i="65"/>
  <c r="P2" i="65"/>
  <c r="O2" i="65"/>
  <c r="N2" i="65"/>
  <c r="M2" i="65"/>
  <c r="L2" i="65"/>
  <c r="K2" i="65"/>
  <c r="J2" i="65"/>
  <c r="H2" i="65"/>
  <c r="G2" i="65"/>
  <c r="F2" i="65"/>
  <c r="E2" i="65"/>
  <c r="D2" i="65"/>
  <c r="C2" i="65"/>
  <c r="B2" i="65"/>
  <c r="B9" i="64"/>
  <c r="B8" i="64"/>
  <c r="B7" i="64"/>
  <c r="B6" i="64"/>
  <c r="B5" i="64"/>
  <c r="B4" i="64"/>
  <c r="AE2" i="64"/>
  <c r="AD2" i="64"/>
  <c r="Z2" i="64"/>
  <c r="Y2" i="64"/>
  <c r="X2" i="64"/>
  <c r="W2" i="64"/>
  <c r="V2" i="64"/>
  <c r="U2" i="64"/>
  <c r="T2" i="64"/>
  <c r="S2" i="64"/>
  <c r="R2" i="64"/>
  <c r="Q2" i="64"/>
  <c r="P2" i="64"/>
  <c r="O2" i="64"/>
  <c r="N2" i="64"/>
  <c r="M2" i="64"/>
  <c r="L2" i="64"/>
  <c r="K2" i="64"/>
  <c r="J2" i="64"/>
  <c r="H2" i="64"/>
  <c r="G2" i="64"/>
  <c r="F2" i="64"/>
  <c r="E2" i="64"/>
  <c r="D2" i="64"/>
  <c r="C2" i="64"/>
  <c r="B2" i="64"/>
  <c r="B18" i="63"/>
  <c r="B11" i="63"/>
  <c r="B9" i="63"/>
  <c r="B81" i="63"/>
  <c r="B80" i="63"/>
  <c r="B79" i="63"/>
  <c r="B78" i="63"/>
  <c r="B71" i="63"/>
  <c r="B61" i="63"/>
  <c r="B77" i="63"/>
  <c r="B76" i="63"/>
  <c r="B75" i="63"/>
  <c r="B72" i="63"/>
  <c r="B74" i="63"/>
  <c r="B73" i="63"/>
  <c r="B70" i="63"/>
  <c r="B67" i="63"/>
  <c r="B69" i="63"/>
  <c r="Q2" i="63"/>
  <c r="B68" i="63"/>
  <c r="B62" i="63"/>
  <c r="B66" i="63"/>
  <c r="B60" i="63"/>
  <c r="B65" i="63"/>
  <c r="B64" i="63"/>
  <c r="B63" i="63"/>
  <c r="B7" i="59"/>
  <c r="B6" i="59"/>
  <c r="B92" i="63"/>
  <c r="B51" i="63"/>
  <c r="B58" i="63"/>
  <c r="B52" i="63"/>
  <c r="B55" i="63"/>
  <c r="B54" i="63"/>
  <c r="B2" i="63"/>
  <c r="B56" i="63"/>
  <c r="B57" i="63"/>
  <c r="B53" i="63"/>
  <c r="B50" i="63"/>
  <c r="F12" i="76"/>
  <c r="G17" i="74"/>
  <c r="E12" i="76"/>
  <c r="F14" i="76"/>
  <c r="E10" i="76"/>
  <c r="F17" i="74"/>
  <c r="H6" i="70"/>
  <c r="G6" i="48"/>
  <c r="C21" i="68"/>
  <c r="L12" i="66"/>
  <c r="B91" i="63"/>
  <c r="B90" i="63"/>
  <c r="B89" i="63"/>
  <c r="B88" i="63"/>
  <c r="B87" i="63"/>
  <c r="B86" i="63"/>
  <c r="B85" i="63"/>
  <c r="B84" i="63"/>
  <c r="B83" i="63"/>
  <c r="C42" i="63"/>
  <c r="C54" i="63"/>
  <c r="B49" i="63"/>
  <c r="B48" i="63"/>
  <c r="B47" i="63"/>
  <c r="B46" i="63"/>
  <c r="B45" i="63"/>
  <c r="B44" i="63"/>
  <c r="B43" i="63"/>
  <c r="B42" i="63"/>
  <c r="B41" i="63"/>
  <c r="B40" i="63"/>
  <c r="B39" i="63"/>
  <c r="B38" i="63"/>
  <c r="B17" i="63"/>
  <c r="B16" i="63"/>
  <c r="B14" i="63"/>
  <c r="B13" i="63"/>
  <c r="B30" i="63"/>
  <c r="B12" i="63"/>
  <c r="B29" i="63"/>
  <c r="B8" i="63"/>
  <c r="B24" i="63"/>
  <c r="B34" i="63"/>
  <c r="B7" i="63"/>
  <c r="B6" i="63"/>
  <c r="B22" i="63"/>
  <c r="B31" i="63"/>
  <c r="B5" i="63"/>
  <c r="B21" i="63"/>
  <c r="AE2" i="63"/>
  <c r="AD2" i="63"/>
  <c r="Y2" i="63"/>
  <c r="X2" i="63"/>
  <c r="V2" i="63"/>
  <c r="U2" i="63"/>
  <c r="T2" i="63"/>
  <c r="S2" i="63"/>
  <c r="R2" i="63"/>
  <c r="P2" i="63"/>
  <c r="O2" i="63"/>
  <c r="O74" i="63"/>
  <c r="N2" i="63"/>
  <c r="M2" i="63"/>
  <c r="L2" i="63"/>
  <c r="K2" i="63"/>
  <c r="J2" i="63"/>
  <c r="H2" i="63"/>
  <c r="G2" i="63"/>
  <c r="F2" i="63"/>
  <c r="E2" i="63"/>
  <c r="D2" i="63"/>
  <c r="C2" i="63"/>
  <c r="C74" i="63"/>
  <c r="B43" i="62"/>
  <c r="B36" i="62"/>
  <c r="B42" i="62"/>
  <c r="B41" i="62"/>
  <c r="B39" i="62"/>
  <c r="B40" i="62"/>
  <c r="B38" i="62"/>
  <c r="B37" i="62"/>
  <c r="B17" i="62"/>
  <c r="B16" i="62"/>
  <c r="B15" i="62"/>
  <c r="B14" i="62"/>
  <c r="B2" i="62"/>
  <c r="B4" i="62"/>
  <c r="B5" i="62"/>
  <c r="B6" i="62"/>
  <c r="B7" i="62"/>
  <c r="B8" i="62"/>
  <c r="B9" i="62"/>
  <c r="B10" i="62"/>
  <c r="B11" i="62"/>
  <c r="B12" i="62"/>
  <c r="B47" i="62"/>
  <c r="B46" i="62"/>
  <c r="B45" i="62"/>
  <c r="B20" i="62"/>
  <c r="B19" i="62"/>
  <c r="B34" i="62"/>
  <c r="B33" i="62"/>
  <c r="B32" i="62"/>
  <c r="B31" i="62"/>
  <c r="B30" i="62"/>
  <c r="B29" i="62"/>
  <c r="B25" i="62"/>
  <c r="B24" i="62"/>
  <c r="AE2" i="62"/>
  <c r="AD2" i="62"/>
  <c r="Y2" i="62"/>
  <c r="X2" i="62"/>
  <c r="W2" i="62"/>
  <c r="V2" i="62"/>
  <c r="U2" i="62"/>
  <c r="T2" i="62"/>
  <c r="S2" i="62"/>
  <c r="R2" i="62"/>
  <c r="Q2" i="62"/>
  <c r="P2" i="62"/>
  <c r="O2" i="62"/>
  <c r="N2" i="62"/>
  <c r="M2" i="62"/>
  <c r="L2" i="62"/>
  <c r="K2" i="62"/>
  <c r="J2" i="62"/>
  <c r="H2" i="62"/>
  <c r="G2" i="62"/>
  <c r="F2" i="62"/>
  <c r="E2" i="62"/>
  <c r="D2" i="62"/>
  <c r="C2" i="62"/>
  <c r="B13" i="61"/>
  <c r="B4" i="61"/>
  <c r="B2" i="61"/>
  <c r="B12" i="61"/>
  <c r="B11" i="61"/>
  <c r="B5" i="61"/>
  <c r="B2" i="59"/>
  <c r="B10" i="61"/>
  <c r="B6" i="61"/>
  <c r="AE2" i="61"/>
  <c r="AD2" i="61"/>
  <c r="Q2" i="61"/>
  <c r="P2" i="61"/>
  <c r="O2" i="61"/>
  <c r="N2" i="61"/>
  <c r="M2" i="61"/>
  <c r="L2" i="61"/>
  <c r="K2" i="61"/>
  <c r="J2" i="61"/>
  <c r="H2" i="61"/>
  <c r="G2" i="61"/>
  <c r="F2" i="61"/>
  <c r="E2" i="61"/>
  <c r="D2" i="61"/>
  <c r="C2" i="61"/>
  <c r="B13" i="60"/>
  <c r="B14" i="60"/>
  <c r="B11" i="60"/>
  <c r="B10" i="60"/>
  <c r="B9" i="60"/>
  <c r="B8" i="60"/>
  <c r="B7" i="60"/>
  <c r="B6" i="60"/>
  <c r="B19" i="60"/>
  <c r="B4" i="60"/>
  <c r="AE2" i="60"/>
  <c r="AD2" i="60"/>
  <c r="Q2" i="60"/>
  <c r="P2" i="60"/>
  <c r="O2" i="60"/>
  <c r="N2" i="60"/>
  <c r="M2" i="60"/>
  <c r="L2" i="60"/>
  <c r="K2" i="60"/>
  <c r="J2" i="60"/>
  <c r="H2" i="60"/>
  <c r="G2" i="60"/>
  <c r="F2" i="60"/>
  <c r="E2" i="60"/>
  <c r="D2" i="60"/>
  <c r="C2" i="60"/>
  <c r="B2" i="60"/>
  <c r="B23" i="59"/>
  <c r="B14" i="59"/>
  <c r="B18" i="59"/>
  <c r="B20" i="59"/>
  <c r="B22" i="59"/>
  <c r="B21" i="59"/>
  <c r="AB77" i="63"/>
  <c r="B19" i="59"/>
  <c r="B17" i="59"/>
  <c r="AB64" i="63"/>
  <c r="B16" i="59"/>
  <c r="AB63" i="63"/>
  <c r="B15" i="59"/>
  <c r="B13" i="59"/>
  <c r="B12" i="59"/>
  <c r="B11" i="59"/>
  <c r="B10" i="59"/>
  <c r="B9" i="59"/>
  <c r="B4" i="59"/>
  <c r="B8" i="59"/>
  <c r="B5" i="59"/>
  <c r="AE2" i="59"/>
  <c r="AD2" i="59"/>
  <c r="Z2" i="59"/>
  <c r="Y2" i="59"/>
  <c r="X2" i="59"/>
  <c r="W2" i="59"/>
  <c r="V2" i="59"/>
  <c r="U2" i="59"/>
  <c r="T2" i="59"/>
  <c r="S2" i="59"/>
  <c r="R2" i="59"/>
  <c r="Q2" i="59"/>
  <c r="P2" i="59"/>
  <c r="O2" i="59"/>
  <c r="N2" i="59"/>
  <c r="M2" i="59"/>
  <c r="L2" i="59"/>
  <c r="K2" i="59"/>
  <c r="J2" i="59"/>
  <c r="H2" i="59"/>
  <c r="G2" i="59"/>
  <c r="F2" i="59"/>
  <c r="E2" i="59"/>
  <c r="D2" i="59"/>
  <c r="C2" i="59"/>
  <c r="B2" i="58"/>
  <c r="B41" i="58"/>
  <c r="B39" i="58"/>
  <c r="B38" i="58"/>
  <c r="B37" i="58"/>
  <c r="B36" i="58"/>
  <c r="B35" i="58"/>
  <c r="B33" i="58"/>
  <c r="B31" i="58"/>
  <c r="B30" i="58"/>
  <c r="K45" i="63"/>
  <c r="K55" i="63"/>
  <c r="B29" i="58"/>
  <c r="B28" i="58"/>
  <c r="B27" i="58"/>
  <c r="B26" i="58"/>
  <c r="B24" i="58"/>
  <c r="B23" i="58"/>
  <c r="B22" i="58"/>
  <c r="B20" i="58"/>
  <c r="B19" i="58"/>
  <c r="AB57" i="63"/>
  <c r="B18" i="58"/>
  <c r="B17" i="58"/>
  <c r="B15" i="58"/>
  <c r="AB49" i="63"/>
  <c r="AB48" i="63"/>
  <c r="B10" i="58"/>
  <c r="B9" i="58"/>
  <c r="AB46" i="63"/>
  <c r="B8" i="58"/>
  <c r="AB44" i="63"/>
  <c r="B7" i="58"/>
  <c r="AB41" i="63"/>
  <c r="B4" i="58"/>
  <c r="AE2" i="58"/>
  <c r="AD2" i="58"/>
  <c r="R46" i="63"/>
  <c r="K2" i="48"/>
  <c r="O22" i="54"/>
  <c r="O21" i="54"/>
  <c r="P21" i="54"/>
  <c r="Q21" i="54"/>
  <c r="X21" i="54"/>
  <c r="R21" i="54"/>
  <c r="O19" i="54"/>
  <c r="P19" i="54"/>
  <c r="Q19" i="54"/>
  <c r="X19" i="54"/>
  <c r="R19" i="54"/>
  <c r="S11" i="54"/>
  <c r="S10" i="54"/>
  <c r="P21" i="65"/>
  <c r="Q23" i="54"/>
  <c r="X23" i="54"/>
  <c r="S23" i="54"/>
  <c r="S2" i="54"/>
  <c r="Z2" i="20"/>
  <c r="B36" i="18"/>
  <c r="Z22" i="54"/>
  <c r="Q13" i="54"/>
  <c r="B15" i="54"/>
  <c r="B5" i="18"/>
  <c r="H2" i="20"/>
  <c r="R2" i="54"/>
  <c r="J2" i="48"/>
  <c r="Y2" i="20"/>
  <c r="Z19" i="54"/>
  <c r="P13" i="54"/>
  <c r="Q10" i="54"/>
  <c r="X10" i="54"/>
  <c r="Q11" i="54"/>
  <c r="X11" i="54"/>
  <c r="M32" i="52"/>
  <c r="Q2" i="54"/>
  <c r="X2" i="20"/>
  <c r="I2" i="48"/>
  <c r="K24" i="13"/>
  <c r="B27" i="54"/>
  <c r="B26" i="54"/>
  <c r="D13" i="54"/>
  <c r="E13" i="54"/>
  <c r="F13" i="54"/>
  <c r="G13" i="54"/>
  <c r="H13" i="54"/>
  <c r="I13" i="54"/>
  <c r="J13" i="54"/>
  <c r="K13" i="54"/>
  <c r="L13" i="54"/>
  <c r="M13" i="54"/>
  <c r="N13" i="54"/>
  <c r="C13" i="54"/>
  <c r="Z4" i="54"/>
  <c r="Z5" i="54"/>
  <c r="Z6" i="54"/>
  <c r="Z9" i="54"/>
  <c r="Z13" i="54"/>
  <c r="Z20" i="54"/>
  <c r="Z21" i="54"/>
  <c r="B23" i="54"/>
  <c r="B22" i="54"/>
  <c r="B21" i="54"/>
  <c r="B20" i="54"/>
  <c r="B19" i="54"/>
  <c r="B18" i="54"/>
  <c r="B17" i="54"/>
  <c r="B14" i="54"/>
  <c r="B13" i="54"/>
  <c r="B11" i="54"/>
  <c r="B10" i="54"/>
  <c r="B9" i="54"/>
  <c r="B8" i="54"/>
  <c r="B6" i="54"/>
  <c r="B5" i="54"/>
  <c r="B4" i="54"/>
  <c r="B2" i="54"/>
  <c r="X2" i="54"/>
  <c r="W2" i="54"/>
  <c r="AE2" i="18"/>
  <c r="AE2" i="20"/>
  <c r="AD2" i="18"/>
  <c r="AD2" i="20"/>
  <c r="O2" i="48"/>
  <c r="P2" i="48"/>
  <c r="P2" i="54"/>
  <c r="O2" i="54"/>
  <c r="N2" i="54"/>
  <c r="M2" i="54"/>
  <c r="L2" i="54"/>
  <c r="K2" i="54"/>
  <c r="J2" i="54"/>
  <c r="I2" i="54"/>
  <c r="H2" i="54"/>
  <c r="G2" i="54"/>
  <c r="F2" i="54"/>
  <c r="E2" i="54"/>
  <c r="D2" i="54"/>
  <c r="C2" i="54"/>
  <c r="I22" i="52"/>
  <c r="W2" i="20"/>
  <c r="H2" i="48"/>
  <c r="V2" i="20"/>
  <c r="G2" i="48"/>
  <c r="L32" i="52"/>
  <c r="E9" i="52"/>
  <c r="G2" i="20"/>
  <c r="F2" i="20"/>
  <c r="U2" i="20"/>
  <c r="F2" i="48"/>
  <c r="C18" i="52"/>
  <c r="C13" i="52"/>
  <c r="B23" i="48"/>
  <c r="T2" i="20"/>
  <c r="E2" i="48"/>
  <c r="B12" i="48"/>
  <c r="B35" i="48"/>
  <c r="B31" i="48"/>
  <c r="B29" i="48"/>
  <c r="B28" i="48"/>
  <c r="B27" i="48"/>
  <c r="B26" i="48"/>
  <c r="B24" i="48"/>
  <c r="B22" i="48"/>
  <c r="B21" i="48"/>
  <c r="B19" i="48"/>
  <c r="B18" i="48"/>
  <c r="B17" i="48"/>
  <c r="B16" i="48"/>
  <c r="B13" i="48"/>
  <c r="B11" i="48"/>
  <c r="B10" i="48"/>
  <c r="B8" i="48"/>
  <c r="B7" i="48"/>
  <c r="B6" i="48"/>
  <c r="B5" i="48"/>
  <c r="B4" i="48"/>
  <c r="D2" i="48"/>
  <c r="C2" i="48"/>
  <c r="K18" i="13"/>
  <c r="D9" i="52"/>
  <c r="C47" i="52"/>
  <c r="T9" i="52"/>
  <c r="T32" i="52"/>
  <c r="S9" i="52"/>
  <c r="S32" i="52"/>
  <c r="R9" i="52"/>
  <c r="R32" i="52"/>
  <c r="Q9" i="52"/>
  <c r="Q32" i="52"/>
  <c r="Q8" i="52"/>
  <c r="Q31" i="52"/>
  <c r="I33" i="52"/>
  <c r="I34" i="52"/>
  <c r="I36" i="52"/>
  <c r="I37" i="52"/>
  <c r="I39" i="52"/>
  <c r="I40" i="52"/>
  <c r="I41" i="52"/>
  <c r="I42" i="52"/>
  <c r="I43" i="52"/>
  <c r="I32" i="52"/>
  <c r="I12" i="52"/>
  <c r="I14" i="52"/>
  <c r="I15" i="52"/>
  <c r="I17" i="52"/>
  <c r="I18" i="52"/>
  <c r="I20" i="52"/>
  <c r="I21" i="52"/>
  <c r="I23" i="52"/>
  <c r="I25" i="52"/>
  <c r="I26" i="52"/>
  <c r="I10" i="52"/>
  <c r="I11" i="52"/>
  <c r="I9" i="52"/>
  <c r="D24" i="52"/>
  <c r="C24" i="52"/>
  <c r="C25" i="52"/>
  <c r="C26" i="52"/>
  <c r="C27" i="52"/>
  <c r="C9" i="52"/>
  <c r="C10" i="52"/>
  <c r="C11" i="52"/>
  <c r="C14" i="52"/>
  <c r="C15" i="52"/>
  <c r="C16" i="52"/>
  <c r="C17" i="52"/>
  <c r="C19" i="52"/>
  <c r="K32" i="52"/>
  <c r="J32" i="52"/>
  <c r="K26" i="13"/>
  <c r="K28" i="13"/>
  <c r="BS2" i="40"/>
  <c r="BS1" i="40"/>
  <c r="BQ1" i="40"/>
  <c r="BQ2" i="40"/>
  <c r="V5" i="61"/>
  <c r="B12" i="18"/>
  <c r="B21" i="18"/>
  <c r="B15" i="18"/>
  <c r="B6" i="18"/>
  <c r="B11" i="18"/>
  <c r="K10" i="67"/>
  <c r="S2" i="20"/>
  <c r="R2" i="20"/>
  <c r="F6" i="13"/>
  <c r="F11" i="61"/>
  <c r="B19" i="18"/>
  <c r="B18" i="18"/>
  <c r="B10" i="18"/>
  <c r="B7" i="18"/>
  <c r="B4" i="18"/>
  <c r="B2" i="18"/>
  <c r="B41" i="20"/>
  <c r="J2" i="20"/>
  <c r="B40" i="20"/>
  <c r="B38" i="20"/>
  <c r="B37" i="20"/>
  <c r="B36" i="20"/>
  <c r="D2" i="20"/>
  <c r="B35" i="20"/>
  <c r="B34" i="20"/>
  <c r="B33" i="20"/>
  <c r="B32" i="20"/>
  <c r="B31" i="20"/>
  <c r="B29" i="20"/>
  <c r="B28" i="20"/>
  <c r="B27" i="20"/>
  <c r="B26" i="20"/>
  <c r="B25" i="20"/>
  <c r="B24" i="20"/>
  <c r="B23" i="20"/>
  <c r="K2" i="20"/>
  <c r="B22" i="20"/>
  <c r="B21" i="20"/>
  <c r="B20" i="20"/>
  <c r="B19" i="20"/>
  <c r="B17" i="20"/>
  <c r="K37" i="52"/>
  <c r="K43" i="52"/>
  <c r="B16" i="20"/>
  <c r="P2" i="20"/>
  <c r="B15" i="20"/>
  <c r="B14" i="20"/>
  <c r="B13" i="20"/>
  <c r="B12" i="20"/>
  <c r="B11" i="20"/>
  <c r="B10" i="20"/>
  <c r="G10" i="20"/>
  <c r="B9" i="20"/>
  <c r="B8" i="20"/>
  <c r="AB17" i="62"/>
  <c r="B7" i="20"/>
  <c r="P9" i="59"/>
  <c r="P75" i="63"/>
  <c r="B6" i="20"/>
  <c r="C2" i="20"/>
  <c r="P5" i="59"/>
  <c r="P73" i="63"/>
  <c r="B4" i="20"/>
  <c r="B2" i="20"/>
  <c r="Q2" i="20"/>
  <c r="O2" i="20"/>
  <c r="N2" i="20"/>
  <c r="M2" i="20"/>
  <c r="L2" i="20"/>
  <c r="E2" i="20"/>
  <c r="K16" i="13"/>
  <c r="K14" i="13"/>
  <c r="K12" i="13"/>
  <c r="K10" i="13"/>
  <c r="T10" i="67"/>
  <c r="G11" i="61"/>
  <c r="O10" i="67"/>
  <c r="G9" i="67"/>
  <c r="E10" i="67"/>
  <c r="U11" i="61"/>
  <c r="V11" i="61"/>
  <c r="S10" i="67"/>
  <c r="G10" i="67"/>
  <c r="K17" i="52"/>
  <c r="U10" i="67"/>
  <c r="M9" i="67"/>
  <c r="L11" i="61"/>
  <c r="M25" i="65"/>
  <c r="M13" i="65"/>
  <c r="M12" i="65"/>
  <c r="J10" i="67"/>
  <c r="S9" i="59"/>
  <c r="S75" i="63"/>
  <c r="M8" i="78"/>
  <c r="L8" i="78"/>
  <c r="D10" i="59"/>
  <c r="D70" i="63"/>
  <c r="L17" i="62"/>
  <c r="G13" i="20"/>
  <c r="G29" i="20"/>
  <c r="N8" i="78"/>
  <c r="F12" i="20"/>
  <c r="U5" i="59"/>
  <c r="U73" i="63"/>
  <c r="C13" i="59"/>
  <c r="C76" i="63"/>
  <c r="G16" i="20"/>
  <c r="E19" i="48"/>
  <c r="D8" i="78"/>
  <c r="S8" i="78"/>
  <c r="G33" i="20"/>
  <c r="E24" i="20"/>
  <c r="G28" i="20"/>
  <c r="G35" i="20"/>
  <c r="O13" i="59"/>
  <c r="O76" i="63"/>
  <c r="G34" i="20"/>
  <c r="U9" i="59"/>
  <c r="U75" i="63"/>
  <c r="T13" i="59"/>
  <c r="T76" i="63"/>
  <c r="G14" i="20"/>
  <c r="C5" i="59"/>
  <c r="C73" i="63"/>
  <c r="C72" i="63"/>
  <c r="N17" i="62"/>
  <c r="E11" i="20"/>
  <c r="E17" i="20"/>
  <c r="G12" i="20"/>
  <c r="G21" i="20"/>
  <c r="G11" i="20"/>
  <c r="G27" i="20"/>
  <c r="G17" i="20"/>
  <c r="S13" i="59"/>
  <c r="S76" i="63"/>
  <c r="F10" i="67"/>
  <c r="R13" i="59"/>
  <c r="R76" i="63"/>
  <c r="U17" i="62"/>
  <c r="E15" i="20"/>
  <c r="E37" i="20"/>
  <c r="M12" i="48"/>
  <c r="AB13" i="59"/>
  <c r="AB76" i="63"/>
  <c r="D13" i="59"/>
  <c r="D76" i="63"/>
  <c r="X8" i="65"/>
  <c r="M15" i="67"/>
  <c r="P6" i="70"/>
  <c r="N41" i="63"/>
  <c r="F80" i="63"/>
  <c r="K13" i="59"/>
  <c r="K76" i="63"/>
  <c r="X47" i="63"/>
  <c r="S8" i="65"/>
  <c r="R74" i="63"/>
  <c r="E15" i="67"/>
  <c r="E30" i="67"/>
  <c r="L13" i="59"/>
  <c r="L76" i="63"/>
  <c r="M57" i="63"/>
  <c r="X11" i="67"/>
  <c r="X25" i="67"/>
  <c r="V48" i="63"/>
  <c r="S79" i="63"/>
  <c r="L62" i="63"/>
  <c r="O21" i="65"/>
  <c r="O8" i="65"/>
  <c r="D21" i="65"/>
  <c r="D8" i="65"/>
  <c r="D9" i="59"/>
  <c r="D75" i="63"/>
  <c r="AB9" i="59"/>
  <c r="AB75" i="63"/>
  <c r="E22" i="20"/>
  <c r="N57" i="63"/>
  <c r="N49" i="63"/>
  <c r="V57" i="63"/>
  <c r="D7" i="67"/>
  <c r="V7" i="67"/>
  <c r="L7" i="67"/>
  <c r="T50" i="63"/>
  <c r="L5" i="59"/>
  <c r="L73" i="63"/>
  <c r="N9" i="67"/>
  <c r="G15" i="20"/>
  <c r="R9" i="59"/>
  <c r="R75" i="63"/>
  <c r="N10" i="67"/>
  <c r="N38" i="58"/>
  <c r="V47" i="63"/>
  <c r="Q41" i="63"/>
  <c r="U44" i="63"/>
  <c r="P44" i="63"/>
  <c r="R44" i="63"/>
  <c r="O40" i="58"/>
  <c r="AB56" i="63"/>
  <c r="G40" i="58"/>
  <c r="P40" i="58"/>
  <c r="J8" i="78"/>
  <c r="M19" i="48"/>
  <c r="R23" i="54"/>
  <c r="J47" i="63"/>
  <c r="R47" i="63"/>
  <c r="K46" i="63"/>
  <c r="J46" i="63"/>
  <c r="M46" i="63"/>
  <c r="K39" i="58"/>
  <c r="AB53" i="63"/>
  <c r="M53" i="63"/>
  <c r="J20" i="65"/>
  <c r="J7" i="65"/>
  <c r="AB7" i="65"/>
  <c r="D20" i="65"/>
  <c r="D7" i="65"/>
  <c r="O9" i="59"/>
  <c r="O75" i="63"/>
  <c r="AB5" i="59"/>
  <c r="AB73" i="63"/>
  <c r="V41" i="63"/>
  <c r="J50" i="63"/>
  <c r="N47" i="63"/>
  <c r="L42" i="63"/>
  <c r="L54" i="63"/>
  <c r="N63" i="63"/>
  <c r="S11" i="76"/>
  <c r="AE23" i="67"/>
  <c r="E16" i="20"/>
  <c r="G41" i="20"/>
  <c r="K47" i="63"/>
  <c r="T49" i="63"/>
  <c r="K48" i="63"/>
  <c r="K63" i="63"/>
  <c r="D77" i="63"/>
  <c r="O23" i="54"/>
  <c r="M12" i="66"/>
  <c r="W74" i="63"/>
  <c r="AB74" i="63"/>
  <c r="Z12" i="70"/>
  <c r="D6" i="48"/>
  <c r="W32" i="63"/>
  <c r="AB32" i="63"/>
  <c r="AE21" i="67"/>
  <c r="F15" i="67"/>
  <c r="L23" i="48"/>
  <c r="M23" i="48"/>
  <c r="U57" i="63"/>
  <c r="C57" i="63"/>
  <c r="C51" i="63"/>
  <c r="L48" i="63"/>
  <c r="D63" i="63"/>
  <c r="O36" i="58"/>
  <c r="J45" i="63"/>
  <c r="J55" i="63"/>
  <c r="K11" i="67"/>
  <c r="K25" i="67"/>
  <c r="AB11" i="67"/>
  <c r="C21" i="65"/>
  <c r="C8" i="65"/>
  <c r="AA15" i="67"/>
  <c r="AA30" i="67"/>
  <c r="AB29" i="67"/>
  <c r="G26" i="20"/>
  <c r="D42" i="63"/>
  <c r="D54" i="63"/>
  <c r="L57" i="63"/>
  <c r="T57" i="63"/>
  <c r="M48" i="63"/>
  <c r="T48" i="63"/>
  <c r="M77" i="63"/>
  <c r="G19" i="59"/>
  <c r="P23" i="54"/>
  <c r="AE11" i="58"/>
  <c r="S41" i="63"/>
  <c r="Q79" i="63"/>
  <c r="AB31" i="62"/>
  <c r="C12" i="67"/>
  <c r="C26" i="67"/>
  <c r="AB12" i="67"/>
  <c r="AB26" i="67"/>
  <c r="K11" i="76"/>
  <c r="Q15" i="67"/>
  <c r="Y15" i="67"/>
  <c r="Y30" i="67"/>
  <c r="Z8" i="69"/>
  <c r="D47" i="63"/>
  <c r="M62" i="63"/>
  <c r="U8" i="65"/>
  <c r="M6" i="70"/>
  <c r="F23" i="48"/>
  <c r="V15" i="67"/>
  <c r="V30" i="67"/>
  <c r="J6" i="48"/>
  <c r="O9" i="79"/>
  <c r="O15" i="79"/>
  <c r="D5" i="61"/>
  <c r="F25" i="65"/>
  <c r="F13" i="65"/>
  <c r="F12" i="65"/>
  <c r="K11" i="52"/>
  <c r="F9" i="79"/>
  <c r="F15" i="79"/>
  <c r="O11" i="61"/>
  <c r="O9" i="67"/>
  <c r="O25" i="65"/>
  <c r="O13" i="65"/>
  <c r="O12" i="65"/>
  <c r="J9" i="79"/>
  <c r="V9" i="67"/>
  <c r="G12" i="48"/>
  <c r="I12" i="48"/>
  <c r="K5" i="61"/>
  <c r="AB38" i="62"/>
  <c r="AB37" i="62"/>
  <c r="C10" i="67"/>
  <c r="AB10" i="67"/>
  <c r="C25" i="65"/>
  <c r="C13" i="65"/>
  <c r="C12" i="65"/>
  <c r="X11" i="61"/>
  <c r="AB11" i="61"/>
  <c r="T9" i="67"/>
  <c r="F12" i="48"/>
  <c r="C12" i="48"/>
  <c r="E25" i="65"/>
  <c r="E13" i="65"/>
  <c r="E12" i="65"/>
  <c r="G25" i="65"/>
  <c r="G13" i="65"/>
  <c r="G12" i="65"/>
  <c r="V10" i="67"/>
  <c r="L25" i="65"/>
  <c r="L13" i="65"/>
  <c r="L12" i="65"/>
  <c r="X9" i="67"/>
  <c r="AB9" i="67"/>
  <c r="S9" i="73"/>
  <c r="E6" i="48"/>
  <c r="K5" i="48"/>
  <c r="D23" i="48"/>
  <c r="G23" i="48"/>
  <c r="I23" i="48"/>
  <c r="C23" i="48"/>
  <c r="K6" i="70"/>
  <c r="I6" i="70"/>
  <c r="L6" i="70"/>
  <c r="G5" i="68"/>
  <c r="S5" i="68"/>
  <c r="Y21" i="68"/>
  <c r="W5" i="68"/>
  <c r="L15" i="67"/>
  <c r="L30" i="67"/>
  <c r="N15" i="67"/>
  <c r="N30" i="67"/>
  <c r="AA12" i="66"/>
  <c r="P12" i="66"/>
  <c r="U12" i="66"/>
  <c r="V12" i="66"/>
  <c r="U32" i="63"/>
  <c r="B32" i="63"/>
  <c r="F32" i="63"/>
  <c r="J32" i="63"/>
  <c r="E32" i="63"/>
  <c r="V32" i="63"/>
  <c r="J74" i="63"/>
  <c r="G32" i="63"/>
  <c r="G7" i="62"/>
  <c r="K21" i="65"/>
  <c r="K8" i="65"/>
  <c r="N19" i="65"/>
  <c r="N6" i="65"/>
  <c r="X7" i="65"/>
  <c r="G21" i="65"/>
  <c r="G8" i="65"/>
  <c r="T8" i="65"/>
  <c r="R8" i="65"/>
  <c r="K12" i="67"/>
  <c r="K26" i="67"/>
  <c r="S12" i="67"/>
  <c r="S26" i="67"/>
  <c r="K37" i="58"/>
  <c r="P37" i="58"/>
  <c r="X44" i="63"/>
  <c r="AE44" i="63"/>
  <c r="Q37" i="58"/>
  <c r="M45" i="63"/>
  <c r="M55" i="63"/>
  <c r="X41" i="63"/>
  <c r="AE41" i="63"/>
  <c r="O48" i="63"/>
  <c r="Q46" i="63"/>
  <c r="D53" i="63"/>
  <c r="L40" i="58"/>
  <c r="U53" i="63"/>
  <c r="N53" i="63"/>
  <c r="Q44" i="63"/>
  <c r="J39" i="58"/>
  <c r="S44" i="63"/>
  <c r="J37" i="58"/>
  <c r="S46" i="63"/>
  <c r="V46" i="63"/>
  <c r="C44" i="63"/>
  <c r="U41" i="63"/>
  <c r="L45" i="63"/>
  <c r="L55" i="63"/>
  <c r="N37" i="58"/>
  <c r="Q57" i="63"/>
  <c r="O38" i="58"/>
  <c r="L44" i="63"/>
  <c r="K44" i="63"/>
  <c r="K41" i="63"/>
  <c r="S64" i="63"/>
  <c r="L77" i="63"/>
  <c r="L64" i="63"/>
  <c r="J79" i="63"/>
  <c r="F16" i="59"/>
  <c r="F63" i="63"/>
  <c r="U77" i="63"/>
  <c r="C64" i="63"/>
  <c r="E25" i="63"/>
  <c r="E35" i="63"/>
  <c r="P31" i="62"/>
  <c r="D31" i="62"/>
  <c r="D30" i="62"/>
  <c r="F19" i="59"/>
  <c r="U62" i="63"/>
  <c r="R63" i="63"/>
  <c r="G7" i="76"/>
  <c r="E7" i="76"/>
  <c r="F7" i="76"/>
  <c r="E8" i="76"/>
  <c r="E14" i="76"/>
  <c r="F5" i="76"/>
  <c r="Q10" i="67"/>
  <c r="R38" i="62"/>
  <c r="R37" i="62"/>
  <c r="E38" i="62"/>
  <c r="E37" i="62"/>
  <c r="L10" i="67"/>
  <c r="J5" i="61"/>
  <c r="M11" i="61"/>
  <c r="N5" i="61"/>
  <c r="G5" i="61"/>
  <c r="K11" i="61"/>
  <c r="O38" i="62"/>
  <c r="O37" i="62"/>
  <c r="P5" i="61"/>
  <c r="E10" i="20"/>
  <c r="F26" i="20"/>
  <c r="F20" i="20"/>
  <c r="F10" i="20"/>
  <c r="F14" i="20"/>
  <c r="F16" i="20"/>
  <c r="G22" i="20"/>
  <c r="F9" i="20"/>
  <c r="F13" i="59"/>
  <c r="F76" i="63"/>
  <c r="E12" i="20"/>
  <c r="G38" i="20"/>
  <c r="G8" i="78"/>
  <c r="F28" i="20"/>
  <c r="U13" i="59"/>
  <c r="U76" i="63"/>
  <c r="G25" i="20"/>
  <c r="G36" i="20"/>
  <c r="T10" i="59"/>
  <c r="T70" i="63"/>
  <c r="Q8" i="78"/>
  <c r="F27" i="20"/>
  <c r="F36" i="20"/>
  <c r="F23" i="20"/>
  <c r="E36" i="20"/>
  <c r="F5" i="20"/>
  <c r="F5" i="59"/>
  <c r="F73" i="63"/>
  <c r="F24" i="20"/>
  <c r="E14" i="20"/>
  <c r="E20" i="20"/>
  <c r="F11" i="20"/>
  <c r="E9" i="20"/>
  <c r="E13" i="59"/>
  <c r="E76" i="63"/>
  <c r="F13" i="20"/>
  <c r="F15" i="20"/>
  <c r="E27" i="20"/>
  <c r="G37" i="20"/>
  <c r="R8" i="78"/>
  <c r="F17" i="20"/>
  <c r="N9" i="59"/>
  <c r="N75" i="63"/>
  <c r="E8" i="20"/>
  <c r="E10" i="59"/>
  <c r="E70" i="63"/>
  <c r="F34" i="20"/>
  <c r="F21" i="20"/>
  <c r="E34" i="20"/>
  <c r="G23" i="20"/>
  <c r="F22" i="20"/>
  <c r="E13" i="20"/>
  <c r="E21" i="20"/>
  <c r="F37" i="20"/>
  <c r="Q10" i="59"/>
  <c r="E28" i="20"/>
  <c r="J17" i="62"/>
  <c r="P8" i="78"/>
  <c r="J13" i="59"/>
  <c r="J76" i="63"/>
  <c r="E26" i="20"/>
  <c r="B6" i="79"/>
  <c r="B14" i="79"/>
  <c r="F33" i="20"/>
  <c r="Q11" i="61"/>
  <c r="C7" i="78"/>
  <c r="X10" i="59"/>
  <c r="X70" i="63"/>
  <c r="Q5" i="61"/>
  <c r="E25" i="20"/>
  <c r="M5" i="59"/>
  <c r="M73" i="63"/>
  <c r="K25" i="65"/>
  <c r="K13" i="65"/>
  <c r="K12" i="65"/>
  <c r="D11" i="61"/>
  <c r="D10" i="67"/>
  <c r="E9" i="67"/>
  <c r="K7" i="67"/>
  <c r="L50" i="63"/>
  <c r="M50" i="63"/>
  <c r="K42" i="63"/>
  <c r="K54" i="63"/>
  <c r="R32" i="63"/>
  <c r="J11" i="67"/>
  <c r="J25" i="67"/>
  <c r="P11" i="67"/>
  <c r="P25" i="67"/>
  <c r="K74" i="63"/>
  <c r="P77" i="63"/>
  <c r="Q11" i="67"/>
  <c r="Q25" i="67"/>
  <c r="J48" i="63"/>
  <c r="W46" i="63"/>
  <c r="O46" i="63"/>
  <c r="AE9" i="58"/>
  <c r="L46" i="63"/>
  <c r="C77" i="63"/>
  <c r="C79" i="63"/>
  <c r="T77" i="63"/>
  <c r="P12" i="67"/>
  <c r="P26" i="67"/>
  <c r="F21" i="65"/>
  <c r="F8" i="65"/>
  <c r="L20" i="65"/>
  <c r="L7" i="65"/>
  <c r="F20" i="65"/>
  <c r="F7" i="65"/>
  <c r="T7" i="65"/>
  <c r="C20" i="65"/>
  <c r="C7" i="65"/>
  <c r="N32" i="63"/>
  <c r="N74" i="63"/>
  <c r="D12" i="48"/>
  <c r="AE21" i="59"/>
  <c r="U11" i="67"/>
  <c r="U25" i="67"/>
  <c r="C25" i="63"/>
  <c r="C35" i="63"/>
  <c r="S48" i="63"/>
  <c r="O47" i="63"/>
  <c r="C47" i="63"/>
  <c r="L47" i="63"/>
  <c r="P62" i="63"/>
  <c r="T62" i="63"/>
  <c r="F15" i="59"/>
  <c r="F62" i="63"/>
  <c r="X32" i="63"/>
  <c r="X74" i="63"/>
  <c r="R11" i="67"/>
  <c r="R25" i="67"/>
  <c r="K32" i="63"/>
  <c r="L37" i="58"/>
  <c r="O37" i="58"/>
  <c r="O8" i="67"/>
  <c r="C37" i="58"/>
  <c r="R77" i="63"/>
  <c r="G11" i="67"/>
  <c r="G25" i="67"/>
  <c r="S32" i="63"/>
  <c r="N8" i="67"/>
  <c r="V8" i="67"/>
  <c r="T8" i="67"/>
  <c r="O77" i="63"/>
  <c r="P64" i="63"/>
  <c r="T64" i="63"/>
  <c r="O64" i="63"/>
  <c r="Y12" i="66"/>
  <c r="J6" i="70"/>
  <c r="N44" i="63"/>
  <c r="C38" i="58"/>
  <c r="T47" i="63"/>
  <c r="P48" i="63"/>
  <c r="R57" i="63"/>
  <c r="N77" i="63"/>
  <c r="J63" i="63"/>
  <c r="E6" i="62"/>
  <c r="G8" i="62"/>
  <c r="F6" i="70"/>
  <c r="Q29" i="67"/>
  <c r="O6" i="70"/>
  <c r="R62" i="63"/>
  <c r="L31" i="62"/>
  <c r="E11" i="67"/>
  <c r="E25" i="67"/>
  <c r="V11" i="67"/>
  <c r="V25" i="67"/>
  <c r="G12" i="67"/>
  <c r="G26" i="67"/>
  <c r="M21" i="65"/>
  <c r="M8" i="65"/>
  <c r="N6" i="70"/>
  <c r="Q38" i="58"/>
  <c r="W44" i="63"/>
  <c r="W56" i="63"/>
  <c r="K62" i="63"/>
  <c r="E21" i="65"/>
  <c r="E8" i="65"/>
  <c r="N21" i="65"/>
  <c r="N8" i="65"/>
  <c r="H46" i="62"/>
  <c r="F29" i="20"/>
  <c r="P25" i="65"/>
  <c r="P13" i="65"/>
  <c r="P12" i="65"/>
  <c r="R10" i="67"/>
  <c r="E33" i="20"/>
  <c r="P10" i="67"/>
  <c r="F9" i="67"/>
  <c r="U9" i="67"/>
  <c r="D9" i="67"/>
  <c r="K9" i="67"/>
  <c r="B9" i="79"/>
  <c r="E13" i="48"/>
  <c r="T9" i="79"/>
  <c r="T15" i="79"/>
  <c r="E29" i="20"/>
  <c r="E12" i="48"/>
  <c r="O12" i="61"/>
  <c r="O6" i="79"/>
  <c r="O5" i="79"/>
  <c r="O8" i="78"/>
  <c r="R9" i="67"/>
  <c r="E41" i="20"/>
  <c r="J9" i="67"/>
  <c r="J11" i="61"/>
  <c r="K9" i="59"/>
  <c r="K75" i="63"/>
  <c r="C38" i="62"/>
  <c r="C37" i="62"/>
  <c r="N25" i="65"/>
  <c r="N13" i="65"/>
  <c r="N12" i="65"/>
  <c r="F41" i="20"/>
  <c r="M37" i="58"/>
  <c r="M42" i="63"/>
  <c r="M54" i="63"/>
  <c r="U47" i="63"/>
  <c r="U50" i="63"/>
  <c r="W49" i="63"/>
  <c r="R49" i="63"/>
  <c r="V49" i="63"/>
  <c r="O49" i="63"/>
  <c r="AE12" i="58"/>
  <c r="J49" i="63"/>
  <c r="M49" i="63"/>
  <c r="P49" i="63"/>
  <c r="D49" i="63"/>
  <c r="P11" i="61"/>
  <c r="M41" i="63"/>
  <c r="D45" i="63"/>
  <c r="D55" i="63"/>
  <c r="D48" i="63"/>
  <c r="K49" i="63"/>
  <c r="W7" i="65"/>
  <c r="S7" i="65"/>
  <c r="D66" i="63"/>
  <c r="T74" i="63"/>
  <c r="T32" i="63"/>
  <c r="G15" i="67"/>
  <c r="C45" i="63"/>
  <c r="V56" i="63"/>
  <c r="C46" i="63"/>
  <c r="K57" i="63"/>
  <c r="Q56" i="63"/>
  <c r="P47" i="63"/>
  <c r="P57" i="63"/>
  <c r="M40" i="58"/>
  <c r="T41" i="63"/>
  <c r="P7" i="67"/>
  <c r="D41" i="63"/>
  <c r="O41" i="63"/>
  <c r="D44" i="63"/>
  <c r="J41" i="63"/>
  <c r="C8" i="67"/>
  <c r="R41" i="63"/>
  <c r="L41" i="63"/>
  <c r="J62" i="63"/>
  <c r="X31" i="62"/>
  <c r="T79" i="63"/>
  <c r="Q12" i="67"/>
  <c r="Q26" i="67"/>
  <c r="M20" i="65"/>
  <c r="M19" i="65"/>
  <c r="M6" i="65"/>
  <c r="G6" i="62"/>
  <c r="S11" i="67"/>
  <c r="G80" i="63"/>
  <c r="G69" i="63"/>
  <c r="G74" i="63"/>
  <c r="K5" i="68"/>
  <c r="E40" i="58"/>
  <c r="Q47" i="63"/>
  <c r="R56" i="63"/>
  <c r="R7" i="67"/>
  <c r="X57" i="63"/>
  <c r="P41" i="63"/>
  <c r="M44" i="63"/>
  <c r="J44" i="63"/>
  <c r="P8" i="67"/>
  <c r="C62" i="63"/>
  <c r="M79" i="63"/>
  <c r="P20" i="65"/>
  <c r="P7" i="65"/>
  <c r="K20" i="65"/>
  <c r="D12" i="67"/>
  <c r="D26" i="67"/>
  <c r="Q20" i="65"/>
  <c r="Q7" i="65"/>
  <c r="AE10" i="61"/>
  <c r="P32" i="63"/>
  <c r="P74" i="63"/>
  <c r="S12" i="66"/>
  <c r="O29" i="67"/>
  <c r="L39" i="58"/>
  <c r="S53" i="63"/>
  <c r="D40" i="58"/>
  <c r="C40" i="58"/>
  <c r="J57" i="63"/>
  <c r="P46" i="63"/>
  <c r="T46" i="63"/>
  <c r="V44" i="63"/>
  <c r="K40" i="58"/>
  <c r="J42" i="63"/>
  <c r="K8" i="67"/>
  <c r="O39" i="58"/>
  <c r="P39" i="58"/>
  <c r="X12" i="67"/>
  <c r="O20" i="65"/>
  <c r="O7" i="65"/>
  <c r="V12" i="67"/>
  <c r="M11" i="67"/>
  <c r="M25" i="67"/>
  <c r="D11" i="67"/>
  <c r="M12" i="67"/>
  <c r="N12" i="67"/>
  <c r="N26" i="67"/>
  <c r="E12" i="67"/>
  <c r="E26" i="67"/>
  <c r="Q39" i="58"/>
  <c r="F12" i="67"/>
  <c r="F26" i="67"/>
  <c r="V7" i="65"/>
  <c r="J12" i="66"/>
  <c r="K15" i="67"/>
  <c r="K30" i="67"/>
  <c r="G20" i="65"/>
  <c r="G7" i="65"/>
  <c r="G68" i="63"/>
  <c r="F12" i="66"/>
  <c r="E5" i="48"/>
  <c r="C12" i="66"/>
  <c r="D12" i="66"/>
  <c r="K23" i="48"/>
  <c r="Z15" i="67"/>
  <c r="F68" i="63"/>
  <c r="G5" i="48"/>
  <c r="D5" i="48"/>
  <c r="J5" i="48"/>
  <c r="T15" i="67"/>
  <c r="T30" i="67"/>
  <c r="F8" i="76"/>
  <c r="O15" i="67"/>
  <c r="X12" i="66"/>
  <c r="T23" i="54"/>
  <c r="W23" i="54"/>
  <c r="Q9" i="73"/>
  <c r="H5" i="48"/>
  <c r="K6" i="48"/>
  <c r="Z12" i="66"/>
  <c r="J17" i="52"/>
  <c r="T38" i="62"/>
  <c r="T37" i="62"/>
  <c r="S5" i="61"/>
  <c r="U38" i="62"/>
  <c r="U37" i="62"/>
  <c r="F25" i="20"/>
  <c r="N11" i="61"/>
  <c r="R11" i="61"/>
  <c r="V13" i="59"/>
  <c r="V76" i="63"/>
  <c r="W13" i="59"/>
  <c r="W76" i="63"/>
  <c r="J37" i="52"/>
  <c r="J43" i="52"/>
  <c r="J11" i="52"/>
  <c r="J21" i="52"/>
  <c r="Q25" i="65"/>
  <c r="Q13" i="65"/>
  <c r="Q12" i="65"/>
  <c r="J25" i="65"/>
  <c r="J13" i="65"/>
  <c r="J12" i="65"/>
  <c r="D25" i="65"/>
  <c r="D13" i="65"/>
  <c r="D12" i="65"/>
  <c r="M22" i="52"/>
  <c r="N22" i="52"/>
  <c r="J22" i="52"/>
  <c r="S11" i="61"/>
  <c r="W9" i="67"/>
  <c r="S9" i="67"/>
  <c r="P9" i="67"/>
  <c r="C9" i="67"/>
  <c r="L9" i="67"/>
  <c r="W10" i="67"/>
  <c r="M10" i="67"/>
  <c r="C11" i="61"/>
  <c r="L38" i="62"/>
  <c r="L37" i="62"/>
  <c r="Q9" i="67"/>
  <c r="T11" i="61"/>
  <c r="W17" i="62"/>
  <c r="V17" i="62"/>
  <c r="H12" i="48"/>
  <c r="S62" i="63"/>
  <c r="R6" i="65"/>
  <c r="C19" i="65"/>
  <c r="N20" i="65"/>
  <c r="N7" i="65"/>
  <c r="K31" i="62"/>
  <c r="N79" i="63"/>
  <c r="V6" i="65"/>
  <c r="L32" i="63"/>
  <c r="M25" i="63"/>
  <c r="M35" i="63"/>
  <c r="D25" i="63"/>
  <c r="D35" i="63"/>
  <c r="J25" i="63"/>
  <c r="J35" i="63"/>
  <c r="W6" i="65"/>
  <c r="F19" i="65"/>
  <c r="F6" i="65"/>
  <c r="L19" i="65"/>
  <c r="L6" i="65"/>
  <c r="D19" i="65"/>
  <c r="D6" i="65"/>
  <c r="O19" i="65"/>
  <c r="O6" i="65"/>
  <c r="K19" i="65"/>
  <c r="K6" i="65"/>
  <c r="J19" i="65"/>
  <c r="J6" i="65"/>
  <c r="F8" i="62"/>
  <c r="F10" i="62"/>
  <c r="H32" i="62"/>
  <c r="E69" i="63"/>
  <c r="E74" i="63"/>
  <c r="E68" i="63"/>
  <c r="M32" i="63"/>
  <c r="T6" i="65"/>
  <c r="L25" i="63"/>
  <c r="L35" i="63"/>
  <c r="E19" i="65"/>
  <c r="E6" i="65"/>
  <c r="E80" i="63"/>
  <c r="P8" i="65"/>
  <c r="F11" i="67"/>
  <c r="F25" i="67"/>
  <c r="D74" i="63"/>
  <c r="W48" i="63"/>
  <c r="C48" i="63"/>
  <c r="Q48" i="63"/>
  <c r="W57" i="63"/>
  <c r="O57" i="63"/>
  <c r="S57" i="63"/>
  <c r="G8" i="59"/>
  <c r="E8" i="59"/>
  <c r="F8" i="59"/>
  <c r="V63" i="63"/>
  <c r="W63" i="63"/>
  <c r="G16" i="59"/>
  <c r="G63" i="63"/>
  <c r="F9" i="62"/>
  <c r="V5" i="59"/>
  <c r="V73" i="63"/>
  <c r="O44" i="63"/>
  <c r="U48" i="63"/>
  <c r="F40" i="58"/>
  <c r="C63" i="63"/>
  <c r="P63" i="63"/>
  <c r="K77" i="63"/>
  <c r="N62" i="63"/>
  <c r="M63" i="63"/>
  <c r="J12" i="67"/>
  <c r="J26" i="67"/>
  <c r="AE17" i="60"/>
  <c r="G19" i="65"/>
  <c r="K25" i="63"/>
  <c r="K35" i="63"/>
  <c r="O12" i="67"/>
  <c r="O26" i="67"/>
  <c r="D37" i="58"/>
  <c r="D46" i="63"/>
  <c r="W8" i="67"/>
  <c r="R8" i="67"/>
  <c r="L8" i="67"/>
  <c r="V64" i="63"/>
  <c r="W64" i="63"/>
  <c r="E17" i="59"/>
  <c r="E64" i="63"/>
  <c r="K64" i="63"/>
  <c r="J64" i="63"/>
  <c r="D64" i="63"/>
  <c r="N64" i="63"/>
  <c r="F17" i="59"/>
  <c r="F64" i="63"/>
  <c r="AE18" i="60"/>
  <c r="W8" i="78"/>
  <c r="G19" i="48"/>
  <c r="W12" i="61"/>
  <c r="N40" i="58"/>
  <c r="S77" i="63"/>
  <c r="O63" i="63"/>
  <c r="R12" i="67"/>
  <c r="R26" i="67"/>
  <c r="O32" i="63"/>
  <c r="E19" i="59"/>
  <c r="C11" i="67"/>
  <c r="C25" i="67"/>
  <c r="L12" i="67"/>
  <c r="L26" i="67"/>
  <c r="T12" i="67"/>
  <c r="T26" i="67"/>
  <c r="T11" i="67"/>
  <c r="T25" i="67"/>
  <c r="E7" i="62"/>
  <c r="X56" i="63"/>
  <c r="N48" i="63"/>
  <c r="Q49" i="63"/>
  <c r="Q8" i="67"/>
  <c r="D57" i="63"/>
  <c r="S63" i="63"/>
  <c r="L63" i="63"/>
  <c r="O11" i="67"/>
  <c r="O25" i="67"/>
  <c r="E20" i="65"/>
  <c r="E7" i="65"/>
  <c r="D32" i="63"/>
  <c r="L74" i="63"/>
  <c r="G10" i="62"/>
  <c r="V62" i="63"/>
  <c r="W62" i="63"/>
  <c r="V8" i="65"/>
  <c r="L21" i="65"/>
  <c r="Q21" i="65"/>
  <c r="Q8" i="65"/>
  <c r="J21" i="65"/>
  <c r="W8" i="65"/>
  <c r="D33" i="62"/>
  <c r="W77" i="63"/>
  <c r="L11" i="67"/>
  <c r="Q32" i="63"/>
  <c r="W41" i="63"/>
  <c r="W79" i="63"/>
  <c r="V31" i="62"/>
  <c r="U79" i="63"/>
  <c r="R79" i="63"/>
  <c r="U12" i="67"/>
  <c r="U26" i="67"/>
  <c r="W12" i="67"/>
  <c r="W26" i="67"/>
  <c r="C32" i="63"/>
  <c r="H6" i="48"/>
  <c r="AB15" i="67"/>
  <c r="Z10" i="73"/>
  <c r="N12" i="66"/>
  <c r="V74" i="63"/>
  <c r="W11" i="67"/>
  <c r="L5" i="48"/>
  <c r="R29" i="67"/>
  <c r="Y7" i="69"/>
  <c r="H29" i="67"/>
  <c r="H23" i="48"/>
  <c r="H21" i="59"/>
  <c r="H77" i="63"/>
  <c r="AB12" i="66"/>
  <c r="Y10" i="73"/>
  <c r="V77" i="63"/>
  <c r="X15" i="67"/>
  <c r="G32" i="62"/>
  <c r="C66" i="63"/>
  <c r="C33" i="62"/>
  <c r="E9" i="62"/>
  <c r="F6" i="62"/>
  <c r="AE9" i="62"/>
  <c r="H10" i="62"/>
  <c r="G9" i="62"/>
  <c r="H8" i="62"/>
  <c r="F32" i="62"/>
  <c r="F7" i="62"/>
  <c r="E10" i="62"/>
  <c r="E32" i="62"/>
  <c r="E8" i="62"/>
  <c r="V38" i="62"/>
  <c r="V37" i="62"/>
  <c r="F9" i="73"/>
  <c r="J40" i="58"/>
  <c r="J56" i="63"/>
  <c r="I6" i="48"/>
  <c r="AB9" i="79"/>
  <c r="M13" i="48"/>
  <c r="J25" i="52"/>
  <c r="W6" i="79"/>
  <c r="W5" i="79"/>
  <c r="F13" i="48"/>
  <c r="U9" i="79"/>
  <c r="U15" i="79"/>
  <c r="Z77" i="63"/>
  <c r="Z64" i="63"/>
  <c r="X38" i="62"/>
  <c r="X37" i="62"/>
  <c r="E35" i="20"/>
  <c r="F35" i="20"/>
  <c r="O32" i="20"/>
  <c r="O15" i="78"/>
  <c r="G24" i="20"/>
  <c r="G20" i="20"/>
  <c r="E38" i="20"/>
  <c r="E8" i="78"/>
  <c r="E7" i="78"/>
  <c r="F22" i="59"/>
  <c r="F31" i="62"/>
  <c r="D17" i="62"/>
  <c r="K17" i="62"/>
  <c r="S10" i="59"/>
  <c r="S70" i="63"/>
  <c r="N10" i="59"/>
  <c r="N70" i="63"/>
  <c r="E7" i="20"/>
  <c r="E9" i="59"/>
  <c r="E75" i="63"/>
  <c r="T9" i="59"/>
  <c r="T75" i="63"/>
  <c r="J9" i="59"/>
  <c r="J75" i="63"/>
  <c r="L9" i="59"/>
  <c r="L75" i="63"/>
  <c r="V9" i="59"/>
  <c r="V75" i="63"/>
  <c r="C9" i="59"/>
  <c r="C75" i="63"/>
  <c r="C71" i="63"/>
  <c r="W9" i="59"/>
  <c r="W75" i="63"/>
  <c r="Q9" i="59"/>
  <c r="Q75" i="63"/>
  <c r="X9" i="59"/>
  <c r="X75" i="63"/>
  <c r="L36" i="58"/>
  <c r="D32" i="20"/>
  <c r="D15" i="78"/>
  <c r="C17" i="62"/>
  <c r="AE28" i="20"/>
  <c r="X5" i="61"/>
  <c r="N7" i="78"/>
  <c r="S7" i="67"/>
  <c r="D19" i="48"/>
  <c r="Q31" i="62"/>
  <c r="AE6" i="20"/>
  <c r="G6" i="20"/>
  <c r="F6" i="20"/>
  <c r="F6" i="59"/>
  <c r="F7" i="59"/>
  <c r="E6" i="20"/>
  <c r="X6" i="59"/>
  <c r="X7" i="59"/>
  <c r="G8" i="20"/>
  <c r="G10" i="59"/>
  <c r="AE7" i="62"/>
  <c r="R17" i="62"/>
  <c r="S7" i="78"/>
  <c r="C10" i="59"/>
  <c r="C70" i="63"/>
  <c r="K6" i="59"/>
  <c r="K7" i="59"/>
  <c r="AE10" i="20"/>
  <c r="E5" i="20"/>
  <c r="E5" i="59"/>
  <c r="E73" i="63"/>
  <c r="J5" i="59"/>
  <c r="J73" i="63"/>
  <c r="T5" i="59"/>
  <c r="T73" i="63"/>
  <c r="S5" i="59"/>
  <c r="S73" i="63"/>
  <c r="N5" i="59"/>
  <c r="N73" i="63"/>
  <c r="N72" i="63"/>
  <c r="O5" i="59"/>
  <c r="O73" i="63"/>
  <c r="G5" i="20"/>
  <c r="G5" i="59"/>
  <c r="G73" i="63"/>
  <c r="D5" i="59"/>
  <c r="D73" i="63"/>
  <c r="W5" i="59"/>
  <c r="W73" i="63"/>
  <c r="R5" i="59"/>
  <c r="R73" i="63"/>
  <c r="R72" i="63"/>
  <c r="R71" i="63"/>
  <c r="X5" i="59"/>
  <c r="X73" i="63"/>
  <c r="X72" i="63"/>
  <c r="AB67" i="63"/>
  <c r="X50" i="63"/>
  <c r="G7" i="20"/>
  <c r="G9" i="59"/>
  <c r="G75" i="63"/>
  <c r="M39" i="58"/>
  <c r="D36" i="58"/>
  <c r="O17" i="62"/>
  <c r="Y11" i="72"/>
  <c r="K53" i="63"/>
  <c r="L72" i="63"/>
  <c r="F69" i="63"/>
  <c r="F74" i="63"/>
  <c r="F72" i="63"/>
  <c r="Q74" i="63"/>
  <c r="W9" i="79"/>
  <c r="W8" i="79"/>
  <c r="H13" i="48"/>
  <c r="C6" i="48"/>
  <c r="J9" i="73"/>
  <c r="AE8" i="62"/>
  <c r="K8" i="78"/>
  <c r="L7" i="78"/>
  <c r="U13" i="78"/>
  <c r="U12" i="78"/>
  <c r="AD8" i="62"/>
  <c r="F5" i="48"/>
  <c r="U15" i="67"/>
  <c r="U30" i="67"/>
  <c r="M9" i="79"/>
  <c r="M15" i="79"/>
  <c r="Z5" i="72"/>
  <c r="R64" i="63"/>
  <c r="Y5" i="72"/>
  <c r="P13" i="59"/>
  <c r="P76" i="63"/>
  <c r="G17" i="59"/>
  <c r="G64" i="63"/>
  <c r="Q5" i="69"/>
  <c r="G24" i="48"/>
  <c r="M12" i="72"/>
  <c r="C22" i="48"/>
  <c r="K5" i="59"/>
  <c r="K73" i="63"/>
  <c r="K72" i="63"/>
  <c r="K71" i="63"/>
  <c r="O67" i="63"/>
  <c r="AB30" i="62"/>
  <c r="AE14" i="76"/>
  <c r="U46" i="63"/>
  <c r="O62" i="63"/>
  <c r="G6" i="66"/>
  <c r="G5" i="66"/>
  <c r="E9" i="73"/>
  <c r="AD32" i="62"/>
  <c r="K22" i="52"/>
  <c r="O10" i="59"/>
  <c r="O70" i="63"/>
  <c r="T67" i="63"/>
  <c r="K6" i="66"/>
  <c r="K5" i="66"/>
  <c r="R48" i="63"/>
  <c r="AE9" i="60"/>
  <c r="S6" i="66"/>
  <c r="S5" i="66"/>
  <c r="T12" i="66"/>
  <c r="AE8" i="61"/>
  <c r="E6" i="70"/>
  <c r="H14" i="48"/>
  <c r="Q13" i="78"/>
  <c r="Q12" i="78"/>
  <c r="J6" i="59"/>
  <c r="J7" i="59"/>
  <c r="AD10" i="62"/>
  <c r="O13" i="78"/>
  <c r="O12" i="78"/>
  <c r="D13" i="78"/>
  <c r="D12" i="78"/>
  <c r="F10" i="76"/>
  <c r="C13" i="78"/>
  <c r="C12" i="78"/>
  <c r="N11" i="67"/>
  <c r="N25" i="67"/>
  <c r="G6" i="70"/>
  <c r="X8" i="67"/>
  <c r="S8" i="67"/>
  <c r="U8" i="67"/>
  <c r="D8" i="67"/>
  <c r="M8" i="67"/>
  <c r="N13" i="59"/>
  <c r="N76" i="63"/>
  <c r="E23" i="20"/>
  <c r="E11" i="61"/>
  <c r="AE10" i="18"/>
  <c r="X13" i="59"/>
  <c r="X76" i="63"/>
  <c r="O12" i="66"/>
  <c r="N6" i="66"/>
  <c r="N5" i="66"/>
  <c r="J77" i="63"/>
  <c r="S74" i="63"/>
  <c r="J23" i="48"/>
  <c r="E23" i="48"/>
  <c r="E14" i="60"/>
  <c r="S15" i="76"/>
  <c r="S8" i="68"/>
  <c r="S19" i="68"/>
  <c r="E9" i="76"/>
  <c r="D14" i="60"/>
  <c r="D19" i="60"/>
  <c r="J11" i="76"/>
  <c r="AB13" i="78"/>
  <c r="AB12" i="78"/>
  <c r="O6" i="66"/>
  <c r="O5" i="66"/>
  <c r="C12" i="72"/>
  <c r="P13" i="78"/>
  <c r="P12" i="78"/>
  <c r="G14" i="48"/>
  <c r="H15" i="67"/>
  <c r="H30" i="67"/>
  <c r="E9" i="79"/>
  <c r="L9" i="79"/>
  <c r="L15" i="79"/>
  <c r="T26" i="18"/>
  <c r="D62" i="63"/>
  <c r="K9" i="73"/>
  <c r="Q9" i="79"/>
  <c r="Q15" i="79"/>
  <c r="L11" i="76"/>
  <c r="Z10" i="72"/>
  <c r="G14" i="76"/>
  <c r="N13" i="78"/>
  <c r="N12" i="78"/>
  <c r="E14" i="48"/>
  <c r="I14" i="48"/>
  <c r="C14" i="48"/>
  <c r="F13" i="78"/>
  <c r="F12" i="78"/>
  <c r="E5" i="58"/>
  <c r="E7" i="67"/>
  <c r="AE28" i="58"/>
  <c r="K9" i="70"/>
  <c r="K10" i="70"/>
  <c r="L15" i="68"/>
  <c r="L5" i="68"/>
  <c r="T15" i="68"/>
  <c r="T5" i="68"/>
  <c r="K12" i="66"/>
  <c r="S47" i="63"/>
  <c r="M47" i="63"/>
  <c r="F18" i="58"/>
  <c r="G8" i="76"/>
  <c r="AB62" i="63"/>
  <c r="T63" i="63"/>
  <c r="AE8" i="60"/>
  <c r="G5" i="76"/>
  <c r="M6" i="48"/>
  <c r="P6" i="48"/>
  <c r="D11" i="76"/>
  <c r="J13" i="78"/>
  <c r="J12" i="78"/>
  <c r="C9" i="79"/>
  <c r="C15" i="79"/>
  <c r="X5" i="68"/>
  <c r="J8" i="67"/>
  <c r="AB8" i="67"/>
  <c r="AE8" i="67"/>
  <c r="C39" i="58"/>
  <c r="H12" i="72"/>
  <c r="K5" i="69"/>
  <c r="M9" i="73"/>
  <c r="C5" i="48"/>
  <c r="G13" i="76"/>
  <c r="N11" i="76"/>
  <c r="R11" i="76"/>
  <c r="G10" i="76"/>
  <c r="F9" i="76"/>
  <c r="R12" i="66"/>
  <c r="N12" i="72"/>
  <c r="D22" i="48"/>
  <c r="P9" i="79"/>
  <c r="P15" i="79"/>
  <c r="AE13" i="76"/>
  <c r="X62" i="63"/>
  <c r="G6" i="76"/>
  <c r="C11" i="76"/>
  <c r="C15" i="76"/>
  <c r="C8" i="68"/>
  <c r="AE9" i="76"/>
  <c r="X64" i="63"/>
  <c r="D9" i="79"/>
  <c r="D8" i="79"/>
  <c r="K9" i="79"/>
  <c r="K15" i="79"/>
  <c r="AE12" i="76"/>
  <c r="L13" i="78"/>
  <c r="L12" i="78"/>
  <c r="G9" i="79"/>
  <c r="G8" i="79"/>
  <c r="N9" i="79"/>
  <c r="N15" i="79"/>
  <c r="AE10" i="76"/>
  <c r="J15" i="68"/>
  <c r="AE5" i="76"/>
  <c r="S49" i="63"/>
  <c r="F13" i="58"/>
  <c r="C14" i="60"/>
  <c r="C19" i="60"/>
  <c r="C8" i="64"/>
  <c r="C5" i="64"/>
  <c r="E6" i="76"/>
  <c r="G9" i="76"/>
  <c r="U49" i="63"/>
  <c r="L49" i="63"/>
  <c r="C41" i="63"/>
  <c r="C40" i="63"/>
  <c r="E13" i="78"/>
  <c r="E12" i="78"/>
  <c r="L21" i="68"/>
  <c r="P15" i="68"/>
  <c r="P6" i="66"/>
  <c r="P5" i="66"/>
  <c r="Z11" i="72"/>
  <c r="AE7" i="65"/>
  <c r="AE6" i="18"/>
  <c r="K43" i="63"/>
  <c r="K86" i="63"/>
  <c r="M7" i="78"/>
  <c r="X46" i="63"/>
  <c r="AE46" i="63"/>
  <c r="T12" i="72"/>
  <c r="J22" i="48"/>
  <c r="M17" i="62"/>
  <c r="U8" i="78"/>
  <c r="D79" i="63"/>
  <c r="R10" i="59"/>
  <c r="R70" i="63"/>
  <c r="O7" i="78"/>
  <c r="D11" i="59"/>
  <c r="D15" i="62"/>
  <c r="D16" i="62"/>
  <c r="D42" i="62"/>
  <c r="AE7" i="20"/>
  <c r="AE9" i="18"/>
  <c r="AB8" i="78"/>
  <c r="U10" i="59"/>
  <c r="U70" i="63"/>
  <c r="U91" i="63"/>
  <c r="R67" i="63"/>
  <c r="N67" i="63"/>
  <c r="W5" i="69"/>
  <c r="X49" i="63"/>
  <c r="AE49" i="63"/>
  <c r="P12" i="72"/>
  <c r="F22" i="48"/>
  <c r="T9" i="73"/>
  <c r="AE23" i="58"/>
  <c r="AB32" i="20"/>
  <c r="R53" i="63"/>
  <c r="P17" i="62"/>
  <c r="J7" i="78"/>
  <c r="U12" i="72"/>
  <c r="K22" i="48"/>
  <c r="O5" i="48"/>
  <c r="O5" i="69"/>
  <c r="E24" i="48"/>
  <c r="S6" i="59"/>
  <c r="S7" i="59"/>
  <c r="AE27" i="58"/>
  <c r="AE7" i="58"/>
  <c r="D38" i="62"/>
  <c r="D37" i="62"/>
  <c r="S50" i="63"/>
  <c r="G56" i="63"/>
  <c r="T7" i="67"/>
  <c r="C67" i="63"/>
  <c r="X5" i="71"/>
  <c r="P56" i="63"/>
  <c r="L10" i="59"/>
  <c r="L11" i="59"/>
  <c r="L15" i="62"/>
  <c r="L16" i="62"/>
  <c r="L42" i="62"/>
  <c r="W53" i="63"/>
  <c r="P10" i="59"/>
  <c r="P11" i="59"/>
  <c r="P15" i="62"/>
  <c r="Y12" i="70"/>
  <c r="O5" i="61"/>
  <c r="M9" i="59"/>
  <c r="M75" i="63"/>
  <c r="Z5" i="73"/>
  <c r="AE6" i="76"/>
  <c r="AE57" i="63"/>
  <c r="E17" i="62"/>
  <c r="T8" i="78"/>
  <c r="U7" i="78"/>
  <c r="S56" i="63"/>
  <c r="O56" i="63"/>
  <c r="C19" i="48"/>
  <c r="AE22" i="20"/>
  <c r="AE16" i="58"/>
  <c r="I12" i="72"/>
  <c r="M52" i="63"/>
  <c r="AB10" i="59"/>
  <c r="AB70" i="63"/>
  <c r="AE70" i="63"/>
  <c r="AE8" i="20"/>
  <c r="L5" i="69"/>
  <c r="L9" i="73"/>
  <c r="T56" i="63"/>
  <c r="AE6" i="62"/>
  <c r="AE14" i="20"/>
  <c r="N32" i="20"/>
  <c r="N15" i="78"/>
  <c r="Q17" i="62"/>
  <c r="G9" i="20"/>
  <c r="G13" i="59"/>
  <c r="G76" i="63"/>
  <c r="K14" i="52"/>
  <c r="AE21" i="58"/>
  <c r="AE13" i="59"/>
  <c r="D52" i="63"/>
  <c r="AE20" i="18"/>
  <c r="AE8" i="58"/>
  <c r="T6" i="61"/>
  <c r="J38" i="58"/>
  <c r="L56" i="63"/>
  <c r="X53" i="63"/>
  <c r="S17" i="62"/>
  <c r="P79" i="63"/>
  <c r="P30" i="62"/>
  <c r="P6" i="59"/>
  <c r="P7" i="59"/>
  <c r="U6" i="66"/>
  <c r="U5" i="66"/>
  <c r="AE8" i="66"/>
  <c r="Y8" i="69"/>
  <c r="W12" i="72"/>
  <c r="M22" i="48"/>
  <c r="G24" i="58"/>
  <c r="E23" i="58"/>
  <c r="AE12" i="18"/>
  <c r="F19" i="48"/>
  <c r="AE18" i="18"/>
  <c r="K10" i="52"/>
  <c r="K12" i="52"/>
  <c r="E5" i="69"/>
  <c r="Q63" i="63"/>
  <c r="G9" i="73"/>
  <c r="E6" i="58"/>
  <c r="AB6" i="61"/>
  <c r="T72" i="63"/>
  <c r="T71" i="63"/>
  <c r="W67" i="63"/>
  <c r="Z9" i="72"/>
  <c r="Z7" i="73"/>
  <c r="Z8" i="73"/>
  <c r="Y9" i="72"/>
  <c r="Y8" i="73"/>
  <c r="Q62" i="63"/>
  <c r="J31" i="62"/>
  <c r="J30" i="62"/>
  <c r="Y7" i="73"/>
  <c r="R5" i="61"/>
  <c r="AE16" i="20"/>
  <c r="E12" i="72"/>
  <c r="Y6" i="72"/>
  <c r="V8" i="64"/>
  <c r="V5" i="64"/>
  <c r="Q50" i="63"/>
  <c r="U32" i="20"/>
  <c r="G32" i="20"/>
  <c r="G15" i="78"/>
  <c r="D40" i="63"/>
  <c r="D85" i="63"/>
  <c r="AE25" i="65"/>
  <c r="AE69" i="63"/>
  <c r="F14" i="58"/>
  <c r="F37" i="58"/>
  <c r="K21" i="52"/>
  <c r="G21" i="59"/>
  <c r="G77" i="63"/>
  <c r="J67" i="63"/>
  <c r="F6" i="66"/>
  <c r="F5" i="66"/>
  <c r="AE13" i="60"/>
  <c r="G20" i="67"/>
  <c r="G19" i="67"/>
  <c r="AB6" i="59"/>
  <c r="AB7" i="59"/>
  <c r="AE7" i="59"/>
  <c r="O14" i="79"/>
  <c r="O16" i="79"/>
  <c r="AE17" i="20"/>
  <c r="E27" i="58"/>
  <c r="F6" i="58"/>
  <c r="G15" i="59"/>
  <c r="G62" i="63"/>
  <c r="AE12" i="67"/>
  <c r="L53" i="63"/>
  <c r="L52" i="63"/>
  <c r="D6" i="59"/>
  <c r="D7" i="59"/>
  <c r="AE74" i="63"/>
  <c r="P32" i="20"/>
  <c r="P15" i="78"/>
  <c r="T32" i="20"/>
  <c r="T15" i="78"/>
  <c r="G25" i="58"/>
  <c r="G53" i="63"/>
  <c r="Y13" i="70"/>
  <c r="AE14" i="58"/>
  <c r="J12" i="72"/>
  <c r="AB6" i="66"/>
  <c r="AB5" i="66"/>
  <c r="V6" i="66"/>
  <c r="V5" i="66"/>
  <c r="C5" i="61"/>
  <c r="Y5" i="71"/>
  <c r="AB5" i="61"/>
  <c r="J38" i="62"/>
  <c r="J37" i="62"/>
  <c r="AE37" i="58"/>
  <c r="AB50" i="63"/>
  <c r="AE50" i="63"/>
  <c r="O7" i="67"/>
  <c r="O6" i="67"/>
  <c r="O5" i="67"/>
  <c r="N39" i="58"/>
  <c r="E5" i="61"/>
  <c r="J10" i="59"/>
  <c r="J70" i="63"/>
  <c r="J91" i="63"/>
  <c r="W72" i="63"/>
  <c r="AE68" i="63"/>
  <c r="P72" i="63"/>
  <c r="P71" i="63"/>
  <c r="C9" i="73"/>
  <c r="X77" i="63"/>
  <c r="AE77" i="63"/>
  <c r="AE5" i="18"/>
  <c r="D39" i="58"/>
  <c r="L79" i="63"/>
  <c r="C31" i="62"/>
  <c r="C30" i="62"/>
  <c r="D12" i="72"/>
  <c r="AE15" i="63"/>
  <c r="N50" i="63"/>
  <c r="X11" i="76"/>
  <c r="X15" i="76"/>
  <c r="AE9" i="61"/>
  <c r="M38" i="58"/>
  <c r="O50" i="63"/>
  <c r="U56" i="63"/>
  <c r="E15" i="59"/>
  <c r="E62" i="63"/>
  <c r="M8" i="79"/>
  <c r="AE15" i="68"/>
  <c r="G15" i="58"/>
  <c r="F5" i="60"/>
  <c r="O11" i="76"/>
  <c r="J43" i="63"/>
  <c r="J86" i="63"/>
  <c r="AE6" i="60"/>
  <c r="I5" i="48"/>
  <c r="P5" i="48"/>
  <c r="G33" i="58"/>
  <c r="AE24" i="58"/>
  <c r="E18" i="58"/>
  <c r="E26" i="58"/>
  <c r="I9" i="73"/>
  <c r="L32" i="20"/>
  <c r="L15" i="78"/>
  <c r="AE12" i="60"/>
  <c r="P38" i="62"/>
  <c r="P37" i="62"/>
  <c r="AB5" i="62"/>
  <c r="R32" i="20"/>
  <c r="R15" i="78"/>
  <c r="X17" i="62"/>
  <c r="AE17" i="62"/>
  <c r="K38" i="62"/>
  <c r="K37" i="62"/>
  <c r="G26" i="58"/>
  <c r="S32" i="20"/>
  <c r="S15" i="78"/>
  <c r="S6" i="63"/>
  <c r="S14" i="63"/>
  <c r="S31" i="63"/>
  <c r="Q38" i="62"/>
  <c r="Q37" i="62"/>
  <c r="E15" i="58"/>
  <c r="X67" i="63"/>
  <c r="AE67" i="63"/>
  <c r="O12" i="72"/>
  <c r="E22" i="48"/>
  <c r="AE22" i="58"/>
  <c r="W10" i="59"/>
  <c r="W11" i="59"/>
  <c r="W15" i="62"/>
  <c r="W16" i="62"/>
  <c r="W42" i="62"/>
  <c r="AE32" i="63"/>
  <c r="K32" i="20"/>
  <c r="K15" i="78"/>
  <c r="F12" i="72"/>
  <c r="G23" i="58"/>
  <c r="AE29" i="20"/>
  <c r="X79" i="63"/>
  <c r="O9" i="73"/>
  <c r="X48" i="63"/>
  <c r="AE48" i="63"/>
  <c r="K36" i="58"/>
  <c r="N38" i="62"/>
  <c r="N37" i="62"/>
  <c r="K12" i="72"/>
  <c r="L14" i="60"/>
  <c r="L19" i="60"/>
  <c r="F28" i="58"/>
  <c r="AE26" i="20"/>
  <c r="J32" i="20"/>
  <c r="J15" i="78"/>
  <c r="K14" i="78"/>
  <c r="AE76" i="63"/>
  <c r="AE7" i="18"/>
  <c r="G67" i="63"/>
  <c r="AE4" i="18"/>
  <c r="E22" i="59"/>
  <c r="E31" i="62"/>
  <c r="E30" i="62"/>
  <c r="M31" i="62"/>
  <c r="M30" i="62"/>
  <c r="L38" i="58"/>
  <c r="L41" i="58"/>
  <c r="L6" i="63"/>
  <c r="L22" i="63"/>
  <c r="S31" i="62"/>
  <c r="S30" i="62"/>
  <c r="E56" i="63"/>
  <c r="G12" i="72"/>
  <c r="K56" i="63"/>
  <c r="E21" i="58"/>
  <c r="E50" i="63"/>
  <c r="E91" i="63"/>
  <c r="E11" i="58"/>
  <c r="E48" i="63"/>
  <c r="Q13" i="59"/>
  <c r="Q76" i="63"/>
  <c r="M13" i="59"/>
  <c r="M76" i="63"/>
  <c r="AE7" i="66"/>
  <c r="AE80" i="63"/>
  <c r="L67" i="63"/>
  <c r="H9" i="73"/>
  <c r="X32" i="20"/>
  <c r="X15" i="78"/>
  <c r="H5" i="69"/>
  <c r="AE19" i="58"/>
  <c r="U5" i="61"/>
  <c r="AE27" i="67"/>
  <c r="AD46" i="62"/>
  <c r="L6" i="59"/>
  <c r="L7" i="59"/>
  <c r="Q40" i="58"/>
  <c r="P11" i="76"/>
  <c r="P15" i="76"/>
  <c r="P8" i="68"/>
  <c r="Q9" i="68"/>
  <c r="Q20" i="68"/>
  <c r="F15" i="58"/>
  <c r="Q12" i="72"/>
  <c r="G22" i="48"/>
  <c r="M6" i="59"/>
  <c r="M7" i="59"/>
  <c r="W5" i="61"/>
  <c r="F22" i="58"/>
  <c r="J6" i="66"/>
  <c r="J5" i="66"/>
  <c r="G7" i="58"/>
  <c r="G41" i="63"/>
  <c r="M10" i="59"/>
  <c r="M70" i="63"/>
  <c r="N9" i="73"/>
  <c r="AE14" i="18"/>
  <c r="D15" i="79"/>
  <c r="V10" i="59"/>
  <c r="V11" i="59"/>
  <c r="V15" i="62"/>
  <c r="V16" i="62"/>
  <c r="V42" i="62"/>
  <c r="E16" i="59"/>
  <c r="E63" i="63"/>
  <c r="K79" i="63"/>
  <c r="N6" i="61"/>
  <c r="M74" i="63"/>
  <c r="M72" i="63"/>
  <c r="Q32" i="20"/>
  <c r="Q15" i="78"/>
  <c r="U20" i="67"/>
  <c r="U19" i="67"/>
  <c r="K15" i="76"/>
  <c r="K8" i="68"/>
  <c r="L9" i="68"/>
  <c r="L20" i="68"/>
  <c r="AE11" i="18"/>
  <c r="C6" i="59"/>
  <c r="C7" i="59"/>
  <c r="AE5" i="60"/>
  <c r="AE9" i="20"/>
  <c r="M5" i="69"/>
  <c r="C24" i="48"/>
  <c r="F8" i="79"/>
  <c r="L40" i="63"/>
  <c r="L85" i="63"/>
  <c r="X6" i="66"/>
  <c r="X5" i="66"/>
  <c r="M56" i="63"/>
  <c r="F7" i="58"/>
  <c r="F41" i="63"/>
  <c r="F10" i="58"/>
  <c r="F47" i="63"/>
  <c r="J10" i="52"/>
  <c r="J12" i="52"/>
  <c r="AE20" i="20"/>
  <c r="W32" i="20"/>
  <c r="W15" i="78"/>
  <c r="R6" i="66"/>
  <c r="R5" i="66"/>
  <c r="E24" i="58"/>
  <c r="K67" i="63"/>
  <c r="K20" i="52"/>
  <c r="P12" i="48"/>
  <c r="V32" i="20"/>
  <c r="V15" i="78"/>
  <c r="F23" i="58"/>
  <c r="G6" i="58"/>
  <c r="F26" i="58"/>
  <c r="AE22" i="59"/>
  <c r="D6" i="66"/>
  <c r="D5" i="66"/>
  <c r="P67" i="63"/>
  <c r="P90" i="63"/>
  <c r="R6" i="61"/>
  <c r="K40" i="63"/>
  <c r="K85" i="63"/>
  <c r="G21" i="58"/>
  <c r="G50" i="63"/>
  <c r="O87" i="63"/>
  <c r="U74" i="63"/>
  <c r="U72" i="63"/>
  <c r="U71" i="63"/>
  <c r="J53" i="63"/>
  <c r="E32" i="20"/>
  <c r="E15" i="78"/>
  <c r="E14" i="78"/>
  <c r="T17" i="62"/>
  <c r="C8" i="78"/>
  <c r="D7" i="78"/>
  <c r="AE7" i="76"/>
  <c r="S38" i="62"/>
  <c r="S37" i="62"/>
  <c r="AE8" i="59"/>
  <c r="AB79" i="63"/>
  <c r="D56" i="63"/>
  <c r="E29" i="58"/>
  <c r="E42" i="63"/>
  <c r="E54" i="63"/>
  <c r="L12" i="72"/>
  <c r="G8" i="58"/>
  <c r="G44" i="63"/>
  <c r="O53" i="63"/>
  <c r="U67" i="63"/>
  <c r="N31" i="62"/>
  <c r="N30" i="62"/>
  <c r="P23" i="48"/>
  <c r="E8" i="58"/>
  <c r="E44" i="63"/>
  <c r="W38" i="62"/>
  <c r="W37" i="62"/>
  <c r="P53" i="63"/>
  <c r="R50" i="63"/>
  <c r="F38" i="20"/>
  <c r="F8" i="78"/>
  <c r="G7" i="78"/>
  <c r="E30" i="58"/>
  <c r="E45" i="63"/>
  <c r="E55" i="63"/>
  <c r="E21" i="59"/>
  <c r="E77" i="63"/>
  <c r="Q67" i="63"/>
  <c r="R90" i="63"/>
  <c r="G18" i="65"/>
  <c r="G5" i="65"/>
  <c r="M14" i="60"/>
  <c r="M19" i="60"/>
  <c r="E6" i="66"/>
  <c r="E5" i="66"/>
  <c r="AE15" i="58"/>
  <c r="C18" i="65"/>
  <c r="C5" i="65"/>
  <c r="P8" i="79"/>
  <c r="AE33" i="58"/>
  <c r="AE33" i="20"/>
  <c r="D67" i="63"/>
  <c r="D90" i="63"/>
  <c r="T11" i="76"/>
  <c r="T15" i="76"/>
  <c r="E18" i="48"/>
  <c r="R7" i="78"/>
  <c r="P5" i="69"/>
  <c r="F24" i="48"/>
  <c r="E17" i="58"/>
  <c r="O6" i="59"/>
  <c r="O7" i="59"/>
  <c r="P14" i="60"/>
  <c r="P19" i="60"/>
  <c r="P8" i="64"/>
  <c r="P5" i="64"/>
  <c r="F8" i="58"/>
  <c r="F44" i="63"/>
  <c r="E25" i="58"/>
  <c r="E39" i="58"/>
  <c r="AE7" i="61"/>
  <c r="M40" i="63"/>
  <c r="M85" i="63"/>
  <c r="M32" i="20"/>
  <c r="M15" i="78"/>
  <c r="E14" i="58"/>
  <c r="E37" i="58"/>
  <c r="K52" i="63"/>
  <c r="Q5" i="59"/>
  <c r="Q73" i="63"/>
  <c r="Q72" i="63"/>
  <c r="F8" i="20"/>
  <c r="J5" i="69"/>
  <c r="L18" i="65"/>
  <c r="L5" i="65"/>
  <c r="T6" i="59"/>
  <c r="T7" i="59"/>
  <c r="T11" i="59"/>
  <c r="T15" i="62"/>
  <c r="F27" i="58"/>
  <c r="G6" i="65"/>
  <c r="AE13" i="20"/>
  <c r="L8" i="65"/>
  <c r="K30" i="62"/>
  <c r="X10" i="67"/>
  <c r="AE10" i="67"/>
  <c r="AE9" i="66"/>
  <c r="AE19" i="59"/>
  <c r="L6" i="61"/>
  <c r="D9" i="73"/>
  <c r="AE35" i="20"/>
  <c r="AE11" i="20"/>
  <c r="R10" i="79"/>
  <c r="E11" i="59"/>
  <c r="R11" i="59"/>
  <c r="R15" i="62"/>
  <c r="R16" i="62"/>
  <c r="R42" i="62"/>
  <c r="AE16" i="68"/>
  <c r="G27" i="58"/>
  <c r="E22" i="58"/>
  <c r="R20" i="67"/>
  <c r="R19" i="67"/>
  <c r="G13" i="58"/>
  <c r="J14" i="60"/>
  <c r="J19" i="60"/>
  <c r="J24" i="65"/>
  <c r="J11" i="65"/>
  <c r="F9" i="58"/>
  <c r="F46" i="63"/>
  <c r="F87" i="63"/>
  <c r="G22" i="58"/>
  <c r="G17" i="58"/>
  <c r="P6" i="67"/>
  <c r="P5" i="67"/>
  <c r="AE16" i="60"/>
  <c r="X6" i="61"/>
  <c r="K6" i="61"/>
  <c r="Z11" i="61"/>
  <c r="G5" i="69"/>
  <c r="O8" i="79"/>
  <c r="O11" i="79"/>
  <c r="F24" i="58"/>
  <c r="G6" i="61"/>
  <c r="M29" i="67"/>
  <c r="C6" i="65"/>
  <c r="P36" i="58"/>
  <c r="T5" i="61"/>
  <c r="F18" i="65"/>
  <c r="F5" i="65"/>
  <c r="L6" i="66"/>
  <c r="L5" i="66"/>
  <c r="E18" i="65"/>
  <c r="E5" i="65"/>
  <c r="M6" i="61"/>
  <c r="F25" i="58"/>
  <c r="F53" i="63"/>
  <c r="G9" i="58"/>
  <c r="G46" i="63"/>
  <c r="AE22" i="67"/>
  <c r="L5" i="61"/>
  <c r="W11" i="61"/>
  <c r="G5" i="58"/>
  <c r="G36" i="58"/>
  <c r="N46" i="63"/>
  <c r="L87" i="63"/>
  <c r="E5" i="60"/>
  <c r="W50" i="63"/>
  <c r="G14" i="58"/>
  <c r="G37" i="58"/>
  <c r="Q53" i="63"/>
  <c r="G38" i="62"/>
  <c r="G37" i="62"/>
  <c r="G5" i="60"/>
  <c r="E13" i="58"/>
  <c r="P10" i="66"/>
  <c r="Q9" i="70"/>
  <c r="Q10" i="70"/>
  <c r="P15" i="67"/>
  <c r="P13" i="67"/>
  <c r="C18" i="59"/>
  <c r="C65" i="63"/>
  <c r="C61" i="63"/>
  <c r="T29" i="67"/>
  <c r="F10" i="66"/>
  <c r="E9" i="70"/>
  <c r="E10" i="70"/>
  <c r="O10" i="66"/>
  <c r="P9" i="70"/>
  <c r="P10" i="70"/>
  <c r="AD12" i="59"/>
  <c r="AD12" i="66"/>
  <c r="J29" i="67"/>
  <c r="T10" i="66"/>
  <c r="C15" i="67"/>
  <c r="C13" i="67"/>
  <c r="C28" i="67"/>
  <c r="L9" i="70"/>
  <c r="L10" i="70"/>
  <c r="AE11" i="66"/>
  <c r="E12" i="66"/>
  <c r="AE14" i="67"/>
  <c r="U13" i="67"/>
  <c r="U28" i="67"/>
  <c r="R15" i="67"/>
  <c r="R30" i="67"/>
  <c r="D15" i="67"/>
  <c r="D30" i="67"/>
  <c r="K10" i="66"/>
  <c r="L29" i="67"/>
  <c r="E18" i="59"/>
  <c r="E65" i="63"/>
  <c r="I9" i="70"/>
  <c r="I10" i="70"/>
  <c r="N29" i="67"/>
  <c r="S29" i="67"/>
  <c r="P29" i="67"/>
  <c r="D29" i="67"/>
  <c r="AE21" i="18"/>
  <c r="AE24" i="20"/>
  <c r="Q10" i="66"/>
  <c r="L8" i="79"/>
  <c r="C5" i="69"/>
  <c r="U6" i="59"/>
  <c r="U7" i="59"/>
  <c r="F6" i="61"/>
  <c r="O90" i="63"/>
  <c r="F21" i="58"/>
  <c r="K14" i="60"/>
  <c r="K19" i="60"/>
  <c r="K8" i="64"/>
  <c r="K5" i="64"/>
  <c r="O14" i="60"/>
  <c r="O19" i="60"/>
  <c r="O8" i="64"/>
  <c r="O5" i="64"/>
  <c r="G18" i="58"/>
  <c r="E10" i="66"/>
  <c r="G11" i="66"/>
  <c r="H10" i="66"/>
  <c r="K29" i="67"/>
  <c r="Y10" i="66"/>
  <c r="Y9" i="71"/>
  <c r="M9" i="70"/>
  <c r="M10" i="70"/>
  <c r="X9" i="71"/>
  <c r="AE12" i="59"/>
  <c r="J18" i="59"/>
  <c r="J65" i="63"/>
  <c r="J88" i="63"/>
  <c r="F9" i="70"/>
  <c r="F10" i="70"/>
  <c r="Y29" i="67"/>
  <c r="J9" i="70"/>
  <c r="J10" i="70"/>
  <c r="N9" i="70"/>
  <c r="N10" i="70"/>
  <c r="U10" i="66"/>
  <c r="C10" i="66"/>
  <c r="L18" i="59"/>
  <c r="L65" i="63"/>
  <c r="L10" i="66"/>
  <c r="X29" i="67"/>
  <c r="AE29" i="67"/>
  <c r="X13" i="67"/>
  <c r="X28" i="67"/>
  <c r="V13" i="67"/>
  <c r="V28" i="67"/>
  <c r="D18" i="59"/>
  <c r="D14" i="59"/>
  <c r="X10" i="66"/>
  <c r="Z10" i="66"/>
  <c r="Q12" i="66"/>
  <c r="Z29" i="67"/>
  <c r="G9" i="70"/>
  <c r="G10" i="70"/>
  <c r="L13" i="67"/>
  <c r="L28" i="67"/>
  <c r="U29" i="67"/>
  <c r="H9" i="70"/>
  <c r="H10" i="70"/>
  <c r="E13" i="67"/>
  <c r="E28" i="67"/>
  <c r="E29" i="67"/>
  <c r="K10" i="79"/>
  <c r="T10" i="79"/>
  <c r="T8" i="79"/>
  <c r="J8" i="79"/>
  <c r="AE14" i="65"/>
  <c r="R5" i="69"/>
  <c r="H24" i="48"/>
  <c r="R10" i="66"/>
  <c r="Y13" i="67"/>
  <c r="Y28" i="67"/>
  <c r="F29" i="67"/>
  <c r="J6" i="61"/>
  <c r="AE56" i="63"/>
  <c r="AE12" i="20"/>
  <c r="N5" i="62"/>
  <c r="D5" i="62"/>
  <c r="D12" i="62"/>
  <c r="D27" i="62"/>
  <c r="AE15" i="18"/>
  <c r="AA29" i="67"/>
  <c r="AD29" i="67"/>
  <c r="L70" i="63"/>
  <c r="J15" i="79"/>
  <c r="R31" i="62"/>
  <c r="R30" i="62"/>
  <c r="AE20" i="65"/>
  <c r="J5" i="62"/>
  <c r="M43" i="63"/>
  <c r="M86" i="63"/>
  <c r="W31" i="62"/>
  <c r="W30" i="62"/>
  <c r="F5" i="58"/>
  <c r="F36" i="58"/>
  <c r="AE7" i="60"/>
  <c r="E6" i="61"/>
  <c r="N6" i="59"/>
  <c r="N7" i="59"/>
  <c r="T31" i="62"/>
  <c r="T30" i="62"/>
  <c r="P6" i="61"/>
  <c r="F30" i="62"/>
  <c r="W6" i="59"/>
  <c r="W7" i="59"/>
  <c r="V67" i="63"/>
  <c r="E19" i="58"/>
  <c r="E57" i="63"/>
  <c r="P19" i="65"/>
  <c r="P18" i="65"/>
  <c r="P5" i="65"/>
  <c r="AE37" i="62"/>
  <c r="V29" i="67"/>
  <c r="W15" i="67"/>
  <c r="W30" i="67"/>
  <c r="W29" i="67"/>
  <c r="W6" i="61"/>
  <c r="Y5" i="73"/>
  <c r="N20" i="67"/>
  <c r="N19" i="67"/>
  <c r="P5" i="62"/>
  <c r="V6" i="59"/>
  <c r="V7" i="59"/>
  <c r="U5" i="62"/>
  <c r="F17" i="48"/>
  <c r="P38" i="58"/>
  <c r="AE32" i="58"/>
  <c r="U9" i="73"/>
  <c r="T5" i="62"/>
  <c r="E17" i="48"/>
  <c r="E67" i="63"/>
  <c r="AE25" i="20"/>
  <c r="AE11" i="60"/>
  <c r="U31" i="62"/>
  <c r="U30" i="62"/>
  <c r="J42" i="52"/>
  <c r="Q64" i="63"/>
  <c r="Q87" i="63"/>
  <c r="M18" i="59"/>
  <c r="M65" i="63"/>
  <c r="F20" i="58"/>
  <c r="F8" i="67"/>
  <c r="W87" i="63"/>
  <c r="F11" i="58"/>
  <c r="F48" i="63"/>
  <c r="W14" i="79"/>
  <c r="M64" i="63"/>
  <c r="M87" i="63"/>
  <c r="C6" i="61"/>
  <c r="G19" i="58"/>
  <c r="G57" i="63"/>
  <c r="W6" i="66"/>
  <c r="W5" i="66"/>
  <c r="Q6" i="66"/>
  <c r="Q5" i="66"/>
  <c r="F14" i="60"/>
  <c r="G28" i="58"/>
  <c r="AE5" i="58"/>
  <c r="Q5" i="62"/>
  <c r="F5" i="62"/>
  <c r="V79" i="63"/>
  <c r="V10" i="66"/>
  <c r="J14" i="52"/>
  <c r="G22" i="59"/>
  <c r="G31" i="62"/>
  <c r="G30" i="62"/>
  <c r="N56" i="63"/>
  <c r="AE36" i="58"/>
  <c r="AE53" i="63"/>
  <c r="W5" i="62"/>
  <c r="O5" i="62"/>
  <c r="D87" i="63"/>
  <c r="T6" i="66"/>
  <c r="T5" i="66"/>
  <c r="AE25" i="58"/>
  <c r="X26" i="67"/>
  <c r="AE26" i="67"/>
  <c r="N13" i="67"/>
  <c r="N28" i="67"/>
  <c r="F79" i="63"/>
  <c r="AA10" i="66"/>
  <c r="AD14" i="67"/>
  <c r="X30" i="62"/>
  <c r="AE30" i="62"/>
  <c r="AE12" i="66"/>
  <c r="V6" i="61"/>
  <c r="X30" i="67"/>
  <c r="X7" i="67"/>
  <c r="AE40" i="58"/>
  <c r="K5" i="62"/>
  <c r="N5" i="69"/>
  <c r="D24" i="48"/>
  <c r="F17" i="58"/>
  <c r="T87" i="63"/>
  <c r="AE6" i="58"/>
  <c r="K7" i="65"/>
  <c r="K18" i="65"/>
  <c r="K5" i="65"/>
  <c r="AD15" i="67"/>
  <c r="AB13" i="67"/>
  <c r="AB28" i="67"/>
  <c r="AE19" i="65"/>
  <c r="AB15" i="79"/>
  <c r="K18" i="59"/>
  <c r="K65" i="63"/>
  <c r="R9" i="73"/>
  <c r="V26" i="18"/>
  <c r="E20" i="58"/>
  <c r="E8" i="67"/>
  <c r="T44" i="63"/>
  <c r="W11" i="76"/>
  <c r="W15" i="76"/>
  <c r="W8" i="68"/>
  <c r="D5" i="69"/>
  <c r="W11" i="79"/>
  <c r="J20" i="52"/>
  <c r="P87" i="63"/>
  <c r="K20" i="67"/>
  <c r="K19" i="67"/>
  <c r="T13" i="67"/>
  <c r="T28" i="67"/>
  <c r="M5" i="62"/>
  <c r="E5" i="62"/>
  <c r="H19" i="48"/>
  <c r="V8" i="78"/>
  <c r="V7" i="78"/>
  <c r="V30" i="62"/>
  <c r="Y77" i="63"/>
  <c r="H13" i="67"/>
  <c r="H28" i="67"/>
  <c r="AA13" i="67"/>
  <c r="AA28" i="67"/>
  <c r="P50" i="63"/>
  <c r="D6" i="61"/>
  <c r="AA11" i="61"/>
  <c r="D10" i="66"/>
  <c r="E9" i="58"/>
  <c r="E46" i="63"/>
  <c r="E87" i="63"/>
  <c r="M6" i="66"/>
  <c r="M5" i="66"/>
  <c r="AE24" i="67"/>
  <c r="Z6" i="72"/>
  <c r="F33" i="58"/>
  <c r="AE37" i="20"/>
  <c r="U8" i="79"/>
  <c r="O11" i="59"/>
  <c r="O15" i="62"/>
  <c r="AE17" i="58"/>
  <c r="AE10" i="60"/>
  <c r="M6" i="78"/>
  <c r="M5" i="78"/>
  <c r="M9" i="78"/>
  <c r="E28" i="58"/>
  <c r="V5" i="62"/>
  <c r="F32" i="20"/>
  <c r="F15" i="78"/>
  <c r="G14" i="78"/>
  <c r="G16" i="78"/>
  <c r="G18" i="74"/>
  <c r="R7" i="65"/>
  <c r="AB10" i="66"/>
  <c r="S11" i="59"/>
  <c r="S15" i="62"/>
  <c r="L5" i="62"/>
  <c r="AB6" i="65"/>
  <c r="S15" i="67"/>
  <c r="G11" i="58"/>
  <c r="G48" i="63"/>
  <c r="C5" i="62"/>
  <c r="C12" i="62"/>
  <c r="C22" i="62"/>
  <c r="R12" i="72"/>
  <c r="H22" i="48"/>
  <c r="AE38" i="62"/>
  <c r="T7" i="78"/>
  <c r="G17" i="62"/>
  <c r="X5" i="62"/>
  <c r="V12" i="72"/>
  <c r="L22" i="48"/>
  <c r="U63" i="63"/>
  <c r="O6" i="61"/>
  <c r="S87" i="63"/>
  <c r="R26" i="18"/>
  <c r="AE9" i="59"/>
  <c r="S12" i="72"/>
  <c r="J18" i="65"/>
  <c r="J5" i="65"/>
  <c r="J8" i="65"/>
  <c r="Q70" i="63"/>
  <c r="Q11" i="59"/>
  <c r="Q15" i="62"/>
  <c r="F15" i="62"/>
  <c r="S5" i="62"/>
  <c r="D17" i="48"/>
  <c r="W6" i="78"/>
  <c r="W5" i="78"/>
  <c r="G26" i="18"/>
  <c r="P26" i="18"/>
  <c r="X11" i="59"/>
  <c r="X15" i="62"/>
  <c r="M10" i="66"/>
  <c r="N10" i="66"/>
  <c r="Q30" i="62"/>
  <c r="F20" i="67"/>
  <c r="F19" i="67"/>
  <c r="O18" i="65"/>
  <c r="O5" i="65"/>
  <c r="J20" i="67"/>
  <c r="J19" i="67"/>
  <c r="T20" i="67"/>
  <c r="T19" i="67"/>
  <c r="Q14" i="60"/>
  <c r="Q19" i="60"/>
  <c r="AE15" i="67"/>
  <c r="L30" i="62"/>
  <c r="AE8" i="76"/>
  <c r="K6" i="78"/>
  <c r="K5" i="78"/>
  <c r="K13" i="67"/>
  <c r="K28" i="67"/>
  <c r="AB30" i="67"/>
  <c r="R5" i="62"/>
  <c r="C17" i="48"/>
  <c r="X6" i="78"/>
  <c r="X5" i="78"/>
  <c r="AE10" i="59"/>
  <c r="W12" i="66"/>
  <c r="W10" i="66"/>
  <c r="X6" i="65"/>
  <c r="J36" i="58"/>
  <c r="J7" i="67"/>
  <c r="J6" i="67"/>
  <c r="J5" i="67"/>
  <c r="Q36" i="58"/>
  <c r="Q7" i="67"/>
  <c r="Q6" i="67"/>
  <c r="Q5" i="67"/>
  <c r="W15" i="79"/>
  <c r="U6" i="65"/>
  <c r="U6" i="61"/>
  <c r="W47" i="63"/>
  <c r="W7" i="67"/>
  <c r="W6" i="67"/>
  <c r="Q19" i="65"/>
  <c r="Q6" i="61"/>
  <c r="N18" i="65"/>
  <c r="N5" i="65"/>
  <c r="AB15" i="78"/>
  <c r="S6" i="65"/>
  <c r="S6" i="61"/>
  <c r="L6" i="48"/>
  <c r="V9" i="73"/>
  <c r="E72" i="63"/>
  <c r="M67" i="63"/>
  <c r="F12" i="58"/>
  <c r="F49" i="63"/>
  <c r="O41" i="58"/>
  <c r="G20" i="58"/>
  <c r="G8" i="67"/>
  <c r="E7" i="58"/>
  <c r="E41" i="63"/>
  <c r="F19" i="58"/>
  <c r="F57" i="63"/>
  <c r="O9" i="70"/>
  <c r="O10" i="70"/>
  <c r="AE18" i="58"/>
  <c r="AE19" i="18"/>
  <c r="AE28" i="18"/>
  <c r="E31" i="58"/>
  <c r="F14" i="48"/>
  <c r="AB26" i="18"/>
  <c r="F56" i="63"/>
  <c r="G6" i="59"/>
  <c r="G7" i="59"/>
  <c r="D43" i="63"/>
  <c r="AE5" i="20"/>
  <c r="AD11" i="66"/>
  <c r="O20" i="67"/>
  <c r="O19" i="67"/>
  <c r="AE13" i="58"/>
  <c r="F30" i="67"/>
  <c r="F13" i="67"/>
  <c r="F28" i="67"/>
  <c r="Q7" i="78"/>
  <c r="P7" i="78"/>
  <c r="AB25" i="67"/>
  <c r="AB20" i="67"/>
  <c r="AB19" i="67"/>
  <c r="AE11" i="67"/>
  <c r="T91" i="63"/>
  <c r="K6" i="67"/>
  <c r="K5" i="67"/>
  <c r="T6" i="67"/>
  <c r="E20" i="67"/>
  <c r="E19" i="67"/>
  <c r="AE9" i="67"/>
  <c r="D6" i="78"/>
  <c r="D5" i="78"/>
  <c r="P20" i="67"/>
  <c r="P19" i="67"/>
  <c r="D26" i="18"/>
  <c r="V72" i="63"/>
  <c r="V71" i="63"/>
  <c r="N14" i="60"/>
  <c r="N19" i="60"/>
  <c r="AE21" i="20"/>
  <c r="AE27" i="20"/>
  <c r="Z13" i="70"/>
  <c r="U26" i="18"/>
  <c r="J87" i="63"/>
  <c r="K87" i="63"/>
  <c r="Q30" i="67"/>
  <c r="Q13" i="67"/>
  <c r="Q28" i="67"/>
  <c r="AB8" i="65"/>
  <c r="AE8" i="65"/>
  <c r="AE21" i="65"/>
  <c r="M30" i="67"/>
  <c r="M13" i="67"/>
  <c r="M28" i="67"/>
  <c r="AE39" i="58"/>
  <c r="L43" i="63"/>
  <c r="R6" i="67"/>
  <c r="V13" i="78"/>
  <c r="V12" i="78"/>
  <c r="Q26" i="18"/>
  <c r="AE38" i="58"/>
  <c r="M24" i="48"/>
  <c r="G14" i="60"/>
  <c r="G72" i="63"/>
  <c r="G71" i="63"/>
  <c r="AE15" i="20"/>
  <c r="AE34" i="20"/>
  <c r="Q6" i="78"/>
  <c r="Q5" i="78"/>
  <c r="D18" i="65"/>
  <c r="D5" i="65"/>
  <c r="J26" i="18"/>
  <c r="AE64" i="63"/>
  <c r="Q20" i="67"/>
  <c r="Q19" i="67"/>
  <c r="C6" i="66"/>
  <c r="C5" i="66"/>
  <c r="O72" i="63"/>
  <c r="O71" i="63"/>
  <c r="M13" i="78"/>
  <c r="M12" i="78"/>
  <c r="L6" i="78"/>
  <c r="L5" i="78"/>
  <c r="L9" i="78"/>
  <c r="U6" i="78"/>
  <c r="U5" i="78"/>
  <c r="M26" i="18"/>
  <c r="G6" i="78"/>
  <c r="G5" i="78"/>
  <c r="C6" i="78"/>
  <c r="C5" i="78"/>
  <c r="C9" i="78"/>
  <c r="J14" i="78"/>
  <c r="J16" i="78"/>
  <c r="J18" i="74"/>
  <c r="E6" i="59"/>
  <c r="J72" i="63"/>
  <c r="J71" i="63"/>
  <c r="AE15" i="60"/>
  <c r="AE31" i="62"/>
  <c r="AE26" i="58"/>
  <c r="X13" i="78"/>
  <c r="E26" i="18"/>
  <c r="AB6" i="78"/>
  <c r="W25" i="67"/>
  <c r="W20" i="67"/>
  <c r="W19" i="67"/>
  <c r="R22" i="52"/>
  <c r="T22" i="52"/>
  <c r="G30" i="67"/>
  <c r="G13" i="67"/>
  <c r="G28" i="67"/>
  <c r="G31" i="67"/>
  <c r="G15" i="74"/>
  <c r="O30" i="67"/>
  <c r="O13" i="67"/>
  <c r="V26" i="67"/>
  <c r="V20" i="67"/>
  <c r="V19" i="67"/>
  <c r="V6" i="67"/>
  <c r="C55" i="63"/>
  <c r="C43" i="63"/>
  <c r="C39" i="63"/>
  <c r="C58" i="63"/>
  <c r="AE75" i="63"/>
  <c r="M7" i="65"/>
  <c r="M18" i="65"/>
  <c r="G70" i="63"/>
  <c r="G11" i="59"/>
  <c r="D25" i="67"/>
  <c r="D20" i="67"/>
  <c r="D19" i="67"/>
  <c r="D6" i="67"/>
  <c r="D5" i="67"/>
  <c r="S25" i="67"/>
  <c r="S20" i="67"/>
  <c r="S19" i="67"/>
  <c r="S6" i="67"/>
  <c r="L25" i="67"/>
  <c r="L20" i="67"/>
  <c r="L19" i="67"/>
  <c r="L6" i="67"/>
  <c r="L5" i="67"/>
  <c r="J54" i="63"/>
  <c r="J40" i="63"/>
  <c r="U7" i="65"/>
  <c r="Z30" i="67"/>
  <c r="Z13" i="67"/>
  <c r="Z28" i="67"/>
  <c r="M26" i="67"/>
  <c r="M20" i="67"/>
  <c r="M19" i="67"/>
  <c r="D72" i="63"/>
  <c r="D71" i="63"/>
  <c r="J90" i="63"/>
  <c r="R6" i="59"/>
  <c r="R7" i="59"/>
  <c r="N6" i="78"/>
  <c r="N5" i="78"/>
  <c r="N9" i="78"/>
  <c r="AB11" i="76"/>
  <c r="AE11" i="76"/>
  <c r="Z7" i="69"/>
  <c r="R13" i="78"/>
  <c r="R12" i="78"/>
  <c r="R6" i="78"/>
  <c r="R5" i="78"/>
  <c r="F6" i="78"/>
  <c r="F5" i="78"/>
  <c r="F26" i="18"/>
  <c r="W26" i="18"/>
  <c r="AE23" i="20"/>
  <c r="S26" i="18"/>
  <c r="W13" i="78"/>
  <c r="W12" i="78"/>
  <c r="O26" i="18"/>
  <c r="O5" i="68"/>
  <c r="F5" i="68"/>
  <c r="N5" i="68"/>
  <c r="AB21" i="68"/>
  <c r="P21" i="68"/>
  <c r="E21" i="68"/>
  <c r="R5" i="68"/>
  <c r="W21" i="68"/>
  <c r="R21" i="68"/>
  <c r="AA21" i="68"/>
  <c r="T21" i="68"/>
  <c r="D21" i="68"/>
  <c r="S21" i="68"/>
  <c r="J5" i="68"/>
  <c r="N21" i="68"/>
  <c r="X21" i="68"/>
  <c r="U21" i="68"/>
  <c r="K21" i="68"/>
  <c r="H21" i="68"/>
  <c r="Q21" i="68"/>
  <c r="G21" i="68"/>
  <c r="V21" i="68"/>
  <c r="Z21" i="68"/>
  <c r="M21" i="68"/>
  <c r="O21" i="68"/>
  <c r="F21" i="68"/>
  <c r="D5" i="68"/>
  <c r="U5" i="68"/>
  <c r="V5" i="68"/>
  <c r="Q5" i="68"/>
  <c r="C5" i="68"/>
  <c r="M5" i="68"/>
  <c r="AD21" i="59"/>
  <c r="AA77" i="63"/>
  <c r="AD77" i="63"/>
  <c r="AB72" i="63"/>
  <c r="V11" i="76"/>
  <c r="V15" i="76"/>
  <c r="O23" i="48"/>
  <c r="AE7" i="79"/>
  <c r="AB10" i="79"/>
  <c r="AD7" i="79"/>
  <c r="V6" i="78"/>
  <c r="V5" i="78"/>
  <c r="M14" i="48"/>
  <c r="AD14" i="65"/>
  <c r="J6" i="78"/>
  <c r="J5" i="78"/>
  <c r="D14" i="48"/>
  <c r="S6" i="78"/>
  <c r="S5" i="78"/>
  <c r="S9" i="78"/>
  <c r="S13" i="78"/>
  <c r="S12" i="78"/>
  <c r="K13" i="78"/>
  <c r="K12" i="78"/>
  <c r="C32" i="20"/>
  <c r="C15" i="78"/>
  <c r="C14" i="78"/>
  <c r="C16" i="78"/>
  <c r="C18" i="74"/>
  <c r="K10" i="59"/>
  <c r="L51" i="63"/>
  <c r="S91" i="63"/>
  <c r="G12" i="58"/>
  <c r="G49" i="63"/>
  <c r="J10" i="66"/>
  <c r="N14" i="78"/>
  <c r="N16" i="78"/>
  <c r="N18" i="74"/>
  <c r="J41" i="58"/>
  <c r="AB7" i="67"/>
  <c r="AB6" i="67"/>
  <c r="M11" i="48"/>
  <c r="N8" i="79"/>
  <c r="G10" i="58"/>
  <c r="G47" i="63"/>
  <c r="E12" i="58"/>
  <c r="E49" i="63"/>
  <c r="E90" i="63"/>
  <c r="Z6" i="73"/>
  <c r="E36" i="58"/>
  <c r="D39" i="63"/>
  <c r="K8" i="79"/>
  <c r="I5" i="69"/>
  <c r="AE20" i="58"/>
  <c r="G15" i="79"/>
  <c r="E10" i="58"/>
  <c r="E47" i="63"/>
  <c r="G39" i="58"/>
  <c r="U90" i="63"/>
  <c r="K13" i="66"/>
  <c r="K13" i="74"/>
  <c r="C11" i="59"/>
  <c r="C15" i="62"/>
  <c r="C16" i="62"/>
  <c r="C42" i="62"/>
  <c r="O91" i="63"/>
  <c r="O16" i="62"/>
  <c r="O42" i="62"/>
  <c r="N11" i="59"/>
  <c r="N15" i="62"/>
  <c r="N16" i="62"/>
  <c r="N42" i="62"/>
  <c r="X16" i="62"/>
  <c r="X42" i="62"/>
  <c r="W71" i="63"/>
  <c r="F7" i="20"/>
  <c r="F9" i="59"/>
  <c r="F75" i="63"/>
  <c r="L71" i="63"/>
  <c r="G29" i="67"/>
  <c r="S10" i="66"/>
  <c r="S13" i="66"/>
  <c r="Q6" i="59"/>
  <c r="Q7" i="59"/>
  <c r="N71" i="63"/>
  <c r="S72" i="63"/>
  <c r="S71" i="63"/>
  <c r="AE62" i="63"/>
  <c r="AE5" i="59"/>
  <c r="K7" i="78"/>
  <c r="K9" i="78"/>
  <c r="AB11" i="59"/>
  <c r="AB15" i="62"/>
  <c r="AB16" i="62"/>
  <c r="AB42" i="62"/>
  <c r="L26" i="18"/>
  <c r="E33" i="58"/>
  <c r="U64" i="63"/>
  <c r="O6" i="78"/>
  <c r="O5" i="78"/>
  <c r="O9" i="78"/>
  <c r="X90" i="63"/>
  <c r="F5" i="69"/>
  <c r="S14" i="78"/>
  <c r="F67" i="63"/>
  <c r="G87" i="63"/>
  <c r="X63" i="63"/>
  <c r="AE63" i="63"/>
  <c r="AE16" i="59"/>
  <c r="F12" i="61"/>
  <c r="F6" i="79"/>
  <c r="V53" i="63"/>
  <c r="AE6" i="59"/>
  <c r="O14" i="78"/>
  <c r="O16" i="78"/>
  <c r="O18" i="74"/>
  <c r="P16" i="62"/>
  <c r="P42" i="62"/>
  <c r="X26" i="18"/>
  <c r="L15" i="76"/>
  <c r="L8" i="68"/>
  <c r="M9" i="68"/>
  <c r="M20" i="68"/>
  <c r="J15" i="76"/>
  <c r="J8" i="68"/>
  <c r="J19" i="68"/>
  <c r="N26" i="18"/>
  <c r="K26" i="18"/>
  <c r="E13" i="76"/>
  <c r="M11" i="76"/>
  <c r="M12" i="61"/>
  <c r="M6" i="79"/>
  <c r="P13" i="66"/>
  <c r="P13" i="74"/>
  <c r="C8" i="79"/>
  <c r="P6" i="78"/>
  <c r="P5" i="78"/>
  <c r="T6" i="78"/>
  <c r="T5" i="78"/>
  <c r="O6" i="48"/>
  <c r="U15" i="78"/>
  <c r="U14" i="78"/>
  <c r="U16" i="78"/>
  <c r="F36" i="48"/>
  <c r="Q8" i="79"/>
  <c r="AE10" i="62"/>
  <c r="F5" i="61"/>
  <c r="F38" i="62"/>
  <c r="F37" i="62"/>
  <c r="T13" i="78"/>
  <c r="T12" i="78"/>
  <c r="Y6" i="73"/>
  <c r="X87" i="63"/>
  <c r="T53" i="63"/>
  <c r="M5" i="61"/>
  <c r="M38" i="62"/>
  <c r="M37" i="62"/>
  <c r="E6" i="78"/>
  <c r="E5" i="78"/>
  <c r="E9" i="78"/>
  <c r="Y10" i="72"/>
  <c r="J9" i="78"/>
  <c r="O15" i="76"/>
  <c r="O8" i="68"/>
  <c r="AE17" i="59"/>
  <c r="C26" i="18"/>
  <c r="P6" i="79"/>
  <c r="P12" i="61"/>
  <c r="P13" i="61"/>
  <c r="T12" i="61"/>
  <c r="T13" i="61"/>
  <c r="T6" i="79"/>
  <c r="S67" i="63"/>
  <c r="E15" i="79"/>
  <c r="E8" i="79"/>
  <c r="O79" i="63"/>
  <c r="O31" i="62"/>
  <c r="O30" i="62"/>
  <c r="AE15" i="59"/>
  <c r="Q77" i="63"/>
  <c r="F21" i="59"/>
  <c r="F77" i="63"/>
  <c r="K25" i="52"/>
  <c r="X6" i="79"/>
  <c r="X12" i="61"/>
  <c r="X13" i="61"/>
  <c r="F13" i="76"/>
  <c r="Q11" i="76"/>
  <c r="Z6" i="69"/>
  <c r="S5" i="69"/>
  <c r="D15" i="76"/>
  <c r="D8" i="68"/>
  <c r="E9" i="68"/>
  <c r="E20" i="68"/>
  <c r="F6" i="48"/>
  <c r="P9" i="73"/>
  <c r="G13" i="48"/>
  <c r="V9" i="79"/>
  <c r="D13" i="48"/>
  <c r="S9" i="79"/>
  <c r="C13" i="48"/>
  <c r="R9" i="79"/>
  <c r="R15" i="79"/>
  <c r="C36" i="58"/>
  <c r="C41" i="58"/>
  <c r="C7" i="64"/>
  <c r="C6" i="64"/>
  <c r="C9" i="64"/>
  <c r="C11" i="74"/>
  <c r="C7" i="67"/>
  <c r="L12" i="61"/>
  <c r="L13" i="61"/>
  <c r="L6" i="79"/>
  <c r="Q12" i="61"/>
  <c r="Q13" i="61"/>
  <c r="Q6" i="79"/>
  <c r="N12" i="61"/>
  <c r="N13" i="61"/>
  <c r="N6" i="79"/>
  <c r="K6" i="79"/>
  <c r="K12" i="61"/>
  <c r="K13" i="61"/>
  <c r="V50" i="63"/>
  <c r="U7" i="67"/>
  <c r="U6" i="67"/>
  <c r="U6" i="63"/>
  <c r="E6" i="79"/>
  <c r="E12" i="61"/>
  <c r="E13" i="61"/>
  <c r="D6" i="79"/>
  <c r="D12" i="61"/>
  <c r="D13" i="61"/>
  <c r="AA64" i="63"/>
  <c r="AD17" i="59"/>
  <c r="D38" i="58"/>
  <c r="D41" i="58"/>
  <c r="D23" i="65"/>
  <c r="D50" i="63"/>
  <c r="D91" i="63"/>
  <c r="N36" i="58"/>
  <c r="N41" i="58"/>
  <c r="N7" i="67"/>
  <c r="N6" i="67"/>
  <c r="N5" i="67"/>
  <c r="N16" i="67"/>
  <c r="N14" i="74"/>
  <c r="AB12" i="61"/>
  <c r="AB13" i="61"/>
  <c r="AE25" i="18"/>
  <c r="AB6" i="79"/>
  <c r="G12" i="61"/>
  <c r="G13" i="61"/>
  <c r="G6" i="79"/>
  <c r="Y64" i="63"/>
  <c r="H17" i="59"/>
  <c r="H64" i="63"/>
  <c r="R12" i="61"/>
  <c r="R13" i="61"/>
  <c r="R6" i="79"/>
  <c r="M36" i="58"/>
  <c r="M41" i="58"/>
  <c r="M7" i="67"/>
  <c r="M6" i="67"/>
  <c r="M5" i="67"/>
  <c r="M16" i="67"/>
  <c r="M14" i="74"/>
  <c r="I17" i="48"/>
  <c r="R8" i="79"/>
  <c r="Z5" i="70"/>
  <c r="R15" i="76"/>
  <c r="G12" i="76"/>
  <c r="U11" i="76"/>
  <c r="J6" i="79"/>
  <c r="J12" i="61"/>
  <c r="J13" i="61"/>
  <c r="AB47" i="63"/>
  <c r="AE47" i="63"/>
  <c r="AE10" i="58"/>
  <c r="K38" i="58"/>
  <c r="K41" i="58"/>
  <c r="K50" i="63"/>
  <c r="H17" i="48"/>
  <c r="P14" i="78"/>
  <c r="P16" i="78"/>
  <c r="P18" i="74"/>
  <c r="C6" i="79"/>
  <c r="C12" i="61"/>
  <c r="C13" i="61"/>
  <c r="M17" i="48"/>
  <c r="AB47" i="62"/>
  <c r="X9" i="79"/>
  <c r="I13" i="48"/>
  <c r="P13" i="48"/>
  <c r="AE23" i="18"/>
  <c r="N15" i="76"/>
  <c r="N8" i="68"/>
  <c r="Y5" i="70"/>
  <c r="G17" i="48"/>
  <c r="D51" i="63"/>
  <c r="V6" i="79"/>
  <c r="V12" i="61"/>
  <c r="V13" i="61"/>
  <c r="S12" i="61"/>
  <c r="S13" i="61"/>
  <c r="S6" i="79"/>
  <c r="U12" i="61"/>
  <c r="U13" i="61"/>
  <c r="U6" i="79"/>
  <c r="W9" i="73"/>
  <c r="Z9" i="73"/>
  <c r="O24" i="65"/>
  <c r="O11" i="65"/>
  <c r="E71" i="63"/>
  <c r="F19" i="60"/>
  <c r="F8" i="64"/>
  <c r="F5" i="64"/>
  <c r="Q41" i="58"/>
  <c r="Q7" i="64"/>
  <c r="J11" i="59"/>
  <c r="J15" i="62"/>
  <c r="J16" i="62"/>
  <c r="J42" i="62"/>
  <c r="Q14" i="78"/>
  <c r="Q16" i="78"/>
  <c r="Q18" i="74"/>
  <c r="K15" i="52"/>
  <c r="K18" i="52"/>
  <c r="K23" i="52"/>
  <c r="D9" i="78"/>
  <c r="X71" i="63"/>
  <c r="O13" i="61"/>
  <c r="P70" i="63"/>
  <c r="Q91" i="63"/>
  <c r="O13" i="66"/>
  <c r="O13" i="74"/>
  <c r="M51" i="63"/>
  <c r="AE5" i="66"/>
  <c r="K90" i="63"/>
  <c r="L16" i="67"/>
  <c r="L14" i="74"/>
  <c r="R13" i="67"/>
  <c r="R28" i="67"/>
  <c r="R31" i="67"/>
  <c r="R15" i="74"/>
  <c r="AB8" i="64"/>
  <c r="AB5" i="64"/>
  <c r="E40" i="63"/>
  <c r="E85" i="63"/>
  <c r="G19" i="60"/>
  <c r="G8" i="64"/>
  <c r="G5" i="64"/>
  <c r="R14" i="78"/>
  <c r="R16" i="78"/>
  <c r="X14" i="78"/>
  <c r="J52" i="63"/>
  <c r="J51" i="63"/>
  <c r="J92" i="63"/>
  <c r="E38" i="58"/>
  <c r="E41" i="58"/>
  <c r="E23" i="65"/>
  <c r="V13" i="66"/>
  <c r="V13" i="74"/>
  <c r="U11" i="59"/>
  <c r="U15" i="62"/>
  <c r="E6" i="67"/>
  <c r="E5" i="67"/>
  <c r="E16" i="67"/>
  <c r="E14" i="74"/>
  <c r="W90" i="63"/>
  <c r="K9" i="68"/>
  <c r="K20" i="68"/>
  <c r="V70" i="63"/>
  <c r="N13" i="66"/>
  <c r="N13" i="74"/>
  <c r="AE5" i="61"/>
  <c r="AE5" i="65"/>
  <c r="M71" i="63"/>
  <c r="D23" i="59"/>
  <c r="D8" i="63"/>
  <c r="D17" i="63"/>
  <c r="R91" i="63"/>
  <c r="E53" i="63"/>
  <c r="E52" i="63"/>
  <c r="E51" i="63"/>
  <c r="N91" i="63"/>
  <c r="W70" i="63"/>
  <c r="X91" i="63"/>
  <c r="T14" i="78"/>
  <c r="K39" i="63"/>
  <c r="V31" i="67"/>
  <c r="V15" i="74"/>
  <c r="AE32" i="20"/>
  <c r="AE15" i="78"/>
  <c r="L14" i="78"/>
  <c r="L16" i="78"/>
  <c r="L18" i="74"/>
  <c r="E19" i="60"/>
  <c r="E24" i="65"/>
  <c r="E11" i="65"/>
  <c r="S16" i="62"/>
  <c r="S42" i="62"/>
  <c r="U13" i="66"/>
  <c r="U13" i="74"/>
  <c r="F13" i="66"/>
  <c r="F13" i="74"/>
  <c r="F10" i="59"/>
  <c r="F11" i="59"/>
  <c r="F17" i="62"/>
  <c r="F16" i="62"/>
  <c r="F42" i="62"/>
  <c r="M11" i="59"/>
  <c r="M15" i="62"/>
  <c r="M16" i="62"/>
  <c r="M42" i="62"/>
  <c r="P41" i="58"/>
  <c r="P6" i="63"/>
  <c r="K24" i="65"/>
  <c r="K11" i="65"/>
  <c r="D13" i="66"/>
  <c r="D13" i="74"/>
  <c r="D18" i="48"/>
  <c r="T9" i="68"/>
  <c r="T20" i="68"/>
  <c r="W13" i="61"/>
  <c r="AE6" i="61"/>
  <c r="AE6" i="66"/>
  <c r="E13" i="66"/>
  <c r="E13" i="74"/>
  <c r="G90" i="63"/>
  <c r="C14" i="59"/>
  <c r="C23" i="59"/>
  <c r="C8" i="63"/>
  <c r="C7" i="63"/>
  <c r="T8" i="68"/>
  <c r="U9" i="68"/>
  <c r="P9" i="68"/>
  <c r="P20" i="68"/>
  <c r="O19" i="68"/>
  <c r="Q90" i="63"/>
  <c r="D14" i="78"/>
  <c r="D16" i="78"/>
  <c r="D18" i="74"/>
  <c r="E79" i="63"/>
  <c r="AB5" i="67"/>
  <c r="AB16" i="67"/>
  <c r="U9" i="78"/>
  <c r="W16" i="79"/>
  <c r="F7" i="78"/>
  <c r="F9" i="78"/>
  <c r="R13" i="66"/>
  <c r="C8" i="48"/>
  <c r="V14" i="78"/>
  <c r="V16" i="78"/>
  <c r="V18" i="74"/>
  <c r="M14" i="78"/>
  <c r="M16" i="78"/>
  <c r="M18" i="74"/>
  <c r="V90" i="63"/>
  <c r="E43" i="63"/>
  <c r="E86" i="63"/>
  <c r="K40" i="52"/>
  <c r="I18" i="48"/>
  <c r="J8" i="64"/>
  <c r="J5" i="64"/>
  <c r="S16" i="78"/>
  <c r="D36" i="48"/>
  <c r="G79" i="63"/>
  <c r="G7" i="67"/>
  <c r="G6" i="67"/>
  <c r="G5" i="67"/>
  <c r="G16" i="67"/>
  <c r="G14" i="74"/>
  <c r="F90" i="63"/>
  <c r="X6" i="67"/>
  <c r="X5" i="67"/>
  <c r="AE79" i="63"/>
  <c r="N87" i="63"/>
  <c r="K19" i="68"/>
  <c r="T9" i="78"/>
  <c r="P24" i="65"/>
  <c r="P11" i="65"/>
  <c r="M91" i="63"/>
  <c r="F7" i="67"/>
  <c r="F6" i="67"/>
  <c r="F5" i="67"/>
  <c r="F16" i="67"/>
  <c r="F14" i="74"/>
  <c r="X20" i="67"/>
  <c r="X19" i="67"/>
  <c r="X31" i="67"/>
  <c r="X15" i="74"/>
  <c r="W14" i="78"/>
  <c r="W16" i="78"/>
  <c r="G5" i="62"/>
  <c r="R6" i="63"/>
  <c r="R5" i="63"/>
  <c r="R21" i="63"/>
  <c r="T8" i="64"/>
  <c r="T5" i="64"/>
  <c r="R8" i="64"/>
  <c r="R5" i="64"/>
  <c r="F39" i="58"/>
  <c r="L90" i="63"/>
  <c r="E16" i="78"/>
  <c r="E18" i="74"/>
  <c r="T16" i="62"/>
  <c r="T42" i="62"/>
  <c r="M39" i="63"/>
  <c r="M58" i="63"/>
  <c r="Q71" i="63"/>
  <c r="C27" i="62"/>
  <c r="P6" i="65"/>
  <c r="X8" i="68"/>
  <c r="X19" i="68"/>
  <c r="F14" i="78"/>
  <c r="F16" i="78"/>
  <c r="F18" i="74"/>
  <c r="R9" i="78"/>
  <c r="G9" i="78"/>
  <c r="G38" i="58"/>
  <c r="J13" i="66"/>
  <c r="J13" i="74"/>
  <c r="K51" i="63"/>
  <c r="X13" i="66"/>
  <c r="I8" i="48"/>
  <c r="U31" i="67"/>
  <c r="U15" i="74"/>
  <c r="U8" i="64"/>
  <c r="U5" i="64"/>
  <c r="L7" i="64"/>
  <c r="J15" i="52"/>
  <c r="J18" i="52"/>
  <c r="J23" i="52"/>
  <c r="J26" i="52"/>
  <c r="AE26" i="18"/>
  <c r="AE18" i="65"/>
  <c r="L14" i="63"/>
  <c r="L31" i="63"/>
  <c r="AE7" i="67"/>
  <c r="W13" i="66"/>
  <c r="H8" i="48"/>
  <c r="L13" i="66"/>
  <c r="L13" i="74"/>
  <c r="AE73" i="63"/>
  <c r="Q13" i="66"/>
  <c r="Q13" i="74"/>
  <c r="L19" i="68"/>
  <c r="L18" i="68"/>
  <c r="L22" i="68"/>
  <c r="P19" i="68"/>
  <c r="D9" i="68"/>
  <c r="C19" i="68"/>
  <c r="T13" i="66"/>
  <c r="E8" i="48"/>
  <c r="AE21" i="68"/>
  <c r="AD21" i="68"/>
  <c r="C30" i="67"/>
  <c r="D13" i="67"/>
  <c r="D28" i="67"/>
  <c r="D31" i="67"/>
  <c r="D15" i="74"/>
  <c r="J15" i="67"/>
  <c r="J30" i="67"/>
  <c r="L31" i="67"/>
  <c r="L15" i="74"/>
  <c r="E14" i="59"/>
  <c r="E23" i="59"/>
  <c r="E8" i="63"/>
  <c r="P30" i="67"/>
  <c r="C78" i="63"/>
  <c r="C81" i="63"/>
  <c r="D21" i="62"/>
  <c r="D5" i="74"/>
  <c r="D22" i="62"/>
  <c r="C13" i="66"/>
  <c r="C13" i="74"/>
  <c r="AE10" i="66"/>
  <c r="P28" i="67"/>
  <c r="P31" i="67"/>
  <c r="P15" i="74"/>
  <c r="P16" i="67"/>
  <c r="P14" i="74"/>
  <c r="AE6" i="65"/>
  <c r="AB7" i="64"/>
  <c r="D8" i="64"/>
  <c r="D5" i="64"/>
  <c r="D24" i="65"/>
  <c r="D11" i="65"/>
  <c r="AB6" i="63"/>
  <c r="M8" i="64"/>
  <c r="M5" i="64"/>
  <c r="M24" i="65"/>
  <c r="M11" i="65"/>
  <c r="H12" i="66"/>
  <c r="G10" i="66"/>
  <c r="G13" i="66"/>
  <c r="G13" i="74"/>
  <c r="AE15" i="62"/>
  <c r="L14" i="59"/>
  <c r="L23" i="59"/>
  <c r="L8" i="63"/>
  <c r="D65" i="63"/>
  <c r="E88" i="63"/>
  <c r="J14" i="59"/>
  <c r="J23" i="59"/>
  <c r="J8" i="63"/>
  <c r="E31" i="67"/>
  <c r="E15" i="74"/>
  <c r="L88" i="63"/>
  <c r="M88" i="63"/>
  <c r="K88" i="63"/>
  <c r="D26" i="62"/>
  <c r="D6" i="74"/>
  <c r="R87" i="63"/>
  <c r="X9" i="68"/>
  <c r="W19" i="68"/>
  <c r="F50" i="63"/>
  <c r="F38" i="58"/>
  <c r="AE13" i="67"/>
  <c r="D41" i="62"/>
  <c r="D40" i="62"/>
  <c r="W13" i="67"/>
  <c r="W28" i="67"/>
  <c r="W31" i="67"/>
  <c r="W15" i="74"/>
  <c r="M14" i="59"/>
  <c r="M23" i="59"/>
  <c r="M8" i="63"/>
  <c r="AD10" i="66"/>
  <c r="AB13" i="66"/>
  <c r="AB13" i="74"/>
  <c r="W7" i="78"/>
  <c r="W9" i="78"/>
  <c r="K31" i="67"/>
  <c r="K15" i="74"/>
  <c r="K14" i="59"/>
  <c r="K23" i="59"/>
  <c r="K8" i="63"/>
  <c r="K17" i="63"/>
  <c r="N31" i="67"/>
  <c r="N15" i="74"/>
  <c r="L23" i="65"/>
  <c r="L10" i="65"/>
  <c r="Q16" i="62"/>
  <c r="Q42" i="62"/>
  <c r="T31" i="67"/>
  <c r="T15" i="74"/>
  <c r="K16" i="67"/>
  <c r="K14" i="74"/>
  <c r="F31" i="67"/>
  <c r="F15" i="74"/>
  <c r="AE5" i="62"/>
  <c r="AE30" i="67"/>
  <c r="J40" i="52"/>
  <c r="J41" i="52"/>
  <c r="S7" i="64"/>
  <c r="M13" i="66"/>
  <c r="M13" i="74"/>
  <c r="AD13" i="67"/>
  <c r="Y12" i="72"/>
  <c r="O22" i="48"/>
  <c r="M31" i="67"/>
  <c r="M15" i="74"/>
  <c r="C26" i="62"/>
  <c r="C6" i="74"/>
  <c r="P9" i="78"/>
  <c r="C41" i="62"/>
  <c r="C40" i="62"/>
  <c r="C39" i="62"/>
  <c r="C43" i="62"/>
  <c r="C8" i="74"/>
  <c r="C21" i="62"/>
  <c r="C5" i="74"/>
  <c r="AD30" i="67"/>
  <c r="Q9" i="78"/>
  <c r="AE11" i="59"/>
  <c r="L5" i="63"/>
  <c r="V9" i="78"/>
  <c r="C9" i="68"/>
  <c r="C24" i="65"/>
  <c r="C11" i="65"/>
  <c r="S13" i="63"/>
  <c r="D58" i="63"/>
  <c r="D86" i="63"/>
  <c r="AB15" i="76"/>
  <c r="AE15" i="76"/>
  <c r="H18" i="48"/>
  <c r="AE14" i="60"/>
  <c r="Q31" i="67"/>
  <c r="Q15" i="74"/>
  <c r="Z12" i="72"/>
  <c r="I22" i="48"/>
  <c r="P22" i="48"/>
  <c r="S30" i="67"/>
  <c r="S13" i="67"/>
  <c r="S28" i="67"/>
  <c r="S31" i="67"/>
  <c r="S15" i="74"/>
  <c r="D7" i="64"/>
  <c r="D6" i="63"/>
  <c r="D22" i="63"/>
  <c r="W8" i="64"/>
  <c r="W5" i="64"/>
  <c r="S5" i="63"/>
  <c r="S21" i="63"/>
  <c r="S22" i="63"/>
  <c r="Q8" i="64"/>
  <c r="Q5" i="64"/>
  <c r="Q24" i="65"/>
  <c r="Q11" i="65"/>
  <c r="J7" i="64"/>
  <c r="J6" i="63"/>
  <c r="J23" i="65"/>
  <c r="K16" i="78"/>
  <c r="K18" i="74"/>
  <c r="L8" i="64"/>
  <c r="L5" i="64"/>
  <c r="L24" i="65"/>
  <c r="O6" i="63"/>
  <c r="O23" i="65"/>
  <c r="O10" i="65"/>
  <c r="O7" i="64"/>
  <c r="O6" i="64"/>
  <c r="O9" i="64"/>
  <c r="O11" i="74"/>
  <c r="AE13" i="65"/>
  <c r="AE12" i="65"/>
  <c r="AE25" i="67"/>
  <c r="M90" i="63"/>
  <c r="N90" i="63"/>
  <c r="Q6" i="65"/>
  <c r="Q18" i="65"/>
  <c r="Q5" i="65"/>
  <c r="D10" i="65"/>
  <c r="S8" i="64"/>
  <c r="S5" i="64"/>
  <c r="E11" i="48"/>
  <c r="T5" i="67"/>
  <c r="T16" i="67"/>
  <c r="Q16" i="67"/>
  <c r="Q14" i="74"/>
  <c r="T6" i="63"/>
  <c r="T7" i="64"/>
  <c r="N8" i="64"/>
  <c r="N5" i="64"/>
  <c r="N24" i="65"/>
  <c r="E7" i="59"/>
  <c r="X12" i="78"/>
  <c r="AE13" i="78"/>
  <c r="Q23" i="65"/>
  <c r="L86" i="63"/>
  <c r="L39" i="63"/>
  <c r="L58" i="63"/>
  <c r="AD11" i="68"/>
  <c r="G24" i="65"/>
  <c r="G11" i="65"/>
  <c r="F11" i="48"/>
  <c r="U5" i="67"/>
  <c r="U16" i="67"/>
  <c r="AD28" i="67"/>
  <c r="AE28" i="67"/>
  <c r="AB31" i="67"/>
  <c r="AE6" i="78"/>
  <c r="AB5" i="78"/>
  <c r="C11" i="48"/>
  <c r="R5" i="67"/>
  <c r="J85" i="63"/>
  <c r="J39" i="63"/>
  <c r="S5" i="67"/>
  <c r="D11" i="48"/>
  <c r="W5" i="67"/>
  <c r="H11" i="48"/>
  <c r="D92" i="63"/>
  <c r="M5" i="65"/>
  <c r="W6" i="63"/>
  <c r="W7" i="64"/>
  <c r="O28" i="67"/>
  <c r="O31" i="67"/>
  <c r="O15" i="74"/>
  <c r="O16" i="67"/>
  <c r="O14" i="74"/>
  <c r="G11" i="48"/>
  <c r="V5" i="67"/>
  <c r="V16" i="67"/>
  <c r="AE11" i="68"/>
  <c r="AB5" i="68"/>
  <c r="AE6" i="68"/>
  <c r="G18" i="48"/>
  <c r="V8" i="68"/>
  <c r="V19" i="68"/>
  <c r="AD10" i="79"/>
  <c r="AE10" i="79"/>
  <c r="AB8" i="79"/>
  <c r="AB71" i="63"/>
  <c r="AE72" i="63"/>
  <c r="P14" i="48"/>
  <c r="J58" i="63"/>
  <c r="L92" i="63"/>
  <c r="K70" i="63"/>
  <c r="L91" i="63"/>
  <c r="K11" i="59"/>
  <c r="K15" i="62"/>
  <c r="K16" i="62"/>
  <c r="K42" i="62"/>
  <c r="Q6" i="63"/>
  <c r="AB12" i="74"/>
  <c r="AE41" i="58"/>
  <c r="G41" i="58"/>
  <c r="G7" i="64"/>
  <c r="D19" i="68"/>
  <c r="C6" i="63"/>
  <c r="C14" i="63"/>
  <c r="C23" i="65"/>
  <c r="T16" i="78"/>
  <c r="E36" i="48"/>
  <c r="U18" i="74"/>
  <c r="AE42" i="62"/>
  <c r="F8" i="48"/>
  <c r="AB6" i="64"/>
  <c r="AB9" i="64"/>
  <c r="AB11" i="74"/>
  <c r="F70" i="63"/>
  <c r="AE16" i="62"/>
  <c r="L7" i="68"/>
  <c r="L10" i="68"/>
  <c r="L12" i="68"/>
  <c r="L16" i="74"/>
  <c r="F71" i="63"/>
  <c r="D8" i="48"/>
  <c r="S13" i="74"/>
  <c r="V7" i="64"/>
  <c r="V6" i="64"/>
  <c r="V9" i="64"/>
  <c r="V11" i="74"/>
  <c r="K26" i="52"/>
  <c r="P17" i="48"/>
  <c r="M13" i="61"/>
  <c r="AB22" i="65"/>
  <c r="AB26" i="65"/>
  <c r="U87" i="63"/>
  <c r="V87" i="63"/>
  <c r="P91" i="63"/>
  <c r="J9" i="68"/>
  <c r="J7" i="68"/>
  <c r="J10" i="68"/>
  <c r="J12" i="68"/>
  <c r="J16" i="74"/>
  <c r="E8" i="64"/>
  <c r="E5" i="64"/>
  <c r="F13" i="61"/>
  <c r="V91" i="63"/>
  <c r="E11" i="76"/>
  <c r="M15" i="76"/>
  <c r="F14" i="79"/>
  <c r="F16" i="79"/>
  <c r="F5" i="79"/>
  <c r="F11" i="79"/>
  <c r="M14" i="79"/>
  <c r="M16" i="79"/>
  <c r="M5" i="79"/>
  <c r="M11" i="79"/>
  <c r="N6" i="63"/>
  <c r="N22" i="63"/>
  <c r="N7" i="64"/>
  <c r="N6" i="64"/>
  <c r="N9" i="64"/>
  <c r="N11" i="74"/>
  <c r="AE13" i="61"/>
  <c r="P5" i="79"/>
  <c r="P11" i="79"/>
  <c r="P14" i="79"/>
  <c r="P16" i="79"/>
  <c r="M6" i="63"/>
  <c r="M7" i="64"/>
  <c r="M6" i="64"/>
  <c r="M9" i="64"/>
  <c r="M11" i="74"/>
  <c r="M23" i="65"/>
  <c r="M10" i="65"/>
  <c r="M9" i="65"/>
  <c r="M15" i="65"/>
  <c r="M12" i="74"/>
  <c r="U14" i="63"/>
  <c r="U31" i="63"/>
  <c r="U5" i="63"/>
  <c r="U21" i="63"/>
  <c r="S18" i="74"/>
  <c r="N23" i="65"/>
  <c r="N10" i="65"/>
  <c r="AE12" i="61"/>
  <c r="F24" i="65"/>
  <c r="F11" i="65"/>
  <c r="T14" i="79"/>
  <c r="T16" i="79"/>
  <c r="T5" i="79"/>
  <c r="T11" i="79"/>
  <c r="T90" i="63"/>
  <c r="S90" i="63"/>
  <c r="F11" i="76"/>
  <c r="Q15" i="76"/>
  <c r="I24" i="48"/>
  <c r="P24" i="48"/>
  <c r="Z5" i="69"/>
  <c r="X14" i="79"/>
  <c r="X5" i="79"/>
  <c r="K23" i="65"/>
  <c r="K10" i="65"/>
  <c r="K9" i="65"/>
  <c r="K15" i="65"/>
  <c r="K12" i="74"/>
  <c r="K7" i="64"/>
  <c r="K6" i="64"/>
  <c r="K9" i="64"/>
  <c r="K11" i="74"/>
  <c r="K6" i="63"/>
  <c r="K14" i="63"/>
  <c r="S14" i="79"/>
  <c r="S5" i="79"/>
  <c r="X15" i="79"/>
  <c r="AE9" i="79"/>
  <c r="X8" i="79"/>
  <c r="AE8" i="79"/>
  <c r="C14" i="79"/>
  <c r="C16" i="79"/>
  <c r="C5" i="79"/>
  <c r="C11" i="79"/>
  <c r="J14" i="79"/>
  <c r="J16" i="79"/>
  <c r="J5" i="79"/>
  <c r="J11" i="79"/>
  <c r="AB87" i="63"/>
  <c r="AE87" i="63"/>
  <c r="AD64" i="63"/>
  <c r="L14" i="79"/>
  <c r="L16" i="79"/>
  <c r="L5" i="79"/>
  <c r="L11" i="79"/>
  <c r="U15" i="76"/>
  <c r="G11" i="76"/>
  <c r="G14" i="79"/>
  <c r="G16" i="79"/>
  <c r="G5" i="79"/>
  <c r="G11" i="79"/>
  <c r="V8" i="79"/>
  <c r="V15" i="79"/>
  <c r="E92" i="63"/>
  <c r="Y9" i="73"/>
  <c r="D14" i="79"/>
  <c r="D16" i="79"/>
  <c r="D5" i="79"/>
  <c r="D11" i="79"/>
  <c r="V14" i="79"/>
  <c r="V5" i="79"/>
  <c r="R8" i="68"/>
  <c r="C18" i="48"/>
  <c r="AB14" i="79"/>
  <c r="AE6" i="79"/>
  <c r="AB5" i="79"/>
  <c r="AB11" i="79"/>
  <c r="K14" i="79"/>
  <c r="K16" i="79"/>
  <c r="K5" i="79"/>
  <c r="K11" i="79"/>
  <c r="C21" i="67"/>
  <c r="C20" i="67"/>
  <c r="C19" i="67"/>
  <c r="C31" i="67"/>
  <c r="C15" i="74"/>
  <c r="C6" i="67"/>
  <c r="C5" i="67"/>
  <c r="C16" i="67"/>
  <c r="C14" i="74"/>
  <c r="E14" i="79"/>
  <c r="E16" i="79"/>
  <c r="E5" i="79"/>
  <c r="E11" i="79"/>
  <c r="N5" i="79"/>
  <c r="N11" i="79"/>
  <c r="N14" i="79"/>
  <c r="N16" i="79"/>
  <c r="O9" i="68"/>
  <c r="N19" i="68"/>
  <c r="R14" i="79"/>
  <c r="R16" i="79"/>
  <c r="R5" i="79"/>
  <c r="R11" i="79"/>
  <c r="U14" i="79"/>
  <c r="U16" i="79"/>
  <c r="U5" i="79"/>
  <c r="U11" i="79"/>
  <c r="Q5" i="79"/>
  <c r="Q11" i="79"/>
  <c r="Q14" i="79"/>
  <c r="Q16" i="79"/>
  <c r="S15" i="79"/>
  <c r="S8" i="79"/>
  <c r="C24" i="63"/>
  <c r="C34" i="63"/>
  <c r="M92" i="63"/>
  <c r="C17" i="63"/>
  <c r="D16" i="63"/>
  <c r="R16" i="67"/>
  <c r="R14" i="74"/>
  <c r="U7" i="64"/>
  <c r="U6" i="64"/>
  <c r="U9" i="64"/>
  <c r="U11" i="74"/>
  <c r="G8" i="48"/>
  <c r="K7" i="68"/>
  <c r="K10" i="68"/>
  <c r="K12" i="68"/>
  <c r="K16" i="74"/>
  <c r="AE19" i="67"/>
  <c r="U16" i="62"/>
  <c r="U42" i="62"/>
  <c r="G15" i="62"/>
  <c r="G16" i="62"/>
  <c r="G42" i="62"/>
  <c r="P7" i="64"/>
  <c r="P6" i="64"/>
  <c r="P9" i="64"/>
  <c r="P11" i="74"/>
  <c r="J6" i="64"/>
  <c r="J9" i="64"/>
  <c r="J11" i="74"/>
  <c r="P23" i="65"/>
  <c r="P10" i="65"/>
  <c r="P9" i="65"/>
  <c r="P15" i="65"/>
  <c r="P12" i="74"/>
  <c r="W91" i="63"/>
  <c r="E6" i="63"/>
  <c r="E22" i="63"/>
  <c r="P18" i="68"/>
  <c r="P22" i="68"/>
  <c r="U22" i="63"/>
  <c r="U12" i="74"/>
  <c r="K58" i="63"/>
  <c r="D24" i="63"/>
  <c r="D34" i="63"/>
  <c r="D7" i="63"/>
  <c r="E7" i="64"/>
  <c r="X13" i="74"/>
  <c r="AE13" i="74"/>
  <c r="T6" i="64"/>
  <c r="T9" i="64"/>
  <c r="T11" i="74"/>
  <c r="T19" i="68"/>
  <c r="T18" i="68"/>
  <c r="T22" i="68"/>
  <c r="P7" i="68"/>
  <c r="P10" i="68"/>
  <c r="P12" i="68"/>
  <c r="P16" i="74"/>
  <c r="E15" i="62"/>
  <c r="E16" i="62"/>
  <c r="E42" i="62"/>
  <c r="R13" i="74"/>
  <c r="T7" i="68"/>
  <c r="T10" i="68"/>
  <c r="T12" i="68"/>
  <c r="T16" i="74"/>
  <c r="X6" i="63"/>
  <c r="AE6" i="63"/>
  <c r="F41" i="58"/>
  <c r="F7" i="64"/>
  <c r="F6" i="64"/>
  <c r="F9" i="64"/>
  <c r="F11" i="74"/>
  <c r="R14" i="63"/>
  <c r="R31" i="63"/>
  <c r="R7" i="64"/>
  <c r="R6" i="64"/>
  <c r="R9" i="64"/>
  <c r="R11" i="74"/>
  <c r="T13" i="74"/>
  <c r="E39" i="63"/>
  <c r="E58" i="63"/>
  <c r="R12" i="74"/>
  <c r="Y9" i="68"/>
  <c r="Y20" i="68"/>
  <c r="AE5" i="67"/>
  <c r="X16" i="67"/>
  <c r="X14" i="74"/>
  <c r="K18" i="68"/>
  <c r="K22" i="68"/>
  <c r="I11" i="48"/>
  <c r="P11" i="48"/>
  <c r="AE6" i="67"/>
  <c r="H36" i="48"/>
  <c r="W18" i="74"/>
  <c r="L13" i="63"/>
  <c r="L12" i="63"/>
  <c r="R22" i="63"/>
  <c r="AE20" i="67"/>
  <c r="K92" i="63"/>
  <c r="D6" i="64"/>
  <c r="D9" i="64"/>
  <c r="D11" i="74"/>
  <c r="J13" i="67"/>
  <c r="J28" i="67"/>
  <c r="J31" i="67"/>
  <c r="J15" i="74"/>
  <c r="D22" i="65"/>
  <c r="D26" i="65"/>
  <c r="X7" i="64"/>
  <c r="AE7" i="64"/>
  <c r="W13" i="74"/>
  <c r="W6" i="64"/>
  <c r="W9" i="64"/>
  <c r="W11" i="74"/>
  <c r="G6" i="63"/>
  <c r="W16" i="67"/>
  <c r="H7" i="48"/>
  <c r="D9" i="65"/>
  <c r="D15" i="65"/>
  <c r="D12" i="74"/>
  <c r="G23" i="65"/>
  <c r="G10" i="65"/>
  <c r="G9" i="65"/>
  <c r="G15" i="65"/>
  <c r="G12" i="74"/>
  <c r="O9" i="65"/>
  <c r="O15" i="65"/>
  <c r="O12" i="74"/>
  <c r="F91" i="63"/>
  <c r="D7" i="68"/>
  <c r="D10" i="68"/>
  <c r="D12" i="68"/>
  <c r="D16" i="74"/>
  <c r="D20" i="68"/>
  <c r="D18" i="68"/>
  <c r="D22" i="68"/>
  <c r="C7" i="68"/>
  <c r="C10" i="68"/>
  <c r="C12" i="68"/>
  <c r="C16" i="74"/>
  <c r="C20" i="68"/>
  <c r="C18" i="68"/>
  <c r="C22" i="68"/>
  <c r="D16" i="67"/>
  <c r="D14" i="74"/>
  <c r="G36" i="48"/>
  <c r="O22" i="65"/>
  <c r="O26" i="65"/>
  <c r="AB14" i="63"/>
  <c r="AB5" i="63"/>
  <c r="AB21" i="63"/>
  <c r="AB22" i="63"/>
  <c r="S16" i="67"/>
  <c r="D7" i="48"/>
  <c r="J17" i="63"/>
  <c r="J16" i="63"/>
  <c r="J24" i="63"/>
  <c r="J7" i="63"/>
  <c r="D61" i="63"/>
  <c r="D88" i="63"/>
  <c r="L24" i="63"/>
  <c r="L34" i="63"/>
  <c r="L17" i="63"/>
  <c r="L16" i="63"/>
  <c r="M8" i="48"/>
  <c r="P8" i="48"/>
  <c r="AE13" i="66"/>
  <c r="U20" i="68"/>
  <c r="X20" i="68"/>
  <c r="X18" i="68"/>
  <c r="X22" i="68"/>
  <c r="X7" i="68"/>
  <c r="X10" i="68"/>
  <c r="X12" i="68"/>
  <c r="M24" i="63"/>
  <c r="M7" i="63"/>
  <c r="M17" i="63"/>
  <c r="L7" i="63"/>
  <c r="L9" i="63"/>
  <c r="L9" i="74"/>
  <c r="M18" i="48"/>
  <c r="P18" i="48"/>
  <c r="AB8" i="68"/>
  <c r="AB19" i="68"/>
  <c r="D39" i="62"/>
  <c r="D43" i="62"/>
  <c r="D8" i="74"/>
  <c r="K7" i="63"/>
  <c r="K24" i="63"/>
  <c r="Q6" i="64"/>
  <c r="Q9" i="64"/>
  <c r="Q11" i="74"/>
  <c r="D5" i="63"/>
  <c r="D21" i="63"/>
  <c r="D14" i="63"/>
  <c r="D13" i="63"/>
  <c r="L21" i="63"/>
  <c r="S30" i="63"/>
  <c r="S12" i="63"/>
  <c r="S29" i="63"/>
  <c r="X8" i="64"/>
  <c r="AE19" i="60"/>
  <c r="S6" i="64"/>
  <c r="S9" i="64"/>
  <c r="S11" i="74"/>
  <c r="L11" i="65"/>
  <c r="L9" i="65"/>
  <c r="L15" i="65"/>
  <c r="L12" i="74"/>
  <c r="L22" i="65"/>
  <c r="L26" i="65"/>
  <c r="G91" i="63"/>
  <c r="T22" i="65"/>
  <c r="T26" i="65"/>
  <c r="J10" i="65"/>
  <c r="J9" i="65"/>
  <c r="J15" i="65"/>
  <c r="J12" i="74"/>
  <c r="J22" i="65"/>
  <c r="J26" i="65"/>
  <c r="T12" i="74"/>
  <c r="L6" i="64"/>
  <c r="L9" i="64"/>
  <c r="L11" i="74"/>
  <c r="J22" i="63"/>
  <c r="J5" i="63"/>
  <c r="J14" i="63"/>
  <c r="S12" i="74"/>
  <c r="S22" i="65"/>
  <c r="S26" i="65"/>
  <c r="O22" i="63"/>
  <c r="O5" i="63"/>
  <c r="O21" i="63"/>
  <c r="O14" i="63"/>
  <c r="P22" i="63"/>
  <c r="P5" i="63"/>
  <c r="P21" i="63"/>
  <c r="P14" i="63"/>
  <c r="T14" i="74"/>
  <c r="E7" i="48"/>
  <c r="N11" i="65"/>
  <c r="T14" i="63"/>
  <c r="T5" i="63"/>
  <c r="T21" i="63"/>
  <c r="T22" i="63"/>
  <c r="C5" i="63"/>
  <c r="C22" i="63"/>
  <c r="F7" i="48"/>
  <c r="U14" i="74"/>
  <c r="C10" i="65"/>
  <c r="C9" i="65"/>
  <c r="C15" i="65"/>
  <c r="C12" i="74"/>
  <c r="C22" i="65"/>
  <c r="C26" i="65"/>
  <c r="AE12" i="78"/>
  <c r="X16" i="78"/>
  <c r="AE31" i="67"/>
  <c r="AB15" i="74"/>
  <c r="AE15" i="74"/>
  <c r="G6" i="64"/>
  <c r="G9" i="64"/>
  <c r="G11" i="74"/>
  <c r="E24" i="63"/>
  <c r="E17" i="63"/>
  <c r="E7" i="63"/>
  <c r="Q14" i="63"/>
  <c r="Q22" i="63"/>
  <c r="Q5" i="63"/>
  <c r="Q21" i="63"/>
  <c r="AE5" i="78"/>
  <c r="Q10" i="65"/>
  <c r="Q9" i="65"/>
  <c r="Q15" i="65"/>
  <c r="Q12" i="74"/>
  <c r="Q22" i="65"/>
  <c r="Q26" i="65"/>
  <c r="E10" i="65"/>
  <c r="E9" i="65"/>
  <c r="E15" i="65"/>
  <c r="E12" i="74"/>
  <c r="E22" i="65"/>
  <c r="E26" i="65"/>
  <c r="W12" i="74"/>
  <c r="W22" i="65"/>
  <c r="W26" i="65"/>
  <c r="V14" i="74"/>
  <c r="G7" i="48"/>
  <c r="W5" i="63"/>
  <c r="W21" i="63"/>
  <c r="W22" i="63"/>
  <c r="W14" i="63"/>
  <c r="R18" i="74"/>
  <c r="C36" i="48"/>
  <c r="AE5" i="68"/>
  <c r="W9" i="68"/>
  <c r="AE71" i="63"/>
  <c r="M7" i="48"/>
  <c r="AB14" i="74"/>
  <c r="M22" i="65"/>
  <c r="M26" i="65"/>
  <c r="K91" i="63"/>
  <c r="N22" i="65"/>
  <c r="N26" i="65"/>
  <c r="N9" i="65"/>
  <c r="N15" i="65"/>
  <c r="N12" i="74"/>
  <c r="T18" i="74"/>
  <c r="K22" i="63"/>
  <c r="C7" i="48"/>
  <c r="V12" i="74"/>
  <c r="C16" i="63"/>
  <c r="K5" i="63"/>
  <c r="K21" i="63"/>
  <c r="V6" i="63"/>
  <c r="V22" i="63"/>
  <c r="K22" i="65"/>
  <c r="K26" i="65"/>
  <c r="E6" i="64"/>
  <c r="E9" i="64"/>
  <c r="E11" i="74"/>
  <c r="C23" i="63"/>
  <c r="C33" i="63"/>
  <c r="J20" i="68"/>
  <c r="J18" i="68"/>
  <c r="J22" i="68"/>
  <c r="U13" i="63"/>
  <c r="U12" i="63"/>
  <c r="U29" i="63"/>
  <c r="M8" i="68"/>
  <c r="E15" i="76"/>
  <c r="E8" i="68"/>
  <c r="AE5" i="79"/>
  <c r="V11" i="79"/>
  <c r="N14" i="63"/>
  <c r="N5" i="63"/>
  <c r="N21" i="63"/>
  <c r="M14" i="63"/>
  <c r="M5" i="63"/>
  <c r="M21" i="63"/>
  <c r="M22" i="63"/>
  <c r="Q8" i="68"/>
  <c r="F15" i="76"/>
  <c r="F8" i="68"/>
  <c r="X11" i="79"/>
  <c r="AE11" i="79"/>
  <c r="V16" i="79"/>
  <c r="AE14" i="79"/>
  <c r="AB16" i="79"/>
  <c r="X16" i="79"/>
  <c r="AE15" i="79"/>
  <c r="S11" i="79"/>
  <c r="S9" i="68"/>
  <c r="R19" i="68"/>
  <c r="S16" i="79"/>
  <c r="O20" i="68"/>
  <c r="O18" i="68"/>
  <c r="O22" i="68"/>
  <c r="O7" i="68"/>
  <c r="O10" i="68"/>
  <c r="O12" i="68"/>
  <c r="O16" i="74"/>
  <c r="G15" i="76"/>
  <c r="G8" i="68"/>
  <c r="U8" i="68"/>
  <c r="F18" i="48"/>
  <c r="P22" i="65"/>
  <c r="P26" i="65"/>
  <c r="E34" i="48"/>
  <c r="E14" i="63"/>
  <c r="E13" i="63"/>
  <c r="E5" i="63"/>
  <c r="E21" i="63"/>
  <c r="U22" i="65"/>
  <c r="U26" i="65"/>
  <c r="X14" i="63"/>
  <c r="X31" i="63"/>
  <c r="X5" i="63"/>
  <c r="X21" i="63"/>
  <c r="AE21" i="63"/>
  <c r="D23" i="63"/>
  <c r="D33" i="63"/>
  <c r="X22" i="63"/>
  <c r="AE22" i="63"/>
  <c r="F23" i="65"/>
  <c r="F10" i="65"/>
  <c r="F9" i="65"/>
  <c r="F15" i="65"/>
  <c r="F12" i="74"/>
  <c r="F6" i="63"/>
  <c r="F22" i="63"/>
  <c r="R13" i="63"/>
  <c r="AE16" i="67"/>
  <c r="L30" i="63"/>
  <c r="I7" i="48"/>
  <c r="P7" i="48"/>
  <c r="R22" i="65"/>
  <c r="R26" i="65"/>
  <c r="X6" i="64"/>
  <c r="AE6" i="64"/>
  <c r="J16" i="67"/>
  <c r="J14" i="74"/>
  <c r="S14" i="74"/>
  <c r="G22" i="65"/>
  <c r="G26" i="65"/>
  <c r="AE23" i="65"/>
  <c r="AE10" i="65"/>
  <c r="AE8" i="68"/>
  <c r="G22" i="63"/>
  <c r="G5" i="63"/>
  <c r="G21" i="63"/>
  <c r="G14" i="63"/>
  <c r="W14" i="74"/>
  <c r="AE19" i="68"/>
  <c r="AB13" i="63"/>
  <c r="AB31" i="63"/>
  <c r="D78" i="63"/>
  <c r="D81" i="63"/>
  <c r="D84" i="63"/>
  <c r="J34" i="63"/>
  <c r="J23" i="63"/>
  <c r="J33" i="63"/>
  <c r="M16" i="63"/>
  <c r="K16" i="63"/>
  <c r="W7" i="68"/>
  <c r="W10" i="68"/>
  <c r="W12" i="68"/>
  <c r="W16" i="74"/>
  <c r="W20" i="68"/>
  <c r="W18" i="68"/>
  <c r="W22" i="68"/>
  <c r="I34" i="48"/>
  <c r="X16" i="74"/>
  <c r="M34" i="63"/>
  <c r="M23" i="63"/>
  <c r="K34" i="63"/>
  <c r="K23" i="63"/>
  <c r="K33" i="63"/>
  <c r="L23" i="63"/>
  <c r="D31" i="63"/>
  <c r="K31" i="63"/>
  <c r="K13" i="63"/>
  <c r="D9" i="63"/>
  <c r="D9" i="74"/>
  <c r="X22" i="65"/>
  <c r="AE24" i="65"/>
  <c r="X5" i="64"/>
  <c r="AE5" i="64"/>
  <c r="AE8" i="64"/>
  <c r="J31" i="63"/>
  <c r="J13" i="63"/>
  <c r="J21" i="63"/>
  <c r="J9" i="63"/>
  <c r="J9" i="74"/>
  <c r="O13" i="63"/>
  <c r="O31" i="63"/>
  <c r="L29" i="63"/>
  <c r="L18" i="63"/>
  <c r="L10" i="74"/>
  <c r="D30" i="63"/>
  <c r="D12" i="63"/>
  <c r="D29" i="63"/>
  <c r="P31" i="63"/>
  <c r="P13" i="63"/>
  <c r="T31" i="63"/>
  <c r="T13" i="63"/>
  <c r="E34" i="63"/>
  <c r="E23" i="63"/>
  <c r="E33" i="63"/>
  <c r="Q13" i="63"/>
  <c r="Q31" i="63"/>
  <c r="I36" i="48"/>
  <c r="X18" i="74"/>
  <c r="C21" i="63"/>
  <c r="C9" i="63"/>
  <c r="C9" i="74"/>
  <c r="C13" i="63"/>
  <c r="C31" i="63"/>
  <c r="E16" i="63"/>
  <c r="W31" i="63"/>
  <c r="W13" i="63"/>
  <c r="AE14" i="74"/>
  <c r="K9" i="63"/>
  <c r="K9" i="74"/>
  <c r="V5" i="63"/>
  <c r="V21" i="63"/>
  <c r="V22" i="65"/>
  <c r="V26" i="65"/>
  <c r="V14" i="63"/>
  <c r="V13" i="63"/>
  <c r="V12" i="63"/>
  <c r="V29" i="63"/>
  <c r="C26" i="63"/>
  <c r="U30" i="63"/>
  <c r="M7" i="68"/>
  <c r="M10" i="68"/>
  <c r="M12" i="68"/>
  <c r="M16" i="74"/>
  <c r="N9" i="68"/>
  <c r="M19" i="68"/>
  <c r="M18" i="68"/>
  <c r="M22" i="68"/>
  <c r="M9" i="63"/>
  <c r="M9" i="74"/>
  <c r="E19" i="68"/>
  <c r="E18" i="68"/>
  <c r="E22" i="68"/>
  <c r="E7" i="68"/>
  <c r="E10" i="68"/>
  <c r="E12" i="68"/>
  <c r="E16" i="74"/>
  <c r="F9" i="68"/>
  <c r="F20" i="68"/>
  <c r="N31" i="63"/>
  <c r="N13" i="63"/>
  <c r="AE16" i="79"/>
  <c r="F19" i="68"/>
  <c r="G9" i="68"/>
  <c r="G20" i="68"/>
  <c r="R9" i="68"/>
  <c r="Q19" i="68"/>
  <c r="Q18" i="68"/>
  <c r="Q22" i="68"/>
  <c r="Q7" i="68"/>
  <c r="Q10" i="68"/>
  <c r="Q12" i="68"/>
  <c r="Q16" i="74"/>
  <c r="M13" i="63"/>
  <c r="M31" i="63"/>
  <c r="U19" i="68"/>
  <c r="U18" i="68"/>
  <c r="U22" i="68"/>
  <c r="V9" i="68"/>
  <c r="U7" i="68"/>
  <c r="U10" i="68"/>
  <c r="U12" i="68"/>
  <c r="H9" i="68"/>
  <c r="H20" i="68"/>
  <c r="G19" i="68"/>
  <c r="S20" i="68"/>
  <c r="S18" i="68"/>
  <c r="S22" i="68"/>
  <c r="S7" i="68"/>
  <c r="S10" i="68"/>
  <c r="S12" i="68"/>
  <c r="E31" i="63"/>
  <c r="E9" i="63"/>
  <c r="E9" i="74"/>
  <c r="X13" i="63"/>
  <c r="X30" i="63"/>
  <c r="AE5" i="63"/>
  <c r="AE14" i="63"/>
  <c r="D36" i="63"/>
  <c r="D26" i="63"/>
  <c r="F22" i="65"/>
  <c r="F26" i="65"/>
  <c r="F14" i="63"/>
  <c r="F5" i="63"/>
  <c r="F21" i="63"/>
  <c r="R12" i="63"/>
  <c r="R29" i="63"/>
  <c r="R30" i="63"/>
  <c r="G13" i="63"/>
  <c r="G31" i="63"/>
  <c r="H34" i="48"/>
  <c r="AE31" i="63"/>
  <c r="AB30" i="63"/>
  <c r="AB12" i="63"/>
  <c r="AB29" i="63"/>
  <c r="J26" i="63"/>
  <c r="M33" i="63"/>
  <c r="M26" i="63"/>
  <c r="E26" i="63"/>
  <c r="K26" i="63"/>
  <c r="L33" i="63"/>
  <c r="L36" i="63"/>
  <c r="L26" i="63"/>
  <c r="D18" i="63"/>
  <c r="D10" i="74"/>
  <c r="K30" i="63"/>
  <c r="K12" i="63"/>
  <c r="X9" i="64"/>
  <c r="X11" i="74"/>
  <c r="AE11" i="74"/>
  <c r="AE11" i="65"/>
  <c r="X26" i="65"/>
  <c r="AE22" i="65"/>
  <c r="O30" i="63"/>
  <c r="O12" i="63"/>
  <c r="O29" i="63"/>
  <c r="J12" i="63"/>
  <c r="J30" i="63"/>
  <c r="P30" i="63"/>
  <c r="P12" i="63"/>
  <c r="P29" i="63"/>
  <c r="T12" i="63"/>
  <c r="T29" i="63"/>
  <c r="T30" i="63"/>
  <c r="Q12" i="63"/>
  <c r="Q29" i="63"/>
  <c r="Q30" i="63"/>
  <c r="C30" i="63"/>
  <c r="C12" i="63"/>
  <c r="E12" i="63"/>
  <c r="E30" i="63"/>
  <c r="W12" i="63"/>
  <c r="W29" i="63"/>
  <c r="W30" i="63"/>
  <c r="V31" i="63"/>
  <c r="V30" i="63"/>
  <c r="F7" i="68"/>
  <c r="F10" i="68"/>
  <c r="F12" i="68"/>
  <c r="F16" i="74"/>
  <c r="F18" i="68"/>
  <c r="F22" i="68"/>
  <c r="N20" i="68"/>
  <c r="N18" i="68"/>
  <c r="N22" i="68"/>
  <c r="N7" i="68"/>
  <c r="N10" i="68"/>
  <c r="N12" i="68"/>
  <c r="N16" i="74"/>
  <c r="N30" i="63"/>
  <c r="N12" i="63"/>
  <c r="N29" i="63"/>
  <c r="M12" i="63"/>
  <c r="M30" i="63"/>
  <c r="R20" i="68"/>
  <c r="R18" i="68"/>
  <c r="R22" i="68"/>
  <c r="R7" i="68"/>
  <c r="R10" i="68"/>
  <c r="R12" i="68"/>
  <c r="G18" i="68"/>
  <c r="G22" i="68"/>
  <c r="G7" i="68"/>
  <c r="G10" i="68"/>
  <c r="G12" i="68"/>
  <c r="G16" i="74"/>
  <c r="S16" i="74"/>
  <c r="D34" i="48"/>
  <c r="F34" i="48"/>
  <c r="U16" i="74"/>
  <c r="V20" i="68"/>
  <c r="V18" i="68"/>
  <c r="V22" i="68"/>
  <c r="V7" i="68"/>
  <c r="V10" i="68"/>
  <c r="V12" i="68"/>
  <c r="AE13" i="63"/>
  <c r="X12" i="63"/>
  <c r="AE12" i="63"/>
  <c r="F13" i="63"/>
  <c r="F31" i="63"/>
  <c r="G12" i="63"/>
  <c r="G29" i="63"/>
  <c r="G30" i="63"/>
  <c r="AE30" i="63"/>
  <c r="AE9" i="64"/>
  <c r="K18" i="63"/>
  <c r="K10" i="74"/>
  <c r="K29" i="63"/>
  <c r="K36" i="63"/>
  <c r="AE26" i="65"/>
  <c r="P35" i="48"/>
  <c r="AE9" i="65"/>
  <c r="J29" i="63"/>
  <c r="J36" i="63"/>
  <c r="J18" i="63"/>
  <c r="J10" i="74"/>
  <c r="C18" i="63"/>
  <c r="C10" i="74"/>
  <c r="C29" i="63"/>
  <c r="C36" i="63"/>
  <c r="E18" i="63"/>
  <c r="E10" i="74"/>
  <c r="E29" i="63"/>
  <c r="E36" i="63"/>
  <c r="M29" i="63"/>
  <c r="M36" i="63"/>
  <c r="M18" i="63"/>
  <c r="M10" i="74"/>
  <c r="C34" i="48"/>
  <c r="R16" i="74"/>
  <c r="G34" i="48"/>
  <c r="V16" i="74"/>
  <c r="X29" i="63"/>
  <c r="AE29" i="63"/>
  <c r="F12" i="63"/>
  <c r="F29" i="63"/>
  <c r="F30" i="63"/>
  <c r="AE15" i="65"/>
  <c r="X12" i="74"/>
  <c r="AE12" i="74"/>
  <c r="AA45" i="63"/>
  <c r="AD14" i="20"/>
  <c r="M37" i="52"/>
  <c r="M43" i="52"/>
  <c r="H14" i="20"/>
  <c r="AD10" i="20"/>
  <c r="AD8" i="59"/>
  <c r="AD6" i="60"/>
  <c r="AD7" i="60"/>
  <c r="AD8" i="60"/>
  <c r="AD9" i="60"/>
  <c r="AD10" i="60"/>
  <c r="AD16" i="60"/>
  <c r="AD17" i="60"/>
  <c r="AD18" i="60"/>
  <c r="H8" i="59"/>
  <c r="Z5" i="59"/>
  <c r="Z73" i="63"/>
  <c r="Z9" i="59"/>
  <c r="Z75" i="63"/>
  <c r="AD6" i="76"/>
  <c r="AD7" i="76"/>
  <c r="AD8" i="76"/>
  <c r="AD9" i="76"/>
  <c r="AD13" i="76"/>
  <c r="AD26" i="20"/>
  <c r="AD16" i="20"/>
  <c r="AD20" i="20"/>
  <c r="AD37" i="20"/>
  <c r="AD35" i="20"/>
  <c r="AD34" i="20"/>
  <c r="AD29" i="20"/>
  <c r="AD28" i="20"/>
  <c r="AD27" i="20"/>
  <c r="AD25" i="20"/>
  <c r="AD23" i="20"/>
  <c r="AD15" i="20"/>
  <c r="AD13" i="20"/>
  <c r="AD12" i="20"/>
  <c r="AD11" i="20"/>
  <c r="AD80" i="63"/>
  <c r="AD28" i="58"/>
  <c r="AD27" i="58"/>
  <c r="AD26" i="58"/>
  <c r="AD24" i="58"/>
  <c r="AD23" i="58"/>
  <c r="AD22" i="58"/>
  <c r="AD18" i="58"/>
  <c r="AD17" i="58"/>
  <c r="AD15" i="58"/>
  <c r="AD16" i="58"/>
  <c r="H34" i="20"/>
  <c r="H35" i="20"/>
  <c r="H36" i="20"/>
  <c r="H15" i="20"/>
  <c r="Z74" i="63"/>
  <c r="H37" i="20"/>
  <c r="H80" i="63"/>
  <c r="H11" i="20"/>
  <c r="H12" i="20"/>
  <c r="H13" i="20"/>
  <c r="H16" i="20"/>
  <c r="H20" i="20"/>
  <c r="H23" i="20"/>
  <c r="H25" i="20"/>
  <c r="H26" i="20"/>
  <c r="H27" i="20"/>
  <c r="H28" i="20"/>
  <c r="AD28" i="18"/>
  <c r="K12" i="48"/>
  <c r="AD31" i="58"/>
  <c r="H5" i="60"/>
  <c r="H27" i="58"/>
  <c r="H23" i="58"/>
  <c r="H68" i="63"/>
  <c r="Y67" i="63"/>
  <c r="Y10" i="67"/>
  <c r="Y8" i="65"/>
  <c r="H32" i="63"/>
  <c r="Y74" i="63"/>
  <c r="H69" i="63"/>
  <c r="H74" i="63"/>
  <c r="H28" i="58"/>
  <c r="H8" i="76"/>
  <c r="Y9" i="59"/>
  <c r="Y75" i="63"/>
  <c r="H7" i="20"/>
  <c r="H9" i="59"/>
  <c r="H75" i="63"/>
  <c r="Y12" i="67"/>
  <c r="Y26" i="67"/>
  <c r="L37" i="52"/>
  <c r="L43" i="52"/>
  <c r="H17" i="20"/>
  <c r="Y7" i="65"/>
  <c r="H21" i="20"/>
  <c r="H26" i="58"/>
  <c r="Y11" i="67"/>
  <c r="Y25" i="67"/>
  <c r="H19" i="59"/>
  <c r="H9" i="62"/>
  <c r="H18" i="58"/>
  <c r="H25" i="65"/>
  <c r="H13" i="65"/>
  <c r="H12" i="65"/>
  <c r="H22" i="20"/>
  <c r="H10" i="76"/>
  <c r="H17" i="58"/>
  <c r="H22" i="58"/>
  <c r="Y15" i="68"/>
  <c r="L11" i="52"/>
  <c r="Y5" i="68"/>
  <c r="H21" i="65"/>
  <c r="H8" i="65"/>
  <c r="H24" i="20"/>
  <c r="H14" i="76"/>
  <c r="H7" i="76"/>
  <c r="H10" i="20"/>
  <c r="H7" i="62"/>
  <c r="Y32" i="63"/>
  <c r="H14" i="60"/>
  <c r="H20" i="65"/>
  <c r="H7" i="65"/>
  <c r="H11" i="61"/>
  <c r="L25" i="52"/>
  <c r="Y6" i="79"/>
  <c r="Y12" i="61"/>
  <c r="H33" i="20"/>
  <c r="Y32" i="20"/>
  <c r="H15" i="58"/>
  <c r="H10" i="67"/>
  <c r="I19" i="48"/>
  <c r="P19" i="48"/>
  <c r="AE38" i="20"/>
  <c r="K42" i="52"/>
  <c r="K41" i="52"/>
  <c r="X8" i="78"/>
  <c r="H24" i="58"/>
  <c r="Y11" i="61"/>
  <c r="L22" i="52"/>
  <c r="Y13" i="78"/>
  <c r="Y12" i="78"/>
  <c r="J14" i="48"/>
  <c r="Y6" i="78"/>
  <c r="Y5" i="78"/>
  <c r="H13" i="76"/>
  <c r="H9" i="76"/>
  <c r="H6" i="76"/>
  <c r="H13" i="58"/>
  <c r="H9" i="67"/>
  <c r="H11" i="67"/>
  <c r="H25" i="67"/>
  <c r="T6" i="70"/>
  <c r="T9" i="70"/>
  <c r="T10" i="70"/>
  <c r="Y5" i="59"/>
  <c r="Y73" i="63"/>
  <c r="H5" i="20"/>
  <c r="H5" i="59"/>
  <c r="H73" i="63"/>
  <c r="Z32" i="20"/>
  <c r="Z15" i="78"/>
  <c r="K13" i="48"/>
  <c r="Z9" i="79"/>
  <c r="Z26" i="18"/>
  <c r="U6" i="70"/>
  <c r="Z11" i="67"/>
  <c r="Z25" i="67"/>
  <c r="K14" i="48"/>
  <c r="Z13" i="78"/>
  <c r="Z12" i="78"/>
  <c r="Z6" i="78"/>
  <c r="Z5" i="78"/>
  <c r="Z67" i="63"/>
  <c r="M25" i="52"/>
  <c r="Z12" i="61"/>
  <c r="Z6" i="79"/>
  <c r="Z41" i="63"/>
  <c r="Z7" i="65"/>
  <c r="Z6" i="59"/>
  <c r="Z7" i="59"/>
  <c r="Z10" i="67"/>
  <c r="Z44" i="63"/>
  <c r="Z8" i="65"/>
  <c r="Z8" i="67"/>
  <c r="Z57" i="63"/>
  <c r="M11" i="52"/>
  <c r="Z5" i="68"/>
  <c r="Z15" i="68"/>
  <c r="Z13" i="59"/>
  <c r="Z76" i="63"/>
  <c r="Z49" i="63"/>
  <c r="Z32" i="63"/>
  <c r="K19" i="48"/>
  <c r="Z8" i="78"/>
  <c r="M42" i="52"/>
  <c r="Z48" i="63"/>
  <c r="Z47" i="63"/>
  <c r="Z63" i="63"/>
  <c r="Z62" i="63"/>
  <c r="Z72" i="63"/>
  <c r="Z12" i="67"/>
  <c r="Z26" i="67"/>
  <c r="Z46" i="63"/>
  <c r="Z87" i="63"/>
  <c r="AD10" i="58"/>
  <c r="AA47" i="63"/>
  <c r="AD47" i="63"/>
  <c r="AD7" i="62"/>
  <c r="AA79" i="63"/>
  <c r="AD79" i="63"/>
  <c r="AD22" i="59"/>
  <c r="AA31" i="62"/>
  <c r="AD19" i="59"/>
  <c r="AD9" i="62"/>
  <c r="AD27" i="67"/>
  <c r="AA41" i="63"/>
  <c r="AD41" i="63"/>
  <c r="AD7" i="58"/>
  <c r="AD15" i="60"/>
  <c r="AD14" i="60"/>
  <c r="AA74" i="63"/>
  <c r="AD74" i="63"/>
  <c r="AD69" i="63"/>
  <c r="AD5" i="76"/>
  <c r="AD21" i="20"/>
  <c r="AD8" i="66"/>
  <c r="AD21" i="18"/>
  <c r="AD23" i="67"/>
  <c r="AD17" i="20"/>
  <c r="N37" i="52"/>
  <c r="V6" i="70"/>
  <c r="AD39" i="58"/>
  <c r="AA53" i="63"/>
  <c r="AD53" i="63"/>
  <c r="AD25" i="58"/>
  <c r="AD68" i="63"/>
  <c r="AA67" i="63"/>
  <c r="AD33" i="20"/>
  <c r="AA32" i="20"/>
  <c r="AD12" i="76"/>
  <c r="AA11" i="76"/>
  <c r="AD6" i="18"/>
  <c r="AD22" i="67"/>
  <c r="AA44" i="63"/>
  <c r="AD44" i="63"/>
  <c r="AD8" i="58"/>
  <c r="AD8" i="20"/>
  <c r="AA17" i="62"/>
  <c r="AA10" i="59"/>
  <c r="N42" i="52"/>
  <c r="AA8" i="78"/>
  <c r="L19" i="48"/>
  <c r="O19" i="48"/>
  <c r="AD38" i="20"/>
  <c r="AD6" i="58"/>
  <c r="AD13" i="58"/>
  <c r="AD13" i="60"/>
  <c r="AD10" i="18"/>
  <c r="AA9" i="59"/>
  <c r="AD7" i="20"/>
  <c r="AD5" i="60"/>
  <c r="AA12" i="61"/>
  <c r="AD12" i="61"/>
  <c r="AD25" i="18"/>
  <c r="N25" i="52"/>
  <c r="AA6" i="79"/>
  <c r="AD10" i="61"/>
  <c r="AA49" i="63"/>
  <c r="AD12" i="58"/>
  <c r="AA12" i="67"/>
  <c r="AD12" i="60"/>
  <c r="Y6" i="69"/>
  <c r="V5" i="69"/>
  <c r="AA13" i="78"/>
  <c r="AA6" i="78"/>
  <c r="L14" i="48"/>
  <c r="O14" i="48"/>
  <c r="AD29" i="18"/>
  <c r="AD22" i="20"/>
  <c r="AD10" i="76"/>
  <c r="AD19" i="18"/>
  <c r="AD9" i="66"/>
  <c r="AA48" i="63"/>
  <c r="AD48" i="63"/>
  <c r="AD11" i="58"/>
  <c r="AD11" i="60"/>
  <c r="AA11" i="67"/>
  <c r="AD6" i="20"/>
  <c r="AA6" i="59"/>
  <c r="AD41" i="20"/>
  <c r="AD21" i="58"/>
  <c r="AA50" i="63"/>
  <c r="AD38" i="58"/>
  <c r="AD32" i="58"/>
  <c r="AD40" i="58"/>
  <c r="AA56" i="63"/>
  <c r="AD56" i="63"/>
  <c r="AD24" i="20"/>
  <c r="AD14" i="76"/>
  <c r="AA46" i="63"/>
  <c r="AD9" i="58"/>
  <c r="AD9" i="20"/>
  <c r="AA13" i="59"/>
  <c r="AD5" i="20"/>
  <c r="AA5" i="59"/>
  <c r="U42" i="63"/>
  <c r="W45" i="63"/>
  <c r="AA55" i="63"/>
  <c r="W42" i="63"/>
  <c r="Z45" i="63"/>
  <c r="O42" i="63"/>
  <c r="P42" i="63"/>
  <c r="T45" i="63"/>
  <c r="AB45" i="63"/>
  <c r="AD30" i="58"/>
  <c r="AE31" i="58"/>
  <c r="Q42" i="63"/>
  <c r="O45" i="63"/>
  <c r="T42" i="63"/>
  <c r="AB42" i="63"/>
  <c r="AB25" i="63"/>
  <c r="AB18" i="59"/>
  <c r="AD20" i="59"/>
  <c r="AD11" i="62"/>
  <c r="AA66" i="63"/>
  <c r="P45" i="63"/>
  <c r="R9" i="70"/>
  <c r="R10" i="70"/>
  <c r="R6" i="70"/>
  <c r="Z42" i="63"/>
  <c r="X42" i="63"/>
  <c r="AA25" i="63"/>
  <c r="AA35" i="63"/>
  <c r="Q45" i="63"/>
  <c r="Y42" i="63"/>
  <c r="AE11" i="62"/>
  <c r="S45" i="63"/>
  <c r="X45" i="63"/>
  <c r="AB66" i="63"/>
  <c r="AB12" i="62"/>
  <c r="U45" i="63"/>
  <c r="Y45" i="63"/>
  <c r="S42" i="63"/>
  <c r="AD29" i="58"/>
  <c r="AA42" i="63"/>
  <c r="L10" i="52"/>
  <c r="F18" i="59"/>
  <c r="G31" i="58"/>
  <c r="Y72" i="63"/>
  <c r="L12" i="52"/>
  <c r="AA18" i="59"/>
  <c r="AA14" i="59"/>
  <c r="AA23" i="59"/>
  <c r="H72" i="63"/>
  <c r="H6" i="66"/>
  <c r="H5" i="66"/>
  <c r="H13" i="66"/>
  <c r="H13" i="74"/>
  <c r="H67" i="63"/>
  <c r="Y47" i="63"/>
  <c r="H10" i="58"/>
  <c r="H47" i="63"/>
  <c r="AE41" i="20"/>
  <c r="H38" i="20"/>
  <c r="H8" i="78"/>
  <c r="H7" i="78"/>
  <c r="J19" i="48"/>
  <c r="Y8" i="78"/>
  <c r="Z7" i="78"/>
  <c r="Z9" i="78"/>
  <c r="L42" i="52"/>
  <c r="H19" i="65"/>
  <c r="H6" i="61"/>
  <c r="H6" i="58"/>
  <c r="H5" i="76"/>
  <c r="L21" i="52"/>
  <c r="H15" i="68"/>
  <c r="H5" i="68"/>
  <c r="L17" i="52"/>
  <c r="Y5" i="61"/>
  <c r="Y38" i="62"/>
  <c r="Y37" i="62"/>
  <c r="Y62" i="63"/>
  <c r="H15" i="59"/>
  <c r="H62" i="63"/>
  <c r="H12" i="61"/>
  <c r="H6" i="79"/>
  <c r="H32" i="58"/>
  <c r="Y56" i="63"/>
  <c r="J12" i="48"/>
  <c r="T5" i="69"/>
  <c r="J24" i="48"/>
  <c r="H25" i="58"/>
  <c r="Y53" i="63"/>
  <c r="H6" i="62"/>
  <c r="Y5" i="62"/>
  <c r="Y6" i="61"/>
  <c r="Y10" i="59"/>
  <c r="H8" i="20"/>
  <c r="Y17" i="62"/>
  <c r="H22" i="59"/>
  <c r="Y79" i="63"/>
  <c r="Y31" i="62"/>
  <c r="Y30" i="62"/>
  <c r="Y13" i="59"/>
  <c r="Y76" i="63"/>
  <c r="H9" i="20"/>
  <c r="H13" i="59"/>
  <c r="H76" i="63"/>
  <c r="Y41" i="63"/>
  <c r="Y40" i="63"/>
  <c r="H7" i="58"/>
  <c r="H41" i="63"/>
  <c r="H6" i="20"/>
  <c r="H6" i="59"/>
  <c r="H7" i="59"/>
  <c r="Y6" i="59"/>
  <c r="Y7" i="59"/>
  <c r="H29" i="20"/>
  <c r="H19" i="60"/>
  <c r="Y50" i="63"/>
  <c r="H21" i="58"/>
  <c r="Y20" i="67"/>
  <c r="Y19" i="67"/>
  <c r="Y31" i="67"/>
  <c r="Y15" i="74"/>
  <c r="X7" i="78"/>
  <c r="X9" i="78"/>
  <c r="AE8" i="78"/>
  <c r="Y44" i="63"/>
  <c r="Y43" i="63"/>
  <c r="H8" i="58"/>
  <c r="H44" i="63"/>
  <c r="L20" i="52"/>
  <c r="H5" i="61"/>
  <c r="H38" i="62"/>
  <c r="H37" i="62"/>
  <c r="H33" i="58"/>
  <c r="Y15" i="78"/>
  <c r="Y14" i="78"/>
  <c r="Y16" i="78"/>
  <c r="H32" i="20"/>
  <c r="H15" i="78"/>
  <c r="H14" i="78"/>
  <c r="Y14" i="79"/>
  <c r="Y5" i="79"/>
  <c r="Y63" i="63"/>
  <c r="H16" i="59"/>
  <c r="H63" i="63"/>
  <c r="H12" i="67"/>
  <c r="H26" i="67"/>
  <c r="Y6" i="66"/>
  <c r="Y5" i="66"/>
  <c r="Y13" i="66"/>
  <c r="Y46" i="63"/>
  <c r="Y87" i="63"/>
  <c r="H9" i="58"/>
  <c r="H46" i="63"/>
  <c r="H87" i="63"/>
  <c r="Y48" i="63"/>
  <c r="H11" i="58"/>
  <c r="H48" i="63"/>
  <c r="Y8" i="67"/>
  <c r="H20" i="58"/>
  <c r="H8" i="67"/>
  <c r="Y49" i="63"/>
  <c r="Y90" i="63"/>
  <c r="H12" i="58"/>
  <c r="H49" i="63"/>
  <c r="H12" i="76"/>
  <c r="Y11" i="76"/>
  <c r="H11" i="76"/>
  <c r="Y9" i="67"/>
  <c r="L14" i="52"/>
  <c r="Y57" i="63"/>
  <c r="H19" i="58"/>
  <c r="H57" i="63"/>
  <c r="H14" i="58"/>
  <c r="H37" i="58"/>
  <c r="Z71" i="63"/>
  <c r="M20" i="52"/>
  <c r="Z9" i="67"/>
  <c r="M14" i="52"/>
  <c r="Z56" i="63"/>
  <c r="Z11" i="76"/>
  <c r="Z15" i="76"/>
  <c r="M21" i="52"/>
  <c r="Z90" i="63"/>
  <c r="M17" i="52"/>
  <c r="Z5" i="61"/>
  <c r="Z38" i="62"/>
  <c r="Z37" i="62"/>
  <c r="Z50" i="63"/>
  <c r="U9" i="70"/>
  <c r="U10" i="70"/>
  <c r="Z6" i="66"/>
  <c r="Z5" i="66"/>
  <c r="Z13" i="66"/>
  <c r="Z53" i="63"/>
  <c r="Z5" i="62"/>
  <c r="Z6" i="61"/>
  <c r="V9" i="70"/>
  <c r="V10" i="70"/>
  <c r="Z31" i="62"/>
  <c r="Z30" i="62"/>
  <c r="Z79" i="63"/>
  <c r="M10" i="52"/>
  <c r="M12" i="52"/>
  <c r="Z14" i="79"/>
  <c r="Z5" i="79"/>
  <c r="Z10" i="59"/>
  <c r="Z17" i="62"/>
  <c r="Z20" i="67"/>
  <c r="Z19" i="67"/>
  <c r="Z31" i="67"/>
  <c r="Z15" i="74"/>
  <c r="Z15" i="79"/>
  <c r="Z8" i="79"/>
  <c r="AA43" i="63"/>
  <c r="AA12" i="78"/>
  <c r="AD13" i="78"/>
  <c r="AD49" i="63"/>
  <c r="AA90" i="63"/>
  <c r="AD67" i="63"/>
  <c r="AB90" i="63"/>
  <c r="AD9" i="18"/>
  <c r="AA9" i="67"/>
  <c r="AD9" i="67"/>
  <c r="AA15" i="68"/>
  <c r="AD15" i="68"/>
  <c r="AD16" i="68"/>
  <c r="AA76" i="63"/>
  <c r="AD76" i="63"/>
  <c r="AD13" i="59"/>
  <c r="AD11" i="67"/>
  <c r="AA25" i="67"/>
  <c r="AD25" i="67"/>
  <c r="AD9" i="59"/>
  <c r="AA75" i="63"/>
  <c r="AD75" i="63"/>
  <c r="AD8" i="61"/>
  <c r="N11" i="52"/>
  <c r="AD5" i="18"/>
  <c r="AD21" i="67"/>
  <c r="L24" i="48"/>
  <c r="O24" i="48"/>
  <c r="Y5" i="69"/>
  <c r="AD20" i="18"/>
  <c r="N21" i="52"/>
  <c r="AB7" i="78"/>
  <c r="AA7" i="78"/>
  <c r="AD8" i="78"/>
  <c r="AA8" i="67"/>
  <c r="AD8" i="67"/>
  <c r="AD20" i="58"/>
  <c r="AD31" i="62"/>
  <c r="AA30" i="62"/>
  <c r="AD30" i="62"/>
  <c r="N10" i="52"/>
  <c r="AD4" i="18"/>
  <c r="AD24" i="67"/>
  <c r="N14" i="52"/>
  <c r="AA62" i="63"/>
  <c r="AD62" i="63"/>
  <c r="AD15" i="59"/>
  <c r="AA14" i="79"/>
  <c r="AD6" i="79"/>
  <c r="AA5" i="79"/>
  <c r="R42" i="52"/>
  <c r="T42" i="52"/>
  <c r="N43" i="52"/>
  <c r="R37" i="52"/>
  <c r="T37" i="52"/>
  <c r="AD37" i="58"/>
  <c r="AD14" i="58"/>
  <c r="Z8" i="70"/>
  <c r="AD6" i="62"/>
  <c r="AA5" i="62"/>
  <c r="AA47" i="62"/>
  <c r="R25" i="52"/>
  <c r="T25" i="52"/>
  <c r="AA70" i="63"/>
  <c r="AD10" i="59"/>
  <c r="AA11" i="59"/>
  <c r="AA15" i="76"/>
  <c r="AD11" i="76"/>
  <c r="AA5" i="68"/>
  <c r="AD6" i="68"/>
  <c r="AD19" i="58"/>
  <c r="AA57" i="63"/>
  <c r="AD57" i="63"/>
  <c r="AD17" i="62"/>
  <c r="AD7" i="66"/>
  <c r="AA6" i="66"/>
  <c r="AA87" i="63"/>
  <c r="AD87" i="63"/>
  <c r="AD46" i="63"/>
  <c r="AD12" i="67"/>
  <c r="AA26" i="67"/>
  <c r="AD26" i="67"/>
  <c r="AD15" i="63"/>
  <c r="AA32" i="63"/>
  <c r="AD32" i="63"/>
  <c r="AD32" i="20"/>
  <c r="AA15" i="78"/>
  <c r="AA6" i="61"/>
  <c r="AD7" i="61"/>
  <c r="AA63" i="63"/>
  <c r="AD63" i="63"/>
  <c r="AD16" i="59"/>
  <c r="AD5" i="59"/>
  <c r="AA73" i="63"/>
  <c r="AD7" i="18"/>
  <c r="AD33" i="58"/>
  <c r="AD50" i="63"/>
  <c r="AD6" i="59"/>
  <c r="AA7" i="59"/>
  <c r="AD7" i="59"/>
  <c r="AD9" i="61"/>
  <c r="AA5" i="78"/>
  <c r="AD5" i="78"/>
  <c r="AD6" i="78"/>
  <c r="AA38" i="62"/>
  <c r="AD14" i="18"/>
  <c r="AA5" i="61"/>
  <c r="AD5" i="61"/>
  <c r="N17" i="52"/>
  <c r="N20" i="52"/>
  <c r="AD18" i="18"/>
  <c r="AA54" i="63"/>
  <c r="AA52" i="63"/>
  <c r="AA40" i="63"/>
  <c r="S33" i="62"/>
  <c r="S34" i="62"/>
  <c r="V66" i="63"/>
  <c r="V12" i="62"/>
  <c r="V27" i="62"/>
  <c r="W25" i="63"/>
  <c r="W35" i="63"/>
  <c r="W18" i="59"/>
  <c r="T43" i="63"/>
  <c r="T86" i="63"/>
  <c r="T55" i="63"/>
  <c r="V42" i="63"/>
  <c r="H29" i="58"/>
  <c r="H42" i="63"/>
  <c r="Q66" i="63"/>
  <c r="F11" i="62"/>
  <c r="F66" i="63"/>
  <c r="Q12" i="62"/>
  <c r="Q26" i="62"/>
  <c r="Q6" i="74"/>
  <c r="Q18" i="59"/>
  <c r="Q25" i="63"/>
  <c r="Q35" i="63"/>
  <c r="W55" i="63"/>
  <c r="W43" i="63"/>
  <c r="W86" i="63"/>
  <c r="R33" i="62"/>
  <c r="R34" i="62"/>
  <c r="X66" i="63"/>
  <c r="AE66" i="63"/>
  <c r="X12" i="62"/>
  <c r="X26" i="62"/>
  <c r="O33" i="62"/>
  <c r="O34" i="62"/>
  <c r="O7" i="74"/>
  <c r="P12" i="62"/>
  <c r="P22" i="62"/>
  <c r="P66" i="63"/>
  <c r="G18" i="59"/>
  <c r="G25" i="63"/>
  <c r="G35" i="63"/>
  <c r="T33" i="62"/>
  <c r="T34" i="62"/>
  <c r="S12" i="62"/>
  <c r="S22" i="62"/>
  <c r="S66" i="63"/>
  <c r="P33" i="62"/>
  <c r="P34" i="62"/>
  <c r="P7" i="74"/>
  <c r="N42" i="63"/>
  <c r="F29" i="58"/>
  <c r="F42" i="63"/>
  <c r="X33" i="62"/>
  <c r="X34" i="62"/>
  <c r="U54" i="63"/>
  <c r="U40" i="63"/>
  <c r="S40" i="63"/>
  <c r="S54" i="63"/>
  <c r="T18" i="59"/>
  <c r="T25" i="63"/>
  <c r="T35" i="63"/>
  <c r="N66" i="63"/>
  <c r="N12" i="62"/>
  <c r="N26" i="62"/>
  <c r="N6" i="74"/>
  <c r="AD20" i="62"/>
  <c r="AB22" i="62"/>
  <c r="AB21" i="62"/>
  <c r="J33" i="62"/>
  <c r="J34" i="62"/>
  <c r="J7" i="74"/>
  <c r="Z40" i="63"/>
  <c r="Z54" i="63"/>
  <c r="H11" i="62"/>
  <c r="H66" i="63"/>
  <c r="Y66" i="63"/>
  <c r="M12" i="62"/>
  <c r="M21" i="62"/>
  <c r="M5" i="74"/>
  <c r="M66" i="63"/>
  <c r="E11" i="62"/>
  <c r="E66" i="63"/>
  <c r="Q40" i="63"/>
  <c r="Q54" i="63"/>
  <c r="R18" i="59"/>
  <c r="R25" i="63"/>
  <c r="R35" i="63"/>
  <c r="U33" i="62"/>
  <c r="G25" i="62"/>
  <c r="AB41" i="62"/>
  <c r="Z66" i="63"/>
  <c r="AA89" i="63"/>
  <c r="Q43" i="63"/>
  <c r="Q86" i="63"/>
  <c r="Q55" i="63"/>
  <c r="X54" i="63"/>
  <c r="X40" i="63"/>
  <c r="AB14" i="59"/>
  <c r="AB65" i="63"/>
  <c r="P25" i="63"/>
  <c r="P35" i="63"/>
  <c r="P18" i="59"/>
  <c r="N45" i="63"/>
  <c r="F30" i="58"/>
  <c r="F45" i="63"/>
  <c r="O40" i="63"/>
  <c r="O54" i="63"/>
  <c r="Z25" i="63"/>
  <c r="Z35" i="63"/>
  <c r="Z18" i="59"/>
  <c r="W12" i="62"/>
  <c r="W66" i="63"/>
  <c r="Y33" i="62"/>
  <c r="H25" i="62"/>
  <c r="O66" i="63"/>
  <c r="O12" i="62"/>
  <c r="O26" i="62"/>
  <c r="O6" i="74"/>
  <c r="G20" i="62"/>
  <c r="AE20" i="62"/>
  <c r="P43" i="63"/>
  <c r="P86" i="63"/>
  <c r="P55" i="63"/>
  <c r="AB35" i="63"/>
  <c r="AD35" i="63"/>
  <c r="AD25" i="63"/>
  <c r="T40" i="63"/>
  <c r="T54" i="63"/>
  <c r="AE30" i="58"/>
  <c r="W33" i="62"/>
  <c r="W34" i="62"/>
  <c r="T66" i="63"/>
  <c r="T12" i="62"/>
  <c r="T26" i="62"/>
  <c r="H31" i="58"/>
  <c r="Z55" i="63"/>
  <c r="Z43" i="63"/>
  <c r="N33" i="62"/>
  <c r="N34" i="62"/>
  <c r="N7" i="74"/>
  <c r="Y55" i="63"/>
  <c r="H20" i="62"/>
  <c r="V33" i="62"/>
  <c r="V34" i="62"/>
  <c r="AE29" i="58"/>
  <c r="F20" i="62"/>
  <c r="AD45" i="63"/>
  <c r="AE45" i="63"/>
  <c r="AB55" i="63"/>
  <c r="AB43" i="63"/>
  <c r="AD25" i="62"/>
  <c r="AB27" i="62"/>
  <c r="AB33" i="62"/>
  <c r="AB26" i="62"/>
  <c r="AE25" i="62"/>
  <c r="X55" i="63"/>
  <c r="X43" i="63"/>
  <c r="X86" i="63"/>
  <c r="Y54" i="63"/>
  <c r="M33" i="62"/>
  <c r="E25" i="62"/>
  <c r="AB54" i="63"/>
  <c r="AB40" i="63"/>
  <c r="AD42" i="63"/>
  <c r="AE42" i="63"/>
  <c r="L33" i="62"/>
  <c r="L34" i="62"/>
  <c r="J66" i="63"/>
  <c r="J12" i="62"/>
  <c r="J22" i="62"/>
  <c r="H30" i="58"/>
  <c r="H45" i="63"/>
  <c r="V45" i="63"/>
  <c r="G11" i="62"/>
  <c r="G66" i="63"/>
  <c r="U66" i="63"/>
  <c r="U12" i="62"/>
  <c r="U26" i="62"/>
  <c r="O25" i="63"/>
  <c r="O35" i="63"/>
  <c r="O18" i="59"/>
  <c r="P54" i="63"/>
  <c r="P40" i="63"/>
  <c r="Z33" i="62"/>
  <c r="N25" i="63"/>
  <c r="N35" i="63"/>
  <c r="N18" i="59"/>
  <c r="R42" i="63"/>
  <c r="G29" i="58"/>
  <c r="G42" i="63"/>
  <c r="S6" i="70"/>
  <c r="S9" i="70"/>
  <c r="R45" i="63"/>
  <c r="G30" i="58"/>
  <c r="G45" i="63"/>
  <c r="E20" i="62"/>
  <c r="U43" i="63"/>
  <c r="U86" i="63"/>
  <c r="U55" i="63"/>
  <c r="K33" i="62"/>
  <c r="K34" i="62"/>
  <c r="K12" i="62"/>
  <c r="K27" i="62"/>
  <c r="K66" i="63"/>
  <c r="S43" i="63"/>
  <c r="S86" i="63"/>
  <c r="S55" i="63"/>
  <c r="L66" i="63"/>
  <c r="L12" i="62"/>
  <c r="L41" i="62"/>
  <c r="L40" i="62"/>
  <c r="AA33" i="62"/>
  <c r="R66" i="63"/>
  <c r="R12" i="62"/>
  <c r="R27" i="62"/>
  <c r="AD66" i="63"/>
  <c r="AB89" i="63"/>
  <c r="O55" i="63"/>
  <c r="O43" i="63"/>
  <c r="O86" i="63"/>
  <c r="Q33" i="62"/>
  <c r="F25" i="62"/>
  <c r="S18" i="59"/>
  <c r="S25" i="63"/>
  <c r="S35" i="63"/>
  <c r="W40" i="63"/>
  <c r="W54" i="63"/>
  <c r="U25" i="63"/>
  <c r="U35" i="63"/>
  <c r="U18" i="59"/>
  <c r="K17" i="48"/>
  <c r="Z47" i="62"/>
  <c r="Y12" i="62"/>
  <c r="Y21" i="62"/>
  <c r="J28" i="48"/>
  <c r="F25" i="63"/>
  <c r="F35" i="63"/>
  <c r="H20" i="67"/>
  <c r="H19" i="67"/>
  <c r="H31" i="67"/>
  <c r="H15" i="74"/>
  <c r="AD18" i="59"/>
  <c r="AA34" i="62"/>
  <c r="L29" i="48"/>
  <c r="Z86" i="63"/>
  <c r="Z34" i="62"/>
  <c r="Z7" i="74"/>
  <c r="AA65" i="63"/>
  <c r="AB88" i="63"/>
  <c r="Y71" i="63"/>
  <c r="Y86" i="63"/>
  <c r="Y8" i="70"/>
  <c r="Z12" i="62"/>
  <c r="Z22" i="62"/>
  <c r="H71" i="63"/>
  <c r="H90" i="63"/>
  <c r="M22" i="62"/>
  <c r="L15" i="52"/>
  <c r="L18" i="52"/>
  <c r="L23" i="52"/>
  <c r="L26" i="52"/>
  <c r="Y7" i="78"/>
  <c r="Y9" i="78"/>
  <c r="W52" i="63"/>
  <c r="W51" i="63"/>
  <c r="W92" i="63"/>
  <c r="Q27" i="62"/>
  <c r="M15" i="52"/>
  <c r="M18" i="52"/>
  <c r="M23" i="52"/>
  <c r="M26" i="52"/>
  <c r="H13" i="61"/>
  <c r="H8" i="64"/>
  <c r="H5" i="64"/>
  <c r="H24" i="65"/>
  <c r="H11" i="65"/>
  <c r="J17" i="48"/>
  <c r="H5" i="62"/>
  <c r="Y8" i="64"/>
  <c r="Y5" i="64"/>
  <c r="H40" i="58"/>
  <c r="H56" i="63"/>
  <c r="Y15" i="76"/>
  <c r="H5" i="58"/>
  <c r="Y7" i="67"/>
  <c r="Y6" i="67"/>
  <c r="Z14" i="78"/>
  <c r="Z16" i="78"/>
  <c r="H13" i="78"/>
  <c r="H12" i="78"/>
  <c r="H16" i="78"/>
  <c r="H18" i="74"/>
  <c r="H6" i="78"/>
  <c r="H5" i="78"/>
  <c r="H9" i="78"/>
  <c r="H41" i="20"/>
  <c r="Y13" i="61"/>
  <c r="H14" i="79"/>
  <c r="H5" i="79"/>
  <c r="H79" i="63"/>
  <c r="H31" i="62"/>
  <c r="H30" i="62"/>
  <c r="Y6" i="65"/>
  <c r="H53" i="63"/>
  <c r="H39" i="58"/>
  <c r="H38" i="58"/>
  <c r="H50" i="63"/>
  <c r="H10" i="59"/>
  <c r="H17" i="62"/>
  <c r="H6" i="65"/>
  <c r="H18" i="65"/>
  <c r="H5" i="65"/>
  <c r="Y13" i="74"/>
  <c r="J8" i="48"/>
  <c r="Y18" i="74"/>
  <c r="J36" i="48"/>
  <c r="Y70" i="63"/>
  <c r="Y91" i="63"/>
  <c r="Y11" i="59"/>
  <c r="Y15" i="62"/>
  <c r="H15" i="62"/>
  <c r="Q21" i="62"/>
  <c r="Q5" i="74"/>
  <c r="Q22" i="62"/>
  <c r="X22" i="62"/>
  <c r="AE22" i="62"/>
  <c r="Z11" i="79"/>
  <c r="X21" i="62"/>
  <c r="AE21" i="62"/>
  <c r="Y10" i="69"/>
  <c r="Z13" i="74"/>
  <c r="K8" i="48"/>
  <c r="Z13" i="61"/>
  <c r="Z7" i="67"/>
  <c r="Z6" i="67"/>
  <c r="Z8" i="68"/>
  <c r="M40" i="52"/>
  <c r="M41" i="52"/>
  <c r="K18" i="48"/>
  <c r="Z8" i="64"/>
  <c r="Z5" i="64"/>
  <c r="Z70" i="63"/>
  <c r="Z11" i="59"/>
  <c r="Z15" i="62"/>
  <c r="Z16" i="62"/>
  <c r="Z42" i="62"/>
  <c r="Z6" i="65"/>
  <c r="Z16" i="79"/>
  <c r="V26" i="62"/>
  <c r="G27" i="48"/>
  <c r="AA51" i="63"/>
  <c r="N27" i="62"/>
  <c r="P21" i="62"/>
  <c r="P5" i="74"/>
  <c r="X89" i="63"/>
  <c r="AE89" i="63"/>
  <c r="S21" i="62"/>
  <c r="S5" i="74"/>
  <c r="F31" i="58"/>
  <c r="V89" i="63"/>
  <c r="Y52" i="63"/>
  <c r="Y51" i="63"/>
  <c r="V21" i="62"/>
  <c r="G28" i="48"/>
  <c r="P26" i="62"/>
  <c r="P6" i="74"/>
  <c r="T21" i="62"/>
  <c r="T5" i="74"/>
  <c r="Y22" i="62"/>
  <c r="Q89" i="63"/>
  <c r="T14" i="52"/>
  <c r="R14" i="52"/>
  <c r="E13" i="52"/>
  <c r="D13" i="52"/>
  <c r="O14" i="52"/>
  <c r="AD70" i="63"/>
  <c r="AB91" i="63"/>
  <c r="T11" i="52"/>
  <c r="R11" i="52"/>
  <c r="K26" i="62"/>
  <c r="K6" i="74"/>
  <c r="AD14" i="79"/>
  <c r="AA86" i="63"/>
  <c r="AD20" i="65"/>
  <c r="AA7" i="65"/>
  <c r="AD7" i="65"/>
  <c r="T20" i="52"/>
  <c r="R20" i="52"/>
  <c r="AD21" i="65"/>
  <c r="AA8" i="65"/>
  <c r="AD8" i="65"/>
  <c r="W6" i="70"/>
  <c r="Y6" i="70"/>
  <c r="Y7" i="70"/>
  <c r="W9" i="70"/>
  <c r="Z9" i="70"/>
  <c r="Z7" i="70"/>
  <c r="M27" i="62"/>
  <c r="Y27" i="62"/>
  <c r="AA7" i="67"/>
  <c r="AD5" i="58"/>
  <c r="AA13" i="61"/>
  <c r="AD13" i="61"/>
  <c r="AD6" i="61"/>
  <c r="AD5" i="68"/>
  <c r="L17" i="48"/>
  <c r="O17" i="48"/>
  <c r="AD5" i="62"/>
  <c r="AA12" i="62"/>
  <c r="R43" i="52"/>
  <c r="T43" i="52"/>
  <c r="AA9" i="78"/>
  <c r="X8" i="71"/>
  <c r="Y8" i="71"/>
  <c r="Y11" i="69"/>
  <c r="Z11" i="69"/>
  <c r="T17" i="52"/>
  <c r="R17" i="52"/>
  <c r="AA6" i="65"/>
  <c r="AD6" i="65"/>
  <c r="AD19" i="65"/>
  <c r="AE7" i="78"/>
  <c r="AB9" i="78"/>
  <c r="AD7" i="78"/>
  <c r="AD12" i="78"/>
  <c r="Y6" i="71"/>
  <c r="X6" i="71"/>
  <c r="AD15" i="76"/>
  <c r="AA8" i="68"/>
  <c r="N40" i="52"/>
  <c r="L18" i="48"/>
  <c r="O18" i="48"/>
  <c r="N12" i="52"/>
  <c r="R10" i="52"/>
  <c r="T10" i="52"/>
  <c r="T21" i="52"/>
  <c r="R21" i="52"/>
  <c r="AA20" i="67"/>
  <c r="X27" i="62"/>
  <c r="AA72" i="63"/>
  <c r="AD73" i="63"/>
  <c r="AB14" i="78"/>
  <c r="AA14" i="78"/>
  <c r="AA16" i="78"/>
  <c r="AD15" i="78"/>
  <c r="AD11" i="59"/>
  <c r="AA15" i="62"/>
  <c r="AA8" i="64"/>
  <c r="AD19" i="60"/>
  <c r="AD38" i="62"/>
  <c r="AA37" i="62"/>
  <c r="AD37" i="62"/>
  <c r="AA5" i="66"/>
  <c r="AD6" i="66"/>
  <c r="AD5" i="79"/>
  <c r="AD11" i="18"/>
  <c r="AA10" i="67"/>
  <c r="AD10" i="67"/>
  <c r="AD25" i="65"/>
  <c r="AE90" i="63"/>
  <c r="AD90" i="63"/>
  <c r="L27" i="62"/>
  <c r="P89" i="63"/>
  <c r="X52" i="63"/>
  <c r="X51" i="63"/>
  <c r="X92" i="63"/>
  <c r="Q52" i="63"/>
  <c r="Q51" i="63"/>
  <c r="Q92" i="63"/>
  <c r="Y89" i="63"/>
  <c r="T6" i="74"/>
  <c r="E27" i="48"/>
  <c r="U6" i="74"/>
  <c r="F27" i="48"/>
  <c r="H33" i="62"/>
  <c r="Y34" i="62"/>
  <c r="F55" i="63"/>
  <c r="F43" i="63"/>
  <c r="F86" i="63"/>
  <c r="G33" i="62"/>
  <c r="U34" i="62"/>
  <c r="Q39" i="63"/>
  <c r="Q85" i="63"/>
  <c r="Z85" i="63"/>
  <c r="Z39" i="63"/>
  <c r="U52" i="63"/>
  <c r="U51" i="63"/>
  <c r="U92" i="63"/>
  <c r="O21" i="62"/>
  <c r="O5" i="74"/>
  <c r="S41" i="62"/>
  <c r="S40" i="62"/>
  <c r="G14" i="59"/>
  <c r="G23" i="59"/>
  <c r="G8" i="63"/>
  <c r="G65" i="63"/>
  <c r="R26" i="62"/>
  <c r="V54" i="63"/>
  <c r="V40" i="63"/>
  <c r="W89" i="63"/>
  <c r="AE26" i="62"/>
  <c r="AB6" i="74"/>
  <c r="M27" i="48"/>
  <c r="T85" i="63"/>
  <c r="T39" i="63"/>
  <c r="O27" i="62"/>
  <c r="O41" i="62"/>
  <c r="O40" i="62"/>
  <c r="O52" i="63"/>
  <c r="O51" i="63"/>
  <c r="O92" i="63"/>
  <c r="N55" i="63"/>
  <c r="N43" i="63"/>
  <c r="N86" i="63"/>
  <c r="AB40" i="62"/>
  <c r="E61" i="63"/>
  <c r="F89" i="63"/>
  <c r="E89" i="63"/>
  <c r="M28" i="48"/>
  <c r="AB5" i="74"/>
  <c r="O22" i="62"/>
  <c r="T27" i="62"/>
  <c r="Q14" i="59"/>
  <c r="Q23" i="59"/>
  <c r="Q8" i="63"/>
  <c r="Q65" i="63"/>
  <c r="T52" i="63"/>
  <c r="T51" i="63"/>
  <c r="T92" i="63"/>
  <c r="M89" i="63"/>
  <c r="L61" i="63"/>
  <c r="D34" i="62"/>
  <c r="D7" i="74"/>
  <c r="L7" i="74"/>
  <c r="P39" i="63"/>
  <c r="P85" i="63"/>
  <c r="AE33" i="62"/>
  <c r="AD33" i="62"/>
  <c r="AB34" i="62"/>
  <c r="U65" i="63"/>
  <c r="U14" i="59"/>
  <c r="U23" i="59"/>
  <c r="U8" i="63"/>
  <c r="S14" i="59"/>
  <c r="S23" i="59"/>
  <c r="S8" i="63"/>
  <c r="S65" i="63"/>
  <c r="X18" i="59"/>
  <c r="X25" i="63"/>
  <c r="AE20" i="59"/>
  <c r="F33" i="62"/>
  <c r="Q34" i="62"/>
  <c r="R22" i="62"/>
  <c r="R41" i="62"/>
  <c r="R40" i="62"/>
  <c r="S10" i="70"/>
  <c r="N14" i="59"/>
  <c r="N23" i="59"/>
  <c r="N8" i="63"/>
  <c r="N65" i="63"/>
  <c r="P52" i="63"/>
  <c r="P51" i="63"/>
  <c r="P92" i="63"/>
  <c r="V43" i="63"/>
  <c r="V86" i="63"/>
  <c r="V55" i="63"/>
  <c r="Y5" i="74"/>
  <c r="W27" i="62"/>
  <c r="W41" i="62"/>
  <c r="W40" i="62"/>
  <c r="O39" i="63"/>
  <c r="O85" i="63"/>
  <c r="P14" i="59"/>
  <c r="P23" i="59"/>
  <c r="P8" i="63"/>
  <c r="P65" i="63"/>
  <c r="AB61" i="63"/>
  <c r="X39" i="63"/>
  <c r="X85" i="63"/>
  <c r="R65" i="63"/>
  <c r="R14" i="59"/>
  <c r="R23" i="59"/>
  <c r="R8" i="63"/>
  <c r="M61" i="63"/>
  <c r="M78" i="63"/>
  <c r="M81" i="63"/>
  <c r="N89" i="63"/>
  <c r="T14" i="59"/>
  <c r="T23" i="59"/>
  <c r="T8" i="63"/>
  <c r="T65" i="63"/>
  <c r="X6" i="74"/>
  <c r="I27" i="48"/>
  <c r="W22" i="62"/>
  <c r="P27" i="62"/>
  <c r="P41" i="62"/>
  <c r="P40" i="62"/>
  <c r="AE12" i="62"/>
  <c r="X41" i="62"/>
  <c r="X40" i="62"/>
  <c r="K35" i="52"/>
  <c r="R7" i="74"/>
  <c r="C29" i="48"/>
  <c r="Q41" i="62"/>
  <c r="Q40" i="62"/>
  <c r="F12" i="62"/>
  <c r="F26" i="62"/>
  <c r="F6" i="74"/>
  <c r="AA8" i="63"/>
  <c r="N34" i="52"/>
  <c r="H43" i="63"/>
  <c r="H86" i="63"/>
  <c r="H55" i="63"/>
  <c r="M41" i="62"/>
  <c r="M40" i="62"/>
  <c r="M39" i="62"/>
  <c r="M43" i="62"/>
  <c r="M8" i="74"/>
  <c r="E12" i="62"/>
  <c r="E41" i="62"/>
  <c r="E40" i="62"/>
  <c r="I29" i="48"/>
  <c r="X7" i="74"/>
  <c r="W21" i="62"/>
  <c r="E29" i="48"/>
  <c r="T7" i="74"/>
  <c r="G89" i="63"/>
  <c r="W65" i="63"/>
  <c r="W61" i="63"/>
  <c r="W78" i="63"/>
  <c r="W81" i="63"/>
  <c r="W14" i="59"/>
  <c r="W23" i="59"/>
  <c r="AB23" i="59"/>
  <c r="AD14" i="59"/>
  <c r="K22" i="62"/>
  <c r="K41" i="62"/>
  <c r="K40" i="62"/>
  <c r="L39" i="62"/>
  <c r="L43" i="62"/>
  <c r="L8" i="74"/>
  <c r="J27" i="62"/>
  <c r="J41" i="62"/>
  <c r="J40" i="62"/>
  <c r="AD54" i="63"/>
  <c r="AB52" i="63"/>
  <c r="AE54" i="63"/>
  <c r="M26" i="62"/>
  <c r="M6" i="74"/>
  <c r="G29" i="48"/>
  <c r="V7" i="74"/>
  <c r="U22" i="62"/>
  <c r="Y41" i="62"/>
  <c r="F40" i="63"/>
  <c r="F54" i="63"/>
  <c r="R21" i="62"/>
  <c r="J21" i="62"/>
  <c r="J5" i="74"/>
  <c r="R89" i="63"/>
  <c r="S89" i="63"/>
  <c r="L89" i="63"/>
  <c r="K61" i="63"/>
  <c r="AB85" i="63"/>
  <c r="AD40" i="63"/>
  <c r="AB39" i="63"/>
  <c r="AE40" i="63"/>
  <c r="F14" i="59"/>
  <c r="F23" i="59"/>
  <c r="F8" i="63"/>
  <c r="F65" i="63"/>
  <c r="Z14" i="59"/>
  <c r="Z23" i="59"/>
  <c r="Z65" i="63"/>
  <c r="W39" i="63"/>
  <c r="W85" i="63"/>
  <c r="O65" i="63"/>
  <c r="O14" i="59"/>
  <c r="O23" i="59"/>
  <c r="O8" i="63"/>
  <c r="J61" i="63"/>
  <c r="K89" i="63"/>
  <c r="J89" i="63"/>
  <c r="M34" i="62"/>
  <c r="E33" i="62"/>
  <c r="K21" i="62"/>
  <c r="K5" i="74"/>
  <c r="W26" i="62"/>
  <c r="U21" i="62"/>
  <c r="U27" i="62"/>
  <c r="Z89" i="63"/>
  <c r="N22" i="62"/>
  <c r="N41" i="62"/>
  <c r="N40" i="62"/>
  <c r="S52" i="63"/>
  <c r="S51" i="63"/>
  <c r="S92" i="63"/>
  <c r="N40" i="63"/>
  <c r="N54" i="63"/>
  <c r="S27" i="62"/>
  <c r="AA39" i="63"/>
  <c r="AA85" i="63"/>
  <c r="Y39" i="63"/>
  <c r="Y85" i="63"/>
  <c r="AD43" i="63"/>
  <c r="AE43" i="63"/>
  <c r="AB86" i="63"/>
  <c r="T22" i="62"/>
  <c r="T41" i="62"/>
  <c r="T40" i="62"/>
  <c r="W7" i="74"/>
  <c r="H29" i="48"/>
  <c r="L21" i="62"/>
  <c r="L5" i="74"/>
  <c r="H89" i="63"/>
  <c r="O89" i="63"/>
  <c r="S39" i="63"/>
  <c r="S85" i="63"/>
  <c r="S26" i="62"/>
  <c r="G55" i="63"/>
  <c r="G43" i="63"/>
  <c r="G86" i="63"/>
  <c r="G40" i="63"/>
  <c r="G54" i="63"/>
  <c r="AD89" i="63"/>
  <c r="C34" i="62"/>
  <c r="C7" i="74"/>
  <c r="K7" i="74"/>
  <c r="R55" i="63"/>
  <c r="R43" i="63"/>
  <c r="R86" i="63"/>
  <c r="R54" i="63"/>
  <c r="R40" i="63"/>
  <c r="U41" i="62"/>
  <c r="U40" i="62"/>
  <c r="G12" i="62"/>
  <c r="G41" i="62"/>
  <c r="G40" i="62"/>
  <c r="L26" i="62"/>
  <c r="L6" i="74"/>
  <c r="AD55" i="63"/>
  <c r="AE55" i="63"/>
  <c r="U89" i="63"/>
  <c r="V18" i="59"/>
  <c r="V25" i="63"/>
  <c r="V35" i="63"/>
  <c r="L22" i="62"/>
  <c r="Z52" i="63"/>
  <c r="Z51" i="63"/>
  <c r="J26" i="62"/>
  <c r="J6" i="74"/>
  <c r="U39" i="63"/>
  <c r="U85" i="63"/>
  <c r="T89" i="63"/>
  <c r="N21" i="62"/>
  <c r="N5" i="74"/>
  <c r="H54" i="63"/>
  <c r="H40" i="63"/>
  <c r="V22" i="62"/>
  <c r="V41" i="62"/>
  <c r="V40" i="62"/>
  <c r="S7" i="74"/>
  <c r="D29" i="48"/>
  <c r="Y11" i="71"/>
  <c r="Y26" i="62"/>
  <c r="J27" i="48"/>
  <c r="AA7" i="74"/>
  <c r="H12" i="62"/>
  <c r="H22" i="62"/>
  <c r="Z26" i="62"/>
  <c r="Z6" i="74"/>
  <c r="Z41" i="62"/>
  <c r="Z40" i="62"/>
  <c r="M35" i="52"/>
  <c r="K29" i="48"/>
  <c r="Z92" i="63"/>
  <c r="AD65" i="63"/>
  <c r="AA61" i="63"/>
  <c r="AB84" i="63"/>
  <c r="Z27" i="62"/>
  <c r="Y92" i="63"/>
  <c r="D28" i="48"/>
  <c r="AA58" i="63"/>
  <c r="Z21" i="62"/>
  <c r="K28" i="48"/>
  <c r="Z10" i="69"/>
  <c r="Z91" i="63"/>
  <c r="I28" i="48"/>
  <c r="P28" i="48"/>
  <c r="X5" i="74"/>
  <c r="AE5" i="74"/>
  <c r="V6" i="74"/>
  <c r="E28" i="48"/>
  <c r="Y16" i="62"/>
  <c r="Y42" i="62"/>
  <c r="Y40" i="62"/>
  <c r="H16" i="62"/>
  <c r="H42" i="62"/>
  <c r="H70" i="63"/>
  <c r="H91" i="63"/>
  <c r="H11" i="59"/>
  <c r="K36" i="48"/>
  <c r="Z18" i="74"/>
  <c r="Y7" i="64"/>
  <c r="Y6" i="64"/>
  <c r="Y9" i="64"/>
  <c r="Y11" i="74"/>
  <c r="Y6" i="63"/>
  <c r="Y5" i="67"/>
  <c r="Y16" i="67"/>
  <c r="J11" i="48"/>
  <c r="H7" i="67"/>
  <c r="H6" i="67"/>
  <c r="H5" i="67"/>
  <c r="H16" i="67"/>
  <c r="H14" i="74"/>
  <c r="H36" i="58"/>
  <c r="H41" i="58"/>
  <c r="AA91" i="63"/>
  <c r="AD91" i="63"/>
  <c r="L40" i="52"/>
  <c r="L41" i="52"/>
  <c r="Y8" i="68"/>
  <c r="H15" i="76"/>
  <c r="H8" i="68"/>
  <c r="J18" i="48"/>
  <c r="AD85" i="63"/>
  <c r="V5" i="74"/>
  <c r="Y6" i="74"/>
  <c r="K11" i="48"/>
  <c r="Z5" i="67"/>
  <c r="Z16" i="67"/>
  <c r="X11" i="71"/>
  <c r="Z7" i="64"/>
  <c r="Z6" i="64"/>
  <c r="Z9" i="64"/>
  <c r="Z11" i="74"/>
  <c r="Z6" i="63"/>
  <c r="F21" i="62"/>
  <c r="F5" i="74"/>
  <c r="O39" i="62"/>
  <c r="O43" i="62"/>
  <c r="O8" i="74"/>
  <c r="AA9" i="68"/>
  <c r="AA20" i="68"/>
  <c r="Z19" i="68"/>
  <c r="U5" i="69"/>
  <c r="K24" i="48"/>
  <c r="E21" i="62"/>
  <c r="E5" i="74"/>
  <c r="Q39" i="62"/>
  <c r="Q43" i="62"/>
  <c r="Q8" i="74"/>
  <c r="Z6" i="70"/>
  <c r="V52" i="63"/>
  <c r="V51" i="63"/>
  <c r="V92" i="63"/>
  <c r="G52" i="63"/>
  <c r="G51" i="63"/>
  <c r="G92" i="63"/>
  <c r="X58" i="63"/>
  <c r="AD13" i="65"/>
  <c r="AD12" i="65"/>
  <c r="AB16" i="78"/>
  <c r="AE14" i="78"/>
  <c r="AD14" i="78"/>
  <c r="L12" i="48"/>
  <c r="O12" i="48"/>
  <c r="AD12" i="18"/>
  <c r="AA18" i="74"/>
  <c r="L36" i="48"/>
  <c r="AA21" i="62"/>
  <c r="AD12" i="62"/>
  <c r="AD47" i="62"/>
  <c r="AA41" i="62"/>
  <c r="AA22" i="62"/>
  <c r="AD22" i="62"/>
  <c r="AA26" i="62"/>
  <c r="AA27" i="62"/>
  <c r="AD36" i="58"/>
  <c r="W10" i="70"/>
  <c r="Y10" i="70"/>
  <c r="Y9" i="70"/>
  <c r="AE91" i="63"/>
  <c r="AD7" i="67"/>
  <c r="AA6" i="67"/>
  <c r="AA5" i="64"/>
  <c r="AD8" i="64"/>
  <c r="AD72" i="63"/>
  <c r="AA71" i="63"/>
  <c r="R40" i="52"/>
  <c r="T40" i="52"/>
  <c r="E19" i="52"/>
  <c r="D19" i="52"/>
  <c r="AD24" i="65"/>
  <c r="AD11" i="65"/>
  <c r="AA19" i="68"/>
  <c r="AB9" i="68"/>
  <c r="AD8" i="68"/>
  <c r="AE9" i="78"/>
  <c r="AD9" i="78"/>
  <c r="AD5" i="65"/>
  <c r="AD18" i="65"/>
  <c r="W39" i="62"/>
  <c r="W43" i="62"/>
  <c r="W8" i="74"/>
  <c r="AD15" i="62"/>
  <c r="AA16" i="62"/>
  <c r="T12" i="52"/>
  <c r="R12" i="52"/>
  <c r="N15" i="52"/>
  <c r="N41" i="52"/>
  <c r="S14" i="52"/>
  <c r="Q14" i="52"/>
  <c r="AD5" i="66"/>
  <c r="AA13" i="66"/>
  <c r="Y7" i="71"/>
  <c r="X7" i="71"/>
  <c r="AA19" i="67"/>
  <c r="AD20" i="67"/>
  <c r="AD15" i="18"/>
  <c r="U39" i="62"/>
  <c r="U43" i="62"/>
  <c r="U8" i="74"/>
  <c r="F88" i="63"/>
  <c r="F61" i="63"/>
  <c r="F78" i="63"/>
  <c r="F81" i="63"/>
  <c r="G88" i="63"/>
  <c r="AD39" i="63"/>
  <c r="AE39" i="63"/>
  <c r="R85" i="63"/>
  <c r="R39" i="63"/>
  <c r="G22" i="62"/>
  <c r="AD86" i="63"/>
  <c r="AE86" i="63"/>
  <c r="J84" i="63"/>
  <c r="J78" i="63"/>
  <c r="J81" i="63"/>
  <c r="K84" i="63"/>
  <c r="G26" i="62"/>
  <c r="G6" i="74"/>
  <c r="V14" i="59"/>
  <c r="V23" i="59"/>
  <c r="V8" i="63"/>
  <c r="V65" i="63"/>
  <c r="G21" i="62"/>
  <c r="G5" i="74"/>
  <c r="O7" i="63"/>
  <c r="O9" i="63"/>
  <c r="O9" i="74"/>
  <c r="O17" i="63"/>
  <c r="O24" i="63"/>
  <c r="AD52" i="63"/>
  <c r="AB51" i="63"/>
  <c r="AE52" i="63"/>
  <c r="E22" i="62"/>
  <c r="AB78" i="63"/>
  <c r="Q7" i="74"/>
  <c r="F34" i="62"/>
  <c r="F7" i="74"/>
  <c r="U61" i="63"/>
  <c r="U78" i="63"/>
  <c r="U81" i="63"/>
  <c r="R88" i="63"/>
  <c r="Q61" i="63"/>
  <c r="Q78" i="63"/>
  <c r="Q81" i="63"/>
  <c r="C27" i="48"/>
  <c r="R6" i="74"/>
  <c r="Z58" i="63"/>
  <c r="F52" i="63"/>
  <c r="F51" i="63"/>
  <c r="F92" i="63"/>
  <c r="G85" i="63"/>
  <c r="G39" i="63"/>
  <c r="H27" i="48"/>
  <c r="W6" i="74"/>
  <c r="G27" i="62"/>
  <c r="R52" i="63"/>
  <c r="R51" i="63"/>
  <c r="R92" i="63"/>
  <c r="P88" i="63"/>
  <c r="O61" i="63"/>
  <c r="O78" i="63"/>
  <c r="O81" i="63"/>
  <c r="L84" i="63"/>
  <c r="K78" i="63"/>
  <c r="K81" i="63"/>
  <c r="N36" i="52"/>
  <c r="T61" i="63"/>
  <c r="T78" i="63"/>
  <c r="T81" i="63"/>
  <c r="U88" i="63"/>
  <c r="R24" i="63"/>
  <c r="R7" i="63"/>
  <c r="R9" i="63"/>
  <c r="R17" i="63"/>
  <c r="Q88" i="63"/>
  <c r="P61" i="63"/>
  <c r="P78" i="63"/>
  <c r="P81" i="63"/>
  <c r="E26" i="62"/>
  <c r="E6" i="74"/>
  <c r="M84" i="63"/>
  <c r="L78" i="63"/>
  <c r="L81" i="63"/>
  <c r="Q24" i="63"/>
  <c r="Q17" i="63"/>
  <c r="Q7" i="63"/>
  <c r="Q9" i="63"/>
  <c r="Q9" i="74"/>
  <c r="N52" i="63"/>
  <c r="N51" i="63"/>
  <c r="N92" i="63"/>
  <c r="T58" i="63"/>
  <c r="G61" i="63"/>
  <c r="G78" i="63"/>
  <c r="G81" i="63"/>
  <c r="H34" i="62"/>
  <c r="H7" i="74"/>
  <c r="J29" i="48"/>
  <c r="Y7" i="74"/>
  <c r="M7" i="74"/>
  <c r="E34" i="62"/>
  <c r="E7" i="74"/>
  <c r="AA88" i="63"/>
  <c r="AD88" i="63"/>
  <c r="Z61" i="63"/>
  <c r="Z78" i="63"/>
  <c r="Z81" i="63"/>
  <c r="F85" i="63"/>
  <c r="F39" i="63"/>
  <c r="J39" i="62"/>
  <c r="J43" i="62"/>
  <c r="J8" i="74"/>
  <c r="K39" i="62"/>
  <c r="K43" i="62"/>
  <c r="K8" i="74"/>
  <c r="E39" i="62"/>
  <c r="E43" i="62"/>
  <c r="E8" i="74"/>
  <c r="AA17" i="63"/>
  <c r="AA24" i="63"/>
  <c r="T7" i="63"/>
  <c r="T9" i="63"/>
  <c r="T17" i="63"/>
  <c r="T24" i="63"/>
  <c r="R61" i="63"/>
  <c r="R78" i="63"/>
  <c r="R81" i="63"/>
  <c r="S88" i="63"/>
  <c r="P24" i="63"/>
  <c r="P7" i="63"/>
  <c r="P9" i="63"/>
  <c r="P9" i="74"/>
  <c r="P17" i="63"/>
  <c r="E27" i="62"/>
  <c r="P58" i="63"/>
  <c r="E84" i="63"/>
  <c r="E78" i="63"/>
  <c r="E81" i="63"/>
  <c r="P27" i="48"/>
  <c r="G7" i="63"/>
  <c r="G9" i="63"/>
  <c r="G9" i="74"/>
  <c r="G24" i="63"/>
  <c r="G17" i="63"/>
  <c r="D27" i="48"/>
  <c r="S6" i="74"/>
  <c r="H85" i="63"/>
  <c r="H39" i="63"/>
  <c r="U58" i="63"/>
  <c r="U5" i="74"/>
  <c r="F28" i="48"/>
  <c r="W58" i="63"/>
  <c r="M34" i="52"/>
  <c r="Z8" i="63"/>
  <c r="R5" i="74"/>
  <c r="C28" i="48"/>
  <c r="N39" i="62"/>
  <c r="N43" i="62"/>
  <c r="N8" i="74"/>
  <c r="R39" i="62"/>
  <c r="R43" i="62"/>
  <c r="R8" i="74"/>
  <c r="S39" i="62"/>
  <c r="S43" i="62"/>
  <c r="S8" i="74"/>
  <c r="X35" i="63"/>
  <c r="AE35" i="63"/>
  <c r="AE25" i="63"/>
  <c r="AE41" i="62"/>
  <c r="AE6" i="74"/>
  <c r="Q58" i="63"/>
  <c r="F22" i="62"/>
  <c r="F41" i="62"/>
  <c r="F40" i="62"/>
  <c r="G39" i="62"/>
  <c r="G43" i="62"/>
  <c r="G8" i="74"/>
  <c r="AE85" i="63"/>
  <c r="O58" i="63"/>
  <c r="X14" i="59"/>
  <c r="X65" i="63"/>
  <c r="AE18" i="59"/>
  <c r="AE40" i="62"/>
  <c r="P39" i="62"/>
  <c r="P43" i="62"/>
  <c r="P8" i="74"/>
  <c r="T39" i="62"/>
  <c r="T43" i="62"/>
  <c r="T8" i="74"/>
  <c r="F29" i="48"/>
  <c r="U7" i="74"/>
  <c r="G34" i="62"/>
  <c r="G7" i="74"/>
  <c r="V39" i="62"/>
  <c r="V43" i="62"/>
  <c r="V8" i="74"/>
  <c r="S58" i="63"/>
  <c r="Y58" i="63"/>
  <c r="N85" i="63"/>
  <c r="N39" i="63"/>
  <c r="Y25" i="63"/>
  <c r="Y35" i="63"/>
  <c r="Y18" i="59"/>
  <c r="F17" i="63"/>
  <c r="F16" i="63"/>
  <c r="F18" i="63"/>
  <c r="F10" i="74"/>
  <c r="F24" i="63"/>
  <c r="F7" i="63"/>
  <c r="F9" i="63"/>
  <c r="F9" i="74"/>
  <c r="H28" i="48"/>
  <c r="W5" i="74"/>
  <c r="T88" i="63"/>
  <c r="S61" i="63"/>
  <c r="S78" i="63"/>
  <c r="S81" i="63"/>
  <c r="AD23" i="59"/>
  <c r="AB8" i="63"/>
  <c r="H52" i="63"/>
  <c r="H51" i="63"/>
  <c r="H92" i="63"/>
  <c r="J35" i="52"/>
  <c r="X39" i="62"/>
  <c r="X43" i="62"/>
  <c r="X8" i="74"/>
  <c r="N88" i="63"/>
  <c r="N61" i="63"/>
  <c r="N78" i="63"/>
  <c r="N81" i="63"/>
  <c r="O88" i="63"/>
  <c r="S24" i="63"/>
  <c r="S17" i="63"/>
  <c r="S7" i="63"/>
  <c r="S9" i="63"/>
  <c r="AB7" i="74"/>
  <c r="M29" i="48"/>
  <c r="AE34" i="62"/>
  <c r="AD34" i="62"/>
  <c r="V85" i="63"/>
  <c r="V39" i="63"/>
  <c r="W8" i="63"/>
  <c r="J34" i="52"/>
  <c r="J36" i="52"/>
  <c r="N17" i="63"/>
  <c r="N16" i="63"/>
  <c r="N18" i="63"/>
  <c r="N10" i="74"/>
  <c r="N24" i="63"/>
  <c r="N7" i="63"/>
  <c r="N9" i="63"/>
  <c r="N9" i="74"/>
  <c r="U24" i="63"/>
  <c r="U17" i="63"/>
  <c r="U7" i="63"/>
  <c r="U9" i="63"/>
  <c r="F27" i="62"/>
  <c r="H27" i="62"/>
  <c r="H21" i="62"/>
  <c r="H5" i="74"/>
  <c r="H26" i="62"/>
  <c r="H6" i="74"/>
  <c r="H41" i="62"/>
  <c r="H40" i="62"/>
  <c r="H39" i="62"/>
  <c r="H43" i="62"/>
  <c r="H8" i="74"/>
  <c r="K27" i="48"/>
  <c r="AD61" i="63"/>
  <c r="AA78" i="63"/>
  <c r="AA81" i="63"/>
  <c r="Z5" i="74"/>
  <c r="U16" i="63"/>
  <c r="U18" i="63"/>
  <c r="U10" i="74"/>
  <c r="L35" i="52"/>
  <c r="Y39" i="62"/>
  <c r="Y43" i="62"/>
  <c r="Y8" i="74"/>
  <c r="Z39" i="62"/>
  <c r="Z43" i="62"/>
  <c r="Z8" i="74"/>
  <c r="AA7" i="68"/>
  <c r="AA10" i="68"/>
  <c r="E11" i="52"/>
  <c r="D11" i="52"/>
  <c r="H19" i="68"/>
  <c r="H18" i="68"/>
  <c r="H22" i="68"/>
  <c r="H7" i="68"/>
  <c r="H10" i="68"/>
  <c r="H12" i="68"/>
  <c r="H16" i="74"/>
  <c r="Y19" i="68"/>
  <c r="Y18" i="68"/>
  <c r="Y22" i="68"/>
  <c r="Z9" i="68"/>
  <c r="Y7" i="68"/>
  <c r="Y10" i="68"/>
  <c r="Y12" i="68"/>
  <c r="Y14" i="74"/>
  <c r="J7" i="48"/>
  <c r="H6" i="63"/>
  <c r="H23" i="65"/>
  <c r="H7" i="64"/>
  <c r="H6" i="64"/>
  <c r="H9" i="64"/>
  <c r="H11" i="74"/>
  <c r="H9" i="79"/>
  <c r="H26" i="18"/>
  <c r="J13" i="48"/>
  <c r="Y9" i="79"/>
  <c r="Y26" i="18"/>
  <c r="Y12" i="74"/>
  <c r="Y22" i="65"/>
  <c r="Y26" i="65"/>
  <c r="Y22" i="63"/>
  <c r="Y14" i="63"/>
  <c r="Y5" i="63"/>
  <c r="Y21" i="63"/>
  <c r="S16" i="63"/>
  <c r="S18" i="63"/>
  <c r="S10" i="74"/>
  <c r="Z12" i="74"/>
  <c r="Z22" i="65"/>
  <c r="Z26" i="65"/>
  <c r="Z22" i="63"/>
  <c r="Z5" i="63"/>
  <c r="Z21" i="63"/>
  <c r="Z14" i="63"/>
  <c r="Z14" i="74"/>
  <c r="K7" i="48"/>
  <c r="Y9" i="69"/>
  <c r="Z9" i="69"/>
  <c r="X10" i="71"/>
  <c r="Y10" i="71"/>
  <c r="AA84" i="63"/>
  <c r="AD84" i="63"/>
  <c r="S84" i="63"/>
  <c r="P16" i="63"/>
  <c r="P18" i="63"/>
  <c r="P10" i="74"/>
  <c r="P84" i="63"/>
  <c r="AD13" i="66"/>
  <c r="L8" i="48"/>
  <c r="O8" i="48"/>
  <c r="AA13" i="74"/>
  <c r="AD13" i="74"/>
  <c r="M36" i="48"/>
  <c r="AE16" i="78"/>
  <c r="AB18" i="74"/>
  <c r="AD16" i="78"/>
  <c r="AD71" i="63"/>
  <c r="AA92" i="63"/>
  <c r="AA5" i="74"/>
  <c r="AD5" i="74"/>
  <c r="L28" i="48"/>
  <c r="O28" i="48"/>
  <c r="AD21" i="62"/>
  <c r="AD19" i="67"/>
  <c r="AA31" i="67"/>
  <c r="AD6" i="67"/>
  <c r="AA5" i="67"/>
  <c r="L11" i="48"/>
  <c r="O11" i="48"/>
  <c r="AA7" i="64"/>
  <c r="AA6" i="63"/>
  <c r="AD41" i="58"/>
  <c r="AB20" i="68"/>
  <c r="AE9" i="68"/>
  <c r="AD9" i="68"/>
  <c r="AB7" i="68"/>
  <c r="T41" i="52"/>
  <c r="R41" i="52"/>
  <c r="AA18" i="68"/>
  <c r="AA22" i="68"/>
  <c r="AD19" i="68"/>
  <c r="AD5" i="64"/>
  <c r="AD26" i="62"/>
  <c r="AA6" i="74"/>
  <c r="AD6" i="74"/>
  <c r="L27" i="48"/>
  <c r="O27" i="48"/>
  <c r="N18" i="52"/>
  <c r="T15" i="52"/>
  <c r="R15" i="52"/>
  <c r="E27" i="52"/>
  <c r="E16" i="52"/>
  <c r="D16" i="52"/>
  <c r="AA42" i="62"/>
  <c r="AD42" i="62"/>
  <c r="AD16" i="62"/>
  <c r="AD41" i="62"/>
  <c r="F39" i="62"/>
  <c r="F43" i="62"/>
  <c r="F8" i="74"/>
  <c r="R16" i="63"/>
  <c r="R18" i="63"/>
  <c r="R10" i="74"/>
  <c r="Z10" i="70"/>
  <c r="Q84" i="63"/>
  <c r="G16" i="63"/>
  <c r="G18" i="63"/>
  <c r="G10" i="74"/>
  <c r="T84" i="63"/>
  <c r="U84" i="63"/>
  <c r="W17" i="63"/>
  <c r="W24" i="63"/>
  <c r="F34" i="63"/>
  <c r="F23" i="63"/>
  <c r="G23" i="63"/>
  <c r="M36" i="52"/>
  <c r="R36" i="52"/>
  <c r="Q34" i="63"/>
  <c r="R23" i="63"/>
  <c r="R34" i="63"/>
  <c r="S23" i="63"/>
  <c r="F32" i="48"/>
  <c r="U9" i="74"/>
  <c r="S34" i="63"/>
  <c r="T23" i="63"/>
  <c r="AB7" i="63"/>
  <c r="AD8" i="63"/>
  <c r="AB17" i="63"/>
  <c r="AB24" i="63"/>
  <c r="AB23" i="63"/>
  <c r="AB81" i="63"/>
  <c r="O16" i="63"/>
  <c r="O18" i="63"/>
  <c r="O10" i="74"/>
  <c r="Y14" i="59"/>
  <c r="Y23" i="59"/>
  <c r="Y65" i="63"/>
  <c r="Y88" i="63"/>
  <c r="X88" i="63"/>
  <c r="AE88" i="63"/>
  <c r="X61" i="63"/>
  <c r="AE65" i="63"/>
  <c r="F58" i="63"/>
  <c r="F84" i="63"/>
  <c r="H25" i="63"/>
  <c r="H35" i="63"/>
  <c r="H18" i="59"/>
  <c r="AB58" i="63"/>
  <c r="AE51" i="63"/>
  <c r="AB92" i="63"/>
  <c r="AD51" i="63"/>
  <c r="R58" i="63"/>
  <c r="R84" i="63"/>
  <c r="V61" i="63"/>
  <c r="V84" i="63"/>
  <c r="W88" i="63"/>
  <c r="H58" i="63"/>
  <c r="X23" i="59"/>
  <c r="AE14" i="59"/>
  <c r="O84" i="63"/>
  <c r="G34" i="63"/>
  <c r="T16" i="63"/>
  <c r="T18" i="63"/>
  <c r="R34" i="52"/>
  <c r="V88" i="63"/>
  <c r="W7" i="63"/>
  <c r="W9" i="63"/>
  <c r="V7" i="63"/>
  <c r="V9" i="63"/>
  <c r="V24" i="63"/>
  <c r="V23" i="63"/>
  <c r="V17" i="63"/>
  <c r="V16" i="63"/>
  <c r="V18" i="63"/>
  <c r="N23" i="63"/>
  <c r="N34" i="63"/>
  <c r="O23" i="63"/>
  <c r="V58" i="63"/>
  <c r="O29" i="48"/>
  <c r="P29" i="48"/>
  <c r="T9" i="74"/>
  <c r="E32" i="48"/>
  <c r="E18" i="52"/>
  <c r="D18" i="52"/>
  <c r="O34" i="52"/>
  <c r="U34" i="63"/>
  <c r="T34" i="63"/>
  <c r="U23" i="63"/>
  <c r="O36" i="52"/>
  <c r="T36" i="52"/>
  <c r="G58" i="63"/>
  <c r="G84" i="63"/>
  <c r="S9" i="74"/>
  <c r="D32" i="48"/>
  <c r="AA7" i="63"/>
  <c r="Z24" i="63"/>
  <c r="Z17" i="63"/>
  <c r="AA16" i="63"/>
  <c r="Q16" i="63"/>
  <c r="Q18" i="63"/>
  <c r="Q10" i="74"/>
  <c r="C32" i="48"/>
  <c r="R9" i="74"/>
  <c r="T34" i="52"/>
  <c r="AE7" i="74"/>
  <c r="AD7" i="74"/>
  <c r="N84" i="63"/>
  <c r="N58" i="63"/>
  <c r="AA34" i="63"/>
  <c r="Q23" i="63"/>
  <c r="P34" i="63"/>
  <c r="P23" i="63"/>
  <c r="O34" i="63"/>
  <c r="AD78" i="63"/>
  <c r="AD81" i="63"/>
  <c r="F33" i="48"/>
  <c r="D33" i="48"/>
  <c r="AA12" i="68"/>
  <c r="AA16" i="74"/>
  <c r="Y13" i="63"/>
  <c r="Y31" i="63"/>
  <c r="H10" i="65"/>
  <c r="H9" i="65"/>
  <c r="H15" i="65"/>
  <c r="H12" i="74"/>
  <c r="H22" i="65"/>
  <c r="H26" i="65"/>
  <c r="H14" i="63"/>
  <c r="H22" i="63"/>
  <c r="H5" i="63"/>
  <c r="H21" i="63"/>
  <c r="H15" i="79"/>
  <c r="H16" i="79"/>
  <c r="H8" i="79"/>
  <c r="H11" i="79"/>
  <c r="Y16" i="74"/>
  <c r="J34" i="48"/>
  <c r="Y15" i="79"/>
  <c r="Y16" i="79"/>
  <c r="Y8" i="79"/>
  <c r="Y11" i="79"/>
  <c r="Z20" i="68"/>
  <c r="Z18" i="68"/>
  <c r="Z22" i="68"/>
  <c r="Z7" i="68"/>
  <c r="Z10" i="68"/>
  <c r="Z12" i="68"/>
  <c r="Z31" i="63"/>
  <c r="Z13" i="63"/>
  <c r="C33" i="48"/>
  <c r="O36" i="48"/>
  <c r="P36" i="48"/>
  <c r="AA5" i="63"/>
  <c r="AA9" i="63"/>
  <c r="AA9" i="74"/>
  <c r="AA14" i="63"/>
  <c r="AA22" i="63"/>
  <c r="AD22" i="63"/>
  <c r="AD6" i="63"/>
  <c r="AA15" i="74"/>
  <c r="AD15" i="74"/>
  <c r="AD31" i="67"/>
  <c r="AE7" i="68"/>
  <c r="AD7" i="68"/>
  <c r="AB10" i="68"/>
  <c r="AA22" i="65"/>
  <c r="AD23" i="65"/>
  <c r="AD7" i="64"/>
  <c r="AA6" i="64"/>
  <c r="AA9" i="79"/>
  <c r="AD23" i="18"/>
  <c r="L13" i="48"/>
  <c r="O13" i="48"/>
  <c r="AA26" i="18"/>
  <c r="AD26" i="18"/>
  <c r="AB18" i="68"/>
  <c r="AE20" i="68"/>
  <c r="AD20" i="68"/>
  <c r="AA16" i="67"/>
  <c r="AD5" i="67"/>
  <c r="AD18" i="74"/>
  <c r="AE18" i="74"/>
  <c r="AA40" i="62"/>
  <c r="N23" i="52"/>
  <c r="T18" i="52"/>
  <c r="R18" i="52"/>
  <c r="AD24" i="63"/>
  <c r="AB34" i="63"/>
  <c r="AD34" i="63"/>
  <c r="P26" i="63"/>
  <c r="P33" i="63"/>
  <c r="P36" i="63"/>
  <c r="Q26" i="63"/>
  <c r="Q33" i="63"/>
  <c r="Q36" i="63"/>
  <c r="U33" i="63"/>
  <c r="U36" i="63"/>
  <c r="U26" i="63"/>
  <c r="T10" i="74"/>
  <c r="E33" i="48"/>
  <c r="V78" i="63"/>
  <c r="V81" i="63"/>
  <c r="W84" i="63"/>
  <c r="AD17" i="63"/>
  <c r="AB16" i="63"/>
  <c r="G26" i="63"/>
  <c r="G33" i="63"/>
  <c r="G36" i="63"/>
  <c r="G33" i="48"/>
  <c r="V10" i="74"/>
  <c r="AD92" i="63"/>
  <c r="AE92" i="63"/>
  <c r="X84" i="63"/>
  <c r="AE84" i="63"/>
  <c r="X78" i="63"/>
  <c r="AE61" i="63"/>
  <c r="F33" i="63"/>
  <c r="F36" i="63"/>
  <c r="F26" i="63"/>
  <c r="V33" i="63"/>
  <c r="V36" i="63"/>
  <c r="V26" i="63"/>
  <c r="W23" i="63"/>
  <c r="V34" i="63"/>
  <c r="AB9" i="63"/>
  <c r="AD7" i="63"/>
  <c r="S26" i="63"/>
  <c r="S33" i="63"/>
  <c r="S36" i="63"/>
  <c r="AE58" i="63"/>
  <c r="AD58" i="63"/>
  <c r="T26" i="63"/>
  <c r="T33" i="63"/>
  <c r="T36" i="63"/>
  <c r="S34" i="52"/>
  <c r="Q34" i="52"/>
  <c r="O37" i="52"/>
  <c r="W9" i="74"/>
  <c r="H32" i="48"/>
  <c r="X8" i="63"/>
  <c r="K34" i="52"/>
  <c r="K36" i="52"/>
  <c r="AE23" i="59"/>
  <c r="H65" i="63"/>
  <c r="H14" i="59"/>
  <c r="H23" i="59"/>
  <c r="H8" i="63"/>
  <c r="Z88" i="63"/>
  <c r="Y61" i="63"/>
  <c r="R33" i="63"/>
  <c r="R36" i="63"/>
  <c r="R26" i="63"/>
  <c r="AB26" i="63"/>
  <c r="AB33" i="63"/>
  <c r="O26" i="63"/>
  <c r="O33" i="63"/>
  <c r="O36" i="63"/>
  <c r="V9" i="74"/>
  <c r="G32" i="48"/>
  <c r="Z34" i="63"/>
  <c r="AA23" i="63"/>
  <c r="Q36" i="52"/>
  <c r="S36" i="52"/>
  <c r="N33" i="63"/>
  <c r="N36" i="63"/>
  <c r="N26" i="63"/>
  <c r="L34" i="52"/>
  <c r="L36" i="52"/>
  <c r="Y8" i="63"/>
  <c r="W34" i="63"/>
  <c r="O40" i="52"/>
  <c r="W16" i="63"/>
  <c r="W18" i="63"/>
  <c r="L34" i="48"/>
  <c r="Z16" i="74"/>
  <c r="K34" i="48"/>
  <c r="H31" i="63"/>
  <c r="H13" i="63"/>
  <c r="Y30" i="63"/>
  <c r="Y12" i="63"/>
  <c r="Y29" i="63"/>
  <c r="Z30" i="63"/>
  <c r="Z12" i="63"/>
  <c r="Z29" i="63"/>
  <c r="AD9" i="63"/>
  <c r="AD10" i="65"/>
  <c r="AD22" i="65"/>
  <c r="AA26" i="65"/>
  <c r="AA13" i="63"/>
  <c r="AA31" i="63"/>
  <c r="AD31" i="63"/>
  <c r="AD14" i="63"/>
  <c r="N26" i="52"/>
  <c r="T23" i="52"/>
  <c r="R23" i="52"/>
  <c r="E12" i="52"/>
  <c r="D12" i="52"/>
  <c r="O12" i="52"/>
  <c r="AA15" i="79"/>
  <c r="AD9" i="79"/>
  <c r="AA8" i="79"/>
  <c r="AD10" i="68"/>
  <c r="AB12" i="68"/>
  <c r="AE10" i="68"/>
  <c r="AA21" i="63"/>
  <c r="AD21" i="63"/>
  <c r="AD5" i="63"/>
  <c r="L32" i="48"/>
  <c r="AA14" i="74"/>
  <c r="AD14" i="74"/>
  <c r="L7" i="48"/>
  <c r="O7" i="48"/>
  <c r="AD16" i="67"/>
  <c r="AD6" i="64"/>
  <c r="AA9" i="64"/>
  <c r="N35" i="52"/>
  <c r="AB39" i="62"/>
  <c r="AA39" i="62"/>
  <c r="AA43" i="62"/>
  <c r="AD40" i="62"/>
  <c r="AB22" i="68"/>
  <c r="AD18" i="68"/>
  <c r="AE18" i="68"/>
  <c r="Y17" i="63"/>
  <c r="Z16" i="63"/>
  <c r="Y24" i="63"/>
  <c r="Y7" i="63"/>
  <c r="Y9" i="63"/>
  <c r="Z7" i="63"/>
  <c r="Z9" i="63"/>
  <c r="Y78" i="63"/>
  <c r="Y81" i="63"/>
  <c r="Z84" i="63"/>
  <c r="M32" i="48"/>
  <c r="AB9" i="74"/>
  <c r="AD9" i="74"/>
  <c r="AB18" i="63"/>
  <c r="AD16" i="63"/>
  <c r="X24" i="63"/>
  <c r="X17" i="63"/>
  <c r="X7" i="63"/>
  <c r="AE8" i="63"/>
  <c r="AB36" i="63"/>
  <c r="O43" i="52"/>
  <c r="Q37" i="52"/>
  <c r="S37" i="52"/>
  <c r="W33" i="63"/>
  <c r="W36" i="63"/>
  <c r="W26" i="63"/>
  <c r="Y84" i="63"/>
  <c r="W10" i="74"/>
  <c r="H33" i="48"/>
  <c r="AA33" i="63"/>
  <c r="AD23" i="63"/>
  <c r="S40" i="52"/>
  <c r="Q40" i="52"/>
  <c r="O11" i="52"/>
  <c r="H7" i="63"/>
  <c r="H9" i="63"/>
  <c r="H9" i="74"/>
  <c r="H17" i="63"/>
  <c r="H16" i="63"/>
  <c r="H24" i="63"/>
  <c r="H61" i="63"/>
  <c r="H88" i="63"/>
  <c r="X81" i="63"/>
  <c r="AE81" i="63"/>
  <c r="AE78" i="63"/>
  <c r="Z18" i="63"/>
  <c r="K33" i="48"/>
  <c r="O32" i="48"/>
  <c r="H12" i="63"/>
  <c r="H29" i="63"/>
  <c r="H30" i="63"/>
  <c r="O22" i="52"/>
  <c r="Q22" i="52"/>
  <c r="AA26" i="63"/>
  <c r="AD26" i="63"/>
  <c r="AE22" i="68"/>
  <c r="AD22" i="68"/>
  <c r="AD8" i="79"/>
  <c r="AA11" i="79"/>
  <c r="AD11" i="79"/>
  <c r="AA30" i="63"/>
  <c r="AD30" i="63"/>
  <c r="AD13" i="63"/>
  <c r="AA12" i="63"/>
  <c r="AA8" i="74"/>
  <c r="E14" i="52"/>
  <c r="D14" i="52"/>
  <c r="AD15" i="79"/>
  <c r="AA16" i="79"/>
  <c r="AD16" i="79"/>
  <c r="E15" i="52"/>
  <c r="D15" i="52"/>
  <c r="O35" i="48"/>
  <c r="AD26" i="65"/>
  <c r="AB43" i="62"/>
  <c r="AE39" i="62"/>
  <c r="AD39" i="62"/>
  <c r="T35" i="52"/>
  <c r="R35" i="52"/>
  <c r="O35" i="52"/>
  <c r="AD9" i="65"/>
  <c r="AA11" i="74"/>
  <c r="AD11" i="74"/>
  <c r="AD9" i="64"/>
  <c r="AD12" i="68"/>
  <c r="AE12" i="68"/>
  <c r="AB16" i="74"/>
  <c r="M34" i="48"/>
  <c r="E25" i="52"/>
  <c r="E26" i="52"/>
  <c r="R26" i="52"/>
  <c r="T26" i="52"/>
  <c r="X9" i="63"/>
  <c r="AE7" i="63"/>
  <c r="X34" i="63"/>
  <c r="AE34" i="63"/>
  <c r="Y23" i="63"/>
  <c r="AE24" i="63"/>
  <c r="X23" i="63"/>
  <c r="H78" i="63"/>
  <c r="H81" i="63"/>
  <c r="H84" i="63"/>
  <c r="K32" i="48"/>
  <c r="Z9" i="74"/>
  <c r="S11" i="52"/>
  <c r="Q11" i="52"/>
  <c r="S12" i="52"/>
  <c r="O15" i="52"/>
  <c r="Q12" i="52"/>
  <c r="O10" i="52"/>
  <c r="J32" i="48"/>
  <c r="Y9" i="74"/>
  <c r="Q43" i="52"/>
  <c r="S43" i="52"/>
  <c r="AD33" i="63"/>
  <c r="M33" i="48"/>
  <c r="AB10" i="74"/>
  <c r="Y34" i="63"/>
  <c r="Z23" i="63"/>
  <c r="Y16" i="63"/>
  <c r="Y18" i="63"/>
  <c r="X16" i="63"/>
  <c r="AE17" i="63"/>
  <c r="H34" i="63"/>
  <c r="H23" i="63"/>
  <c r="Z10" i="74"/>
  <c r="S22" i="52"/>
  <c r="H18" i="63"/>
  <c r="H10" i="74"/>
  <c r="AD43" i="62"/>
  <c r="AB8" i="74"/>
  <c r="AE43" i="62"/>
  <c r="AA29" i="63"/>
  <c r="AD12" i="63"/>
  <c r="AA18" i="63"/>
  <c r="AE16" i="74"/>
  <c r="AD16" i="74"/>
  <c r="P34" i="48"/>
  <c r="O34" i="48"/>
  <c r="AD15" i="65"/>
  <c r="AA12" i="74"/>
  <c r="AD12" i="74"/>
  <c r="S35" i="52"/>
  <c r="Q35" i="52"/>
  <c r="O17" i="52"/>
  <c r="O18" i="52"/>
  <c r="Z26" i="63"/>
  <c r="Z33" i="63"/>
  <c r="Z36" i="63"/>
  <c r="X26" i="63"/>
  <c r="AE26" i="63"/>
  <c r="X33" i="63"/>
  <c r="AE23" i="63"/>
  <c r="D27" i="52"/>
  <c r="O21" i="52"/>
  <c r="Q15" i="52"/>
  <c r="S15" i="52"/>
  <c r="X18" i="63"/>
  <c r="AE16" i="63"/>
  <c r="H33" i="63"/>
  <c r="H36" i="63"/>
  <c r="H26" i="63"/>
  <c r="Y10" i="74"/>
  <c r="J33" i="48"/>
  <c r="Y33" i="63"/>
  <c r="Y36" i="63"/>
  <c r="Y26" i="63"/>
  <c r="Q10" i="52"/>
  <c r="S10" i="52"/>
  <c r="X9" i="74"/>
  <c r="AE9" i="74"/>
  <c r="I32" i="48"/>
  <c r="P32" i="48"/>
  <c r="AE9" i="63"/>
  <c r="L33" i="48"/>
  <c r="O33" i="48"/>
  <c r="AA10" i="74"/>
  <c r="AD10" i="74"/>
  <c r="AD18" i="63"/>
  <c r="AD29" i="63"/>
  <c r="AA36" i="63"/>
  <c r="AD36" i="63"/>
  <c r="AE8" i="74"/>
  <c r="AD8" i="74"/>
  <c r="Q17" i="52"/>
  <c r="S17" i="52"/>
  <c r="Q18" i="52"/>
  <c r="S18" i="52"/>
  <c r="S21" i="52"/>
  <c r="Q21" i="52"/>
  <c r="O20" i="52"/>
  <c r="I33" i="48"/>
  <c r="P33" i="48"/>
  <c r="X10" i="74"/>
  <c r="AE10" i="74"/>
  <c r="AE18" i="63"/>
  <c r="X36" i="63"/>
  <c r="AE36" i="63"/>
  <c r="AE33" i="63"/>
  <c r="O23" i="52"/>
  <c r="Q20" i="52"/>
  <c r="S20" i="52"/>
  <c r="Q23" i="52"/>
  <c r="S23" i="52"/>
  <c r="O25" i="52"/>
  <c r="S25" i="52"/>
  <c r="Q25" i="52"/>
  <c r="O26" i="52"/>
  <c r="O42" i="52"/>
  <c r="D26" i="52"/>
  <c r="S26" i="52"/>
  <c r="Q26" i="52"/>
  <c r="D25" i="52"/>
  <c r="Q42" i="52"/>
  <c r="S42" i="52"/>
  <c r="O41" i="52"/>
  <c r="S41" i="52"/>
  <c r="Q41" i="52"/>
</calcChain>
</file>

<file path=xl/sharedStrings.xml><?xml version="1.0" encoding="utf-8"?>
<sst xmlns="http://schemas.openxmlformats.org/spreadsheetml/2006/main" count="1770" uniqueCount="1189">
  <si>
    <t>N#</t>
  </si>
  <si>
    <t>Language</t>
  </si>
  <si>
    <t>Quarters</t>
  </si>
  <si>
    <t>Trimestres</t>
  </si>
  <si>
    <t>Quarters 1</t>
  </si>
  <si>
    <t>Trimestres 1</t>
  </si>
  <si>
    <t>x</t>
  </si>
  <si>
    <t>y</t>
  </si>
  <si>
    <t>Menu - EN</t>
  </si>
  <si>
    <t>Menu - PT</t>
  </si>
  <si>
    <t>Balance Sheet (IFRS, R$ Thousands)</t>
  </si>
  <si>
    <t>Balanço Patrimonial (IFRS, R$ Mil)</t>
  </si>
  <si>
    <t>Income Statement (IFRS, R$ Thousands)</t>
  </si>
  <si>
    <t>Demonstração de Resultado (IFRS, R$ Mil)</t>
  </si>
  <si>
    <t>Credit (IFRS, R$ Thousands)</t>
  </si>
  <si>
    <t>NIM &amp; Yields (IFRS, R$ Thousands)</t>
  </si>
  <si>
    <t>NIM &amp; Yields (IFRS, R$ Mil)</t>
  </si>
  <si>
    <t>Asset Quality (IFRS, R$ Thousands)</t>
  </si>
  <si>
    <t>Asset Quality (IFRS, R$ Mil)</t>
  </si>
  <si>
    <t>NII (IFRS, R$ Thousands)</t>
  </si>
  <si>
    <t>NII (IFRS, R$ Mil)</t>
  </si>
  <si>
    <t>IEP (IFRS, R$ Thousands)</t>
  </si>
  <si>
    <t>IEP (IFRS, R$ Mil)</t>
  </si>
  <si>
    <t>Expenses (IFRS, R$ Thousands)</t>
  </si>
  <si>
    <t>Despesas (IFRS, R$ Mil)</t>
  </si>
  <si>
    <t>Carteira de Crédito (IFRS, R$ Mil)</t>
  </si>
  <si>
    <t>Funding (IFRS, R$ Thousands)</t>
  </si>
  <si>
    <t>Funding (IFRS, R$ Mil)</t>
  </si>
  <si>
    <t>Fee Revenues (IFRS, R$ Thousands)</t>
  </si>
  <si>
    <t>Receitas de serviços e comissões (IFRS, R$ Mil)</t>
  </si>
  <si>
    <t>Financials KPIs</t>
  </si>
  <si>
    <t>KPIs Financeiros</t>
  </si>
  <si>
    <t>Capital Ratio (Banco Inter S.A., R$ Thousands)</t>
  </si>
  <si>
    <t>Índice de Basiléia (Banco Inter S.A., R$ Mil)</t>
  </si>
  <si>
    <t>NIMs (R$ Thousands)</t>
  </si>
  <si>
    <t>NIMs (R$ Mil)</t>
  </si>
  <si>
    <t>Cost of Risk (R$ Thousands)</t>
  </si>
  <si>
    <t>Cost of Risk (R$ Mil)</t>
  </si>
  <si>
    <t>Asset Quality</t>
  </si>
  <si>
    <t>Monthly Cost-to-serve (R$ Thousands)</t>
  </si>
  <si>
    <t>Custo de Servir Mensal (R$ Mil)</t>
  </si>
  <si>
    <t>Monthly ARPAC (R$ Thousands)</t>
  </si>
  <si>
    <t>ARPAC Mensal (R$ Mil)</t>
  </si>
  <si>
    <t>Inter Seguros (Managerial, Million)</t>
  </si>
  <si>
    <t>Inter Seguros (Gerencial, Milhão)</t>
  </si>
  <si>
    <t>Inter Shop (Managerial, Million)</t>
  </si>
  <si>
    <t>Inter Shop (Gerencial, Milhões)</t>
  </si>
  <si>
    <t>Digital Account (Managerial, Million)</t>
  </si>
  <si>
    <t>Conta Digital (Gerencial, Milhões)</t>
  </si>
  <si>
    <t>Operational KPIs</t>
  </si>
  <si>
    <t>KPIs Operacionais</t>
  </si>
  <si>
    <t>Back to summary</t>
  </si>
  <si>
    <t>Voltar ao sumário</t>
  </si>
  <si>
    <t>Note 1: New methodology for NIMs since 1Q23. Considering derivatives.</t>
  </si>
  <si>
    <t>Nota 1: Nova metodologia para NIMs desde o 1T23. Considerando derivativos.</t>
  </si>
  <si>
    <t> Efficiency Ratio (R$ Thousands)</t>
  </si>
  <si>
    <t>Índice de Eficiência (R$ Mil)</t>
  </si>
  <si>
    <t>Inter Invest (Managerial, R$ Million)</t>
  </si>
  <si>
    <t>Inter Invest (Gerencial, R$ Milhão)</t>
  </si>
  <si>
    <t>Market Data - Brazil (Millions)</t>
  </si>
  <si>
    <t>Dados de Mercado - Brasil (Milhões)</t>
  </si>
  <si>
    <t>Inter Pag (Managerial, R$ Million)</t>
  </si>
  <si>
    <t>Inter Pag (Gerencial, R$ Milhão)</t>
  </si>
  <si>
    <t>ROE (IFRS, R$ Thousands)</t>
  </si>
  <si>
    <t>ROE (IFRS, R$ Mil)</t>
  </si>
  <si>
    <t>Português</t>
  </si>
  <si>
    <t>4Q19</t>
  </si>
  <si>
    <t>4T19</t>
  </si>
  <si>
    <t>Operational Data</t>
  </si>
  <si>
    <t>Dados Operacionais</t>
  </si>
  <si>
    <t>Balance Sheet</t>
  </si>
  <si>
    <t>Balanço Patrimonial</t>
  </si>
  <si>
    <t>Assets</t>
  </si>
  <si>
    <t>Ativos</t>
  </si>
  <si>
    <t>Interest income</t>
  </si>
  <si>
    <t>Receita de juros</t>
  </si>
  <si>
    <t>Loan portfolio</t>
  </si>
  <si>
    <t>(-) Hedge accounting from real estate loans</t>
  </si>
  <si>
    <t>(-) Resultado de hedge accounting de crédito imobiliário</t>
  </si>
  <si>
    <t>Average portfolio that generates provision expenses</t>
  </si>
  <si>
    <t>Portfólio médio que gera despesas de provisão</t>
  </si>
  <si>
    <t>Amounts due from financial institutions excl. interbank onlending</t>
  </si>
  <si>
    <t xml:space="preserve"> Empréstimos e adiantamento a instituições financeiras excl. repasses interfinanceiros</t>
  </si>
  <si>
    <t>Total Expenses</t>
  </si>
  <si>
    <t>Despesas Totais</t>
  </si>
  <si>
    <t>Carteira de crédito</t>
  </si>
  <si>
    <t>Funding - including other interest bearing liabilities</t>
  </si>
  <si>
    <t>Funding - incluindo outros passivos que geram despesas de juros</t>
  </si>
  <si>
    <t>KPIs financeiros</t>
  </si>
  <si>
    <t>Cost of risk  (Excl. Antic. of CC Receivables)</t>
  </si>
  <si>
    <t>Cost of risk  (Excl. Antec. de Recebíveis CC)</t>
  </si>
  <si>
    <t>Cost of risk (%)</t>
  </si>
  <si>
    <t>Inter seguros</t>
  </si>
  <si>
    <t>Inter shop</t>
  </si>
  <si>
    <t>Digital account</t>
  </si>
  <si>
    <t>Conta digital</t>
  </si>
  <si>
    <t>KPIs operacionais</t>
  </si>
  <si>
    <t>Note 1: New methodology for Efficiency Ratio since 1Q23. Considering D&amp;A as expanses and excluding tax expenses from revenues.</t>
  </si>
  <si>
    <t>Note 1: Nova metodologia para Índice de Eficiência desde o 1T23. Considerando D&amp;A em despesas e excluindo despesas tributárias na receita.</t>
  </si>
  <si>
    <t>Variation %</t>
  </si>
  <si>
    <t>Variação %</t>
  </si>
  <si>
    <t>Source</t>
  </si>
  <si>
    <t>Fonte</t>
  </si>
  <si>
    <t>English</t>
  </si>
  <si>
    <t>4Q20</t>
  </si>
  <si>
    <t>4T20</t>
  </si>
  <si>
    <t>Others</t>
  </si>
  <si>
    <t>Outros</t>
  </si>
  <si>
    <t>Income Statement</t>
  </si>
  <si>
    <t>DRE</t>
  </si>
  <si>
    <t>Caixa e equivalentes de caixa</t>
  </si>
  <si>
    <t>Interest expenses</t>
  </si>
  <si>
    <t>Despesas de juros</t>
  </si>
  <si>
    <t>Gross loans and advances to customers</t>
  </si>
  <si>
    <t>(-) Hedge accounting from personal loans</t>
  </si>
  <si>
    <t>(-) Resultado de hedge accounting de crédito pessoal</t>
  </si>
  <si>
    <t>Portfolio that generates provision expenses</t>
  </si>
  <si>
    <t>Portfólio que gera despesas de provisão</t>
  </si>
  <si>
    <t>(-) Repasses interfinanceiros</t>
  </si>
  <si>
    <t>Total expenses</t>
  </si>
  <si>
    <t>Depesas totais</t>
  </si>
  <si>
    <t>Empréstimos e adiantamentos a clientes</t>
  </si>
  <si>
    <t>Passivos com clientes</t>
  </si>
  <si>
    <t xml:space="preserve">Revenues from services and commissions </t>
  </si>
  <si>
    <t>Receitas de serviços e comissões</t>
  </si>
  <si>
    <t>Tier I Ratio</t>
  </si>
  <si>
    <t>Tier I ratio (%)</t>
  </si>
  <si>
    <t>Índice de basileia (%)</t>
  </si>
  <si>
    <t>Capital ratio</t>
  </si>
  <si>
    <t>Índice de basiléia</t>
  </si>
  <si>
    <t>NIM 1.0 - IEP + non-interest credit card receivables</t>
  </si>
  <si>
    <t>NIM 1.0 - carteira remunerada + recebíveis CC que não geram juros</t>
  </si>
  <si>
    <t>Anuallized impairment losses on financial assets</t>
  </si>
  <si>
    <t>Resultado de perdas esperadas anualizado</t>
  </si>
  <si>
    <t>NPL &gt; 90 days (including anticipation of credit card receivables, %)</t>
  </si>
  <si>
    <t>NPL &gt; 90 dias (incluindo antecipação de recebíveis de cartão de crédito, %)</t>
  </si>
  <si>
    <t>Cost-to-serve</t>
  </si>
  <si>
    <t>Custo de servir</t>
  </si>
  <si>
    <t>ARPAC (gross of cost of funding)</t>
  </si>
  <si>
    <t>ARPAC (bruto de custo de funding)</t>
  </si>
  <si>
    <t>Active contracts</t>
  </si>
  <si>
    <t>Contratos ativos</t>
  </si>
  <si>
    <t>Gross merchandise volume</t>
  </si>
  <si>
    <t>Volume transacionado</t>
  </si>
  <si>
    <t>Number of cards used (in thousands)</t>
  </si>
  <si>
    <t>Número de cartões utilizados (em mil)</t>
  </si>
  <si>
    <t>CAC</t>
  </si>
  <si>
    <t>Note 1: New methodology for Total cost-to-serve since 1Q23 Considering D&amp;A as expanses.</t>
  </si>
  <si>
    <t>Note 1: Nova metodologia para Custo de servir desde o 1T23. Considerando D&amp;A nas depesas e excluindo despesas tributárias.</t>
  </si>
  <si>
    <t>Efficiency ratio </t>
  </si>
  <si>
    <t>Índice de eficiência</t>
  </si>
  <si>
    <t>Inter invest</t>
  </si>
  <si>
    <t>KPIs</t>
  </si>
  <si>
    <t>KPI Inputs</t>
  </si>
  <si>
    <t>Input KPI</t>
  </si>
  <si>
    <t>Inter Pag</t>
  </si>
  <si>
    <t>ROE Including Minority Interest (%)</t>
  </si>
  <si>
    <t>ROE Incluindo Minoritários (%)</t>
  </si>
  <si>
    <t>1Q21</t>
  </si>
  <si>
    <t>1T21</t>
  </si>
  <si>
    <t xml:space="preserve">Credit </t>
  </si>
  <si>
    <t>Crédito</t>
  </si>
  <si>
    <t>Amounts due from financial institutions</t>
  </si>
  <si>
    <t>Empréstimos e adiantamento a instituições financeiras</t>
  </si>
  <si>
    <t>Income from securities and derivatives and foreing exchange</t>
  </si>
  <si>
    <t>Resultado de títulos e valores mobiliários e derivativos e câmbio</t>
  </si>
  <si>
    <t>Real estate</t>
  </si>
  <si>
    <t>Income from derivatives excl. loan hedge accouting</t>
  </si>
  <si>
    <t>Resultado de derivativos excl. excl. hedge accouting de empréstimos</t>
  </si>
  <si>
    <t>All-in Cost of Risk (%)</t>
  </si>
  <si>
    <t>Custo de Risco Amplo (%)</t>
  </si>
  <si>
    <t>Total Interest Earning Assets</t>
  </si>
  <si>
    <t>Total de Ativos que Geram Juros</t>
  </si>
  <si>
    <t>Imobiliário</t>
  </si>
  <si>
    <t>Demand deposits</t>
  </si>
  <si>
    <t>Depósitos à vista</t>
  </si>
  <si>
    <t>Interchange</t>
  </si>
  <si>
    <t xml:space="preserve">Receitas de intercâmbio </t>
  </si>
  <si>
    <t>NIM 1.0 - IEP + Non-interest credit card receivables</t>
  </si>
  <si>
    <t>NIM 1.0 - IEP + non-interest credit card receivables (%)</t>
  </si>
  <si>
    <t>NIM 1.0 - Carteira remunerada + recebíveis CC que não geram juros (%)</t>
  </si>
  <si>
    <t>Referential equity (RE)</t>
  </si>
  <si>
    <t xml:space="preserve">Patrimônio de referência (PR) </t>
  </si>
  <si>
    <t>Annualized NII</t>
  </si>
  <si>
    <t>NII anualizado</t>
  </si>
  <si>
    <t>Impairment losses on financial assets</t>
  </si>
  <si>
    <t>Resultado de perdas esperadas</t>
  </si>
  <si>
    <t>NPL 15-90 days (including anticipation of credit card receivables, %)</t>
  </si>
  <si>
    <t>NPL 15-90 dias (incluindo antecipação de recebíveis de cartão de crédito, %)</t>
  </si>
  <si>
    <t>Monthly average of cost-to-serve</t>
  </si>
  <si>
    <t>Custo de servir médio mensal</t>
  </si>
  <si>
    <t>Monthly average of total gross revenues</t>
  </si>
  <si>
    <t>Receita bruta total mensal média</t>
  </si>
  <si>
    <t>Inter Seguros net revenues</t>
  </si>
  <si>
    <t>Receita líquida Inter Seguros</t>
  </si>
  <si>
    <t>Inter Shop net revenues</t>
  </si>
  <si>
    <t>Receita líquida Inter Shop</t>
  </si>
  <si>
    <t>Debit cards used</t>
  </si>
  <si>
    <t>Débito</t>
  </si>
  <si>
    <t>NPS</t>
  </si>
  <si>
    <t>Source: CDI Rate according to CETIP</t>
  </si>
  <si>
    <t>Fonte: Taxa do CDI de acordo com a CETIP</t>
  </si>
  <si>
    <t>Total operational expenses</t>
  </si>
  <si>
    <t>Despesas operacionais totais</t>
  </si>
  <si>
    <t>Total AUC</t>
  </si>
  <si>
    <t>AuC/AuM Total</t>
  </si>
  <si>
    <t>Unit Economics</t>
  </si>
  <si>
    <t>Banking Accounts - Brazil</t>
  </si>
  <si>
    <t>Contas Bancárias - Brasil</t>
  </si>
  <si>
    <t>Active Clients</t>
  </si>
  <si>
    <t>Clientes Ativos</t>
  </si>
  <si>
    <t>Annualized net income including minority interest</t>
  </si>
  <si>
    <t>Lucro líquido incluindo minoritários anualizado</t>
  </si>
  <si>
    <t>2Q21</t>
  </si>
  <si>
    <t>2T21</t>
  </si>
  <si>
    <t>Funding</t>
  </si>
  <si>
    <t>Net interest income and income from securities, derivatives and foreing exchange</t>
  </si>
  <si>
    <t>Resultado líquido de  juros e receita de títulos, derivativos e câmbio</t>
  </si>
  <si>
    <t>Personal</t>
  </si>
  <si>
    <t>Gross interest income</t>
  </si>
  <si>
    <t>Receita bruta de juros</t>
  </si>
  <si>
    <t>All-in cost of risk (%)</t>
  </si>
  <si>
    <t>Custo de risco amplo (%)</t>
  </si>
  <si>
    <t>Sovereign securities</t>
  </si>
  <si>
    <t>Títulos soberanos</t>
  </si>
  <si>
    <t>Pessoal</t>
  </si>
  <si>
    <t>Time deposits</t>
  </si>
  <si>
    <t>Depósitos a prazo</t>
  </si>
  <si>
    <t>Comissions</t>
  </si>
  <si>
    <t xml:space="preserve">Receitas de comissões </t>
  </si>
  <si>
    <t>NIM 2.0 - IEP only</t>
  </si>
  <si>
    <t>NIM 2.0 - IEP only (%)</t>
  </si>
  <si>
    <t>NIM 2.0 - Apenas carteira remunerada (%)</t>
  </si>
  <si>
    <t>Tier I referential equity</t>
  </si>
  <si>
    <t xml:space="preserve">Patrimônio de referência nível I </t>
  </si>
  <si>
    <t>NII</t>
  </si>
  <si>
    <t>(÷) Avg of the last two periods of gross loans and advances to customers</t>
  </si>
  <si>
    <t>(÷) Média dos últimos dois períodos de empréstimos e adiantamentos a clientes</t>
  </si>
  <si>
    <t>Efficiency</t>
  </si>
  <si>
    <t>Eficiência</t>
  </si>
  <si>
    <t>Total cost-to-serve</t>
  </si>
  <si>
    <t>Custo de servir total</t>
  </si>
  <si>
    <t>Total gross revenues</t>
  </si>
  <si>
    <t>Receita bruta total</t>
  </si>
  <si>
    <t>Inter Seguros net fee revenues</t>
  </si>
  <si>
    <t>Receita líquida de serviços e comissões Inter Seguros</t>
  </si>
  <si>
    <t>Inter Shop net fee revenues</t>
  </si>
  <si>
    <t>Receita líquida de serviços e comissões Inter Shop</t>
  </si>
  <si>
    <t>Credit cards used</t>
  </si>
  <si>
    <t>Total clients (million)</t>
  </si>
  <si>
    <t>Clientes totais (milhões)</t>
  </si>
  <si>
    <t>Personnel expenses</t>
  </si>
  <si>
    <t>Despesa de pessoal</t>
  </si>
  <si>
    <t>Funding (includes deposits and other on-balance funding)</t>
  </si>
  <si>
    <t>Funding (incluindo outras operações)</t>
  </si>
  <si>
    <t>Total Clients (mm)</t>
  </si>
  <si>
    <t>Total de Clientes (mm)</t>
  </si>
  <si>
    <t>Cost of funding (%)</t>
  </si>
  <si>
    <t>Custo de funding (%)</t>
  </si>
  <si>
    <t>Individuals with Banking Accounts</t>
  </si>
  <si>
    <t>CPFs com Contas Bancárias</t>
  </si>
  <si>
    <t>Estatísticas do CCS - Banco Central do Brasil</t>
  </si>
  <si>
    <t>Total TPV</t>
  </si>
  <si>
    <t>TPV Total</t>
  </si>
  <si>
    <t>Net income including minority interest</t>
  </si>
  <si>
    <t>Lucro líquido incluindo minoritários</t>
  </si>
  <si>
    <t>3Q21</t>
  </si>
  <si>
    <t>3T21</t>
  </si>
  <si>
    <t>Fee Revenue</t>
  </si>
  <si>
    <t>Receita Líquida</t>
  </si>
  <si>
    <t>Securities</t>
  </si>
  <si>
    <t>Títulos e valores mobiliários</t>
  </si>
  <si>
    <t>SME</t>
  </si>
  <si>
    <t>Other IEPs Rate (%)</t>
  </si>
  <si>
    <t>Taxa de outros IEPs (%)</t>
  </si>
  <si>
    <t>Private securities</t>
  </si>
  <si>
    <t>Títulos e valores mobiliários privados</t>
  </si>
  <si>
    <t>Empresas</t>
  </si>
  <si>
    <t>Savings deposits</t>
  </si>
  <si>
    <t>Depósitos de poupança</t>
  </si>
  <si>
    <t>Banking</t>
  </si>
  <si>
    <t xml:space="preserve">Receitas de tarifas bancárias </t>
  </si>
  <si>
    <t>Efficiency Ratio</t>
  </si>
  <si>
    <t>Efficiency ratio (%)</t>
  </si>
  <si>
    <t>Índice de eficiência (%)</t>
  </si>
  <si>
    <t>Core capital (CC)</t>
  </si>
  <si>
    <t xml:space="preserve">Capital principal (CP) </t>
  </si>
  <si>
    <t>Net interest income</t>
  </si>
  <si>
    <t>Resultado líquido de juros</t>
  </si>
  <si>
    <t>CAC (R$)</t>
  </si>
  <si>
    <t>Inter Seguros net interest revenues</t>
  </si>
  <si>
    <t>Receita líquida de juros Inter Seguros</t>
  </si>
  <si>
    <t>Inter Shop net interest revenues</t>
  </si>
  <si>
    <t>Receita líquida de juros Inter Shop</t>
  </si>
  <si>
    <t>Total cards used</t>
  </si>
  <si>
    <t>Número total de cartões utilizados</t>
  </si>
  <si>
    <t>Active clients (million)</t>
  </si>
  <si>
    <t>Clientes ativos (milhões)</t>
  </si>
  <si>
    <t>Administrative expenses</t>
  </si>
  <si>
    <t>Despesas administrativas</t>
  </si>
  <si>
    <t>Inter Asset AuM + Inter Securities AuM</t>
  </si>
  <si>
    <t>Active Clients (mm)</t>
  </si>
  <si>
    <t>Clientes Ativos (mm)</t>
  </si>
  <si>
    <t>NIM (%) 2.0 - IEP only</t>
  </si>
  <si>
    <t>NIM 2.0 - carteira remunerada</t>
  </si>
  <si>
    <t>Business with Banking Accounts</t>
  </si>
  <si>
    <t>CNPJs com Contas Bancárias</t>
  </si>
  <si>
    <t>Credit TPV</t>
  </si>
  <si>
    <t>TPV Crédito</t>
  </si>
  <si>
    <t xml:space="preserve"> (÷) Average total equity of the last two periods</t>
  </si>
  <si>
    <t xml:space="preserve"> (÷) Total do patrimônio líquido médio dos últimos dois períodos</t>
  </si>
  <si>
    <t>4Q21</t>
  </si>
  <si>
    <t>4T21</t>
  </si>
  <si>
    <t>Financial KPIs</t>
  </si>
  <si>
    <t>Derivative financial assets</t>
  </si>
  <si>
    <t>Instrumentos financeiros derivativos</t>
  </si>
  <si>
    <t>Expenses from services and commissions</t>
  </si>
  <si>
    <t>Despesas de serviços e comissões</t>
  </si>
  <si>
    <t>Credit cards</t>
  </si>
  <si>
    <t>Non-transactor credit card portfolio</t>
  </si>
  <si>
    <t>Carteira de cartão de crédito que geram juros</t>
  </si>
  <si>
    <t>Cartão de crédito</t>
  </si>
  <si>
    <t>Creditors by resources to release</t>
  </si>
  <si>
    <t>Credores por recursos a liberar</t>
  </si>
  <si>
    <t>Management (Inter DTVM &amp; Asset)</t>
  </si>
  <si>
    <t>Receita de gestão (Inter DTVM &amp; Asset)</t>
  </si>
  <si>
    <t>Cost-to-serve (R$)</t>
  </si>
  <si>
    <t>Custo de servir (R$)</t>
  </si>
  <si>
    <t>Risk weighted assets - RWA</t>
  </si>
  <si>
    <t>Ativos ponderados por risco - RWA</t>
  </si>
  <si>
    <t>Net gains / (losses) from derivatives</t>
  </si>
  <si>
    <t>Resultado de instrumentos financeiros derivativos</t>
  </si>
  <si>
    <t>Gross loans and advances to customers in the previous period</t>
  </si>
  <si>
    <t>Empréstimos e adiantamentos a clientes no período anterior</t>
  </si>
  <si>
    <t>Income from securities and derivatives</t>
  </si>
  <si>
    <t>Resultado de títulos e valores mobiliários e derivativos</t>
  </si>
  <si>
    <t>EBITDA</t>
  </si>
  <si>
    <t>Cashback expenses</t>
  </si>
  <si>
    <t>Despesas de Cashback</t>
  </si>
  <si>
    <t>Longevity ratio (clients more than 1 year old at Inter) (%)</t>
  </si>
  <si>
    <t>Índice de longevidade (clientes com mais de um ano no inter) %</t>
  </si>
  <si>
    <t>Depreciation and amortization</t>
  </si>
  <si>
    <t>Depreciação e amortização</t>
  </si>
  <si>
    <t>Inter DTVM - management, distribution and custody</t>
  </si>
  <si>
    <t>Inter DTVM - gestão, distribuição e custódia</t>
  </si>
  <si>
    <t>Gross ARPAC (R$)</t>
  </si>
  <si>
    <t>ARPAC Bruto (R$)</t>
  </si>
  <si>
    <t>Net fee income growth (%, QoQ)</t>
  </si>
  <si>
    <t>Crescimento das receitas líquidas de serviços (%, QoQ)</t>
  </si>
  <si>
    <t>Debt TPV</t>
  </si>
  <si>
    <t>TPV Débito</t>
  </si>
  <si>
    <t>Total equity</t>
  </si>
  <si>
    <t>Total do patrimônio líquido</t>
  </si>
  <si>
    <t>1Q22</t>
  </si>
  <si>
    <t>1T22</t>
  </si>
  <si>
    <t>Índice de Basileia</t>
  </si>
  <si>
    <t>Net loans and advances to customers</t>
  </si>
  <si>
    <t>Net result from services and commissions</t>
  </si>
  <si>
    <t>Resultado líquido de serviços e comissões</t>
  </si>
  <si>
    <t>Agribusiness</t>
  </si>
  <si>
    <t>Loans and advances to customers excl. transactor credit card portfolio</t>
  </si>
  <si>
    <t>Empréstimos e adiantamentos a clientes excl. carteira de cartão de crédito que não geram juros</t>
  </si>
  <si>
    <t>Rural</t>
  </si>
  <si>
    <t>Securities issued</t>
  </si>
  <si>
    <t>Títulos emitidos</t>
  </si>
  <si>
    <t>Other</t>
  </si>
  <si>
    <t>ARPAC Gross of Cost of Funding</t>
  </si>
  <si>
    <t>ARPAC gross of cost of funding (R$)</t>
  </si>
  <si>
    <t>ARPAC bruto de custo de funding (R$)</t>
  </si>
  <si>
    <t>RWA for credit risk by standardized approach - RWACPAD</t>
  </si>
  <si>
    <t>RWA para risco de crédito por abordagem padronizada - RWACPAD</t>
  </si>
  <si>
    <t>(÷) Avg of the last two periods of IEP + non-interest credit card receivables</t>
  </si>
  <si>
    <t>(÷) Média dos últimos dois períodos de Carteira remunerada + recebíveis CC que não geram juros</t>
  </si>
  <si>
    <t>Cost of risk (%) (Excl. Antic. of CC Receivables)</t>
  </si>
  <si>
    <t>Cost of risk (%) (Excl. Antec. de Recebíveis CC)</t>
  </si>
  <si>
    <t>Managerial EBITDA Margin</t>
  </si>
  <si>
    <t>Margem EBITDA Gerencial</t>
  </si>
  <si>
    <t>Take rate</t>
  </si>
  <si>
    <t>Cards + PIX TPV (in million)</t>
  </si>
  <si>
    <t>Cartões + PIX TPV (em milhões)</t>
  </si>
  <si>
    <t>Activity rate (%)</t>
  </si>
  <si>
    <t>Índice de ativação (%)</t>
  </si>
  <si>
    <t>(÷) Total net revenues excluding tax expenses</t>
  </si>
  <si>
    <t>(÷) Receitais totais excluindo despesas tributárias</t>
  </si>
  <si>
    <t>Inter Invest net revenues</t>
  </si>
  <si>
    <t xml:space="preserve">Receita líquida Inter Invest </t>
  </si>
  <si>
    <t>CTS (R$)</t>
  </si>
  <si>
    <t>PIX TPV</t>
  </si>
  <si>
    <t>TPV PIX</t>
  </si>
  <si>
    <t>ROE including minority interest (%)</t>
  </si>
  <si>
    <t>ROE incluindo minoritários (%)</t>
  </si>
  <si>
    <t>2Q22</t>
  </si>
  <si>
    <t>2T22</t>
  </si>
  <si>
    <t>NIMs</t>
  </si>
  <si>
    <t>Non-current assets held for sale</t>
  </si>
  <si>
    <t>Ativos não circulantes mantidos para venda</t>
  </si>
  <si>
    <t>Prepayment of receivables</t>
  </si>
  <si>
    <t>Total interest earning assets</t>
  </si>
  <si>
    <t>Total de ativos que geram juros</t>
  </si>
  <si>
    <t>Antecipação de recebíveis de cartão de crédito</t>
  </si>
  <si>
    <t>Total funding</t>
  </si>
  <si>
    <t>Funding total</t>
  </si>
  <si>
    <t>Securities placement</t>
  </si>
  <si>
    <t xml:space="preserve">Colocação de valores mobiliários </t>
  </si>
  <si>
    <t>ARPAC Net of Cost of of Funding</t>
  </si>
  <si>
    <t>ARPAC net of cost of of funding (R$)</t>
  </si>
  <si>
    <t>ARPAC líquido de custo de funding (R$)</t>
  </si>
  <si>
    <t>RWA for market risk - RWAMPAD</t>
  </si>
  <si>
    <t>RWA para risco de mercado - RWAMPAD</t>
  </si>
  <si>
    <t>IEP + non-interest credit card receivables</t>
  </si>
  <si>
    <t>Carteira remunerada + recebíveis CC que não geram juros</t>
  </si>
  <si>
    <t>Note 1: 1Q22 managerial figure, excluding non-recurrent provision.</t>
  </si>
  <si>
    <t>Nota 2: Despesa gerencial em 1T22 excluindo provisão não recorrente.</t>
  </si>
  <si>
    <t>CAC expenses</t>
  </si>
  <si>
    <t>Despesas de CAC</t>
  </si>
  <si>
    <t>Inter Seguros net income</t>
  </si>
  <si>
    <t>Lucro líquido Inter Seguros</t>
  </si>
  <si>
    <t>Net take rate</t>
  </si>
  <si>
    <t>Debit TPV</t>
  </si>
  <si>
    <t>Headcount</t>
  </si>
  <si>
    <t>Número de funcionários</t>
  </si>
  <si>
    <t>Inter Invest net fee revenues</t>
  </si>
  <si>
    <t xml:space="preserve">Receita líquida de serviços e comissões Inter Invest </t>
  </si>
  <si>
    <t>TPV</t>
  </si>
  <si>
    <t>Anticipated TPV</t>
  </si>
  <si>
    <t>TPV Antecipado</t>
  </si>
  <si>
    <t>3Q22</t>
  </si>
  <si>
    <t>3T22</t>
  </si>
  <si>
    <t>Índice de Eficiência</t>
  </si>
  <si>
    <t>Equity accounted investees</t>
  </si>
  <si>
    <t>Investimentos</t>
  </si>
  <si>
    <t>Other revenues</t>
  </si>
  <si>
    <t>Outras receitas</t>
  </si>
  <si>
    <t>Gross loan portfolio</t>
  </si>
  <si>
    <t>(-) Provision for expected loss on loans on loans to customers</t>
  </si>
  <si>
    <t>Carteira de crédito bruta</t>
  </si>
  <si>
    <t>Cost of funding</t>
  </si>
  <si>
    <t>Custo de funding</t>
  </si>
  <si>
    <t>Despesas de cashback</t>
  </si>
  <si>
    <t>ROAA</t>
  </si>
  <si>
    <t>ROAA (%)</t>
  </si>
  <si>
    <t>RWA for operating risk by standard approach - RWAOPAD</t>
  </si>
  <si>
    <t>RWA para risco operacional por abordagem padronizada - RWAOPAD</t>
  </si>
  <si>
    <t>(÷) Average active clients</t>
  </si>
  <si>
    <t>(÷) Média de clientes ativos</t>
  </si>
  <si>
    <t>Active clients per employee (thousands)</t>
  </si>
  <si>
    <t>Clientes ativos por funcionário (mil)</t>
  </si>
  <si>
    <t>Inter Invest net interest revenues</t>
  </si>
  <si>
    <t xml:space="preserve">Receita líquida de juros Inter Invest </t>
  </si>
  <si>
    <t>Tax expenses as % of total revenues</t>
  </si>
  <si>
    <t>Tributos como % de receitas totais</t>
  </si>
  <si>
    <t>PIX</t>
  </si>
  <si>
    <t>Anticipated TPV (%)</t>
  </si>
  <si>
    <t>TPV Antecipado (%)</t>
  </si>
  <si>
    <t>4Q22</t>
  </si>
  <si>
    <t>4T22</t>
  </si>
  <si>
    <t>Cost-to-Serve</t>
  </si>
  <si>
    <t>Custo de Servir</t>
  </si>
  <si>
    <t>Property and equipment</t>
  </si>
  <si>
    <t>Imobilizado</t>
  </si>
  <si>
    <t>Total net revenues</t>
  </si>
  <si>
    <t>Receitas líquidas</t>
  </si>
  <si>
    <t>(-) Provision for expected loss on loans on loans to financial institutions</t>
  </si>
  <si>
    <t>(-) Perda esperada por redução ao valor recuperável de empréstimos a clientes</t>
  </si>
  <si>
    <t>Empréstimos a instituições financeiras</t>
  </si>
  <si>
    <t>Empréstimos e adiantamentos a clientes, líquido de provisão</t>
  </si>
  <si>
    <t>Annualized interest expenses</t>
  </si>
  <si>
    <t>Despesa de juros anualizadas</t>
  </si>
  <si>
    <t>ROAE</t>
  </si>
  <si>
    <t>ROAE (%)</t>
  </si>
  <si>
    <t>Capital requirement</t>
  </si>
  <si>
    <t>Requerimento de capital</t>
  </si>
  <si>
    <t>Cost of risk</t>
  </si>
  <si>
    <t>Cost of funding % of CDI</t>
  </si>
  <si>
    <t>Custo de funding % do CDI</t>
  </si>
  <si>
    <t>Active clients</t>
  </si>
  <si>
    <t>Clientes ativos</t>
  </si>
  <si>
    <t>(+) Cashback expenses</t>
  </si>
  <si>
    <t>(+) Despesas de cashback</t>
  </si>
  <si>
    <t>PIX Transactions</t>
  </si>
  <si>
    <t>Transações PIX</t>
  </si>
  <si>
    <t>Sistema de Pagamentos Brasileiro (SPB) - Estatísticas do Pix - Banco Central do Brasil</t>
  </si>
  <si>
    <t>Take Rate (%)</t>
  </si>
  <si>
    <t>1Q23</t>
  </si>
  <si>
    <t>1T23</t>
  </si>
  <si>
    <t>ARPAC</t>
  </si>
  <si>
    <t>Intangible assets</t>
  </si>
  <si>
    <t>Intangível</t>
  </si>
  <si>
    <t>Other income</t>
  </si>
  <si>
    <t>Outros rendimentos</t>
  </si>
  <si>
    <t>(-) Perda esperada por redução ao valor recuperável de empréstimos a instituições financeiras</t>
  </si>
  <si>
    <t>Interbank deposit investments</t>
  </si>
  <si>
    <t>Aplicações em depósitos interfinanceiros</t>
  </si>
  <si>
    <t>Despesa de juros</t>
  </si>
  <si>
    <t>Minimum principal capital required for RWA</t>
  </si>
  <si>
    <t>Capital principal mínimo requerido para o RWA</t>
  </si>
  <si>
    <t>Revenues</t>
  </si>
  <si>
    <t>Receitas</t>
  </si>
  <si>
    <t>Active clients in the previous period</t>
  </si>
  <si>
    <t>Clientes ativos no período anterior</t>
  </si>
  <si>
    <t>(÷) Average of active clients</t>
  </si>
  <si>
    <t>Note: 3Q24 net fee revenue reflects the reclassification of provisions for canceled sales, moving these amounts from administrative expenses to expenses for services and commissions in 2024.</t>
  </si>
  <si>
    <t>Nota: A receita líquida de taxas do 3T24 reflete a reclassificação das provisões para vendas canceladas, movendo esses valores de despesas administrativas para despesas com serviços e comissões em 2024.</t>
  </si>
  <si>
    <t>Cards + PIX TPV</t>
  </si>
  <si>
    <t>Cartões + PIX TPV</t>
  </si>
  <si>
    <t>Gross Revenue (R$ mm)</t>
  </si>
  <si>
    <t>Receita Bruta (R$ mm)</t>
  </si>
  <si>
    <t>IEP growth (%, QoQ)</t>
  </si>
  <si>
    <t>Crescimento dos ativos rentáveis (QoQ, %)</t>
  </si>
  <si>
    <t>PIX TPV (R$)</t>
  </si>
  <si>
    <t>TPV PIX (R$)</t>
  </si>
  <si>
    <t>Net income excluding minority interest</t>
  </si>
  <si>
    <t>Lucro líquido excluindo minoritários</t>
  </si>
  <si>
    <t>2Q23</t>
  </si>
  <si>
    <t>2T23</t>
  </si>
  <si>
    <t>Inter Invest</t>
  </si>
  <si>
    <t>Deferred tax assets</t>
  </si>
  <si>
    <t>Ativos fiscal diferido</t>
  </si>
  <si>
    <t>(-) Provision for expected loss</t>
  </si>
  <si>
    <t>Reverse repurchase agreements</t>
  </si>
  <si>
    <t xml:space="preserve">Aplicações interfinanceiras de liquidez </t>
  </si>
  <si>
    <t>(-) Perda esperada por redução ao valor recuperável</t>
  </si>
  <si>
    <t>(÷) Average funding</t>
  </si>
  <si>
    <t>(÷) Funding médio</t>
  </si>
  <si>
    <t>Tier I minimum reference equity required to RWA</t>
  </si>
  <si>
    <t>Patrimônio de referência nível I mínimo requerido para o RWA</t>
  </si>
  <si>
    <t>Total gross revenues (R$ million)</t>
  </si>
  <si>
    <t>Receita bruta total (R$ milhões)</t>
  </si>
  <si>
    <t>Tax expenses</t>
  </si>
  <si>
    <t>Despesas tributárias</t>
  </si>
  <si>
    <t>Net Revenues (R$ mm)</t>
  </si>
  <si>
    <t>Receita Líquida (R$ mm)</t>
  </si>
  <si>
    <t>Funding growth (%, QoQ)</t>
  </si>
  <si>
    <t>Crescimento do funding (QoQ, %)</t>
  </si>
  <si>
    <t xml:space="preserve"> (÷) Average equity attributable to owners of the Company of the last two periods</t>
  </si>
  <si>
    <t>Patrimônio líquido dos acionistas controladores médio dos últimos dois períodos</t>
  </si>
  <si>
    <t>3Q23</t>
  </si>
  <si>
    <t>3T23</t>
  </si>
  <si>
    <t>Inter Seguros</t>
  </si>
  <si>
    <t>Other assets</t>
  </si>
  <si>
    <t>Outros ativos</t>
  </si>
  <si>
    <t>Gross IEP</t>
  </si>
  <si>
    <t>ROAA (%) - Excluding Minority Interest</t>
  </si>
  <si>
    <t>ROAA (%) - Excluindo Participação de Acionistas Minoritários</t>
  </si>
  <si>
    <t>Minimum Reference Equity required to RWA</t>
  </si>
  <si>
    <t>Patrimônio de referência mínimo requerido para o RWA</t>
  </si>
  <si>
    <t>(=) NIM 1.0 - IEP + non-interest credit card receivables (%)</t>
  </si>
  <si>
    <t>(=) NIM 1.0 - carteira remunerada + recebíveis CC que não geram juros (%)</t>
  </si>
  <si>
    <t>Net fee revenues (R$ million)</t>
  </si>
  <si>
    <t>Receitas líquida de serviços (R$ millhões)</t>
  </si>
  <si>
    <t>Active clients in the previus period</t>
  </si>
  <si>
    <t>Efficiency ratio (%)</t>
  </si>
  <si>
    <t>Pre Tax Net Income (R$ mm)</t>
  </si>
  <si>
    <t>Lucro Líquido antes de Impostos (R$ mm)</t>
  </si>
  <si>
    <t>KPI Outputs</t>
  </si>
  <si>
    <t>KPIs Output</t>
  </si>
  <si>
    <t>Cards</t>
  </si>
  <si>
    <t>Equity attributable to owners of the Company</t>
  </si>
  <si>
    <t>Patrimônio líquido dos acionistas controladores</t>
  </si>
  <si>
    <t>4Q23</t>
  </si>
  <si>
    <t>4T23</t>
  </si>
  <si>
    <t>Inter Shop</t>
  </si>
  <si>
    <t>Total assets</t>
  </si>
  <si>
    <t>Total de ativos</t>
  </si>
  <si>
    <t>NPL &gt; 90 days</t>
  </si>
  <si>
    <t>Other IEPs</t>
  </si>
  <si>
    <t>Outros IEPs</t>
  </si>
  <si>
    <t>NPL &gt; 90 dias</t>
  </si>
  <si>
    <t>Total funding in the previous period</t>
  </si>
  <si>
    <t>Funding total no período anterior</t>
  </si>
  <si>
    <t>Other revenues + foreign exchange</t>
  </si>
  <si>
    <t>Outras receitas + operações de câmbio e variação cambial</t>
  </si>
  <si>
    <t>ROAE (%) - Excluding Minority Interest</t>
  </si>
  <si>
    <t>ROAE (%) - Excluindo Participação de Acionistas Minoritários</t>
  </si>
  <si>
    <t>Margin on capital requirements</t>
  </si>
  <si>
    <t>Margem sobre os requerimentos de capital</t>
  </si>
  <si>
    <t>Fee income ratio (%)</t>
  </si>
  <si>
    <t>Percentual de receitas líquida de serviços (%)</t>
  </si>
  <si>
    <t>ARPAC bruto (R$)</t>
  </si>
  <si>
    <t>ROEA (%)</t>
  </si>
  <si>
    <t>Credit Cards TPV (R$)</t>
  </si>
  <si>
    <t>TPV Cartão de Crédito (R$)</t>
  </si>
  <si>
    <t>Associação Brasileira das Empresas de Cartões de Crédito e Serviços - Sistema de Informações – Monitor Abecs</t>
  </si>
  <si>
    <t>1Q24</t>
  </si>
  <si>
    <t>1T24</t>
  </si>
  <si>
    <t>Digital Account</t>
  </si>
  <si>
    <t>Conta Digital</t>
  </si>
  <si>
    <t>Liabilities</t>
  </si>
  <si>
    <t>Passivo</t>
  </si>
  <si>
    <t xml:space="preserve">Despesas tributárias </t>
  </si>
  <si>
    <t>(-) Reverse repurchase agreements</t>
  </si>
  <si>
    <t xml:space="preserve">(-) Aplicações interfinanceiras de liquidez </t>
  </si>
  <si>
    <t>(=) Custo de funding (%)</t>
  </si>
  <si>
    <t>Performance fees</t>
  </si>
  <si>
    <t>Receitas de performance</t>
  </si>
  <si>
    <t>Margin on required principal capital</t>
  </si>
  <si>
    <t>Margem sobre o capital principal requerido</t>
  </si>
  <si>
    <t>NIM 2.0 - IEP</t>
  </si>
  <si>
    <t>NIM 2.0 - apenas carteira remunerada</t>
  </si>
  <si>
    <t>Gross loan portfolio in the previous period</t>
  </si>
  <si>
    <t>NII (R$ million)</t>
  </si>
  <si>
    <t>NII (R$ millhões)</t>
  </si>
  <si>
    <t>Debt Card TPV (R$)</t>
  </si>
  <si>
    <t>TPV Cartão de Débito (R$)</t>
  </si>
  <si>
    <t>2Q24</t>
  </si>
  <si>
    <t>2T24</t>
  </si>
  <si>
    <t>NPL &gt; 90 days (%)</t>
  </si>
  <si>
    <t xml:space="preserve">Caixa e equivalentes excl. plicações interfinanceiras de liquidez </t>
  </si>
  <si>
    <t>NPL &gt; 90 dias (%)</t>
  </si>
  <si>
    <t>(÷) Average daily CDI rate in the period (%)</t>
  </si>
  <si>
    <t>(÷) CDI médio diário no período (%)</t>
  </si>
  <si>
    <t>Capital gains (losses)</t>
  </si>
  <si>
    <t>Ganhos de capital</t>
  </si>
  <si>
    <t>Margin on the tier I required reference equity</t>
  </si>
  <si>
    <t>Margem sobre o patrimônio de referência nível I requerido</t>
  </si>
  <si>
    <t>ARPAC (net of cost of funding)</t>
  </si>
  <si>
    <t>ARPAC (líquido de custo de funding)</t>
  </si>
  <si>
    <t>Personnel efficiency ratio </t>
  </si>
  <si>
    <t>Índice de eficiência de pessoal</t>
  </si>
  <si>
    <t>Balance Sheet &amp; Capital</t>
  </si>
  <si>
    <t>Balanço Patriomonial e Capital</t>
  </si>
  <si>
    <t>Crescimento das receitas líquidas de serviços (%)</t>
  </si>
  <si>
    <t>3Q24</t>
  </si>
  <si>
    <t>3T24</t>
  </si>
  <si>
    <t>Cost of Risk</t>
  </si>
  <si>
    <t>Income before taxes and interests in associates</t>
  </si>
  <si>
    <t>Resultados antes dos impostos e participações em coligadas</t>
  </si>
  <si>
    <t>Gross loans and advances to customers excl. rural</t>
  </si>
  <si>
    <t>Empréstimos e adiantamento a clientes excl. rural</t>
  </si>
  <si>
    <t>(=) Custo de funding % do CDI</t>
  </si>
  <si>
    <t>Foreign exchange</t>
  </si>
  <si>
    <t>Operações de câmbio e variação cambial</t>
  </si>
  <si>
    <t>Core capital ratio (CC/RWA)</t>
  </si>
  <si>
    <t xml:space="preserve">Índice de capital principal (CP/RWA) </t>
  </si>
  <si>
    <t>Net ARPAC (R$)</t>
  </si>
  <si>
    <t>ARPAC Líquido (R$)</t>
  </si>
  <si>
    <t>Monthly average total revenues net of cost of funding</t>
  </si>
  <si>
    <t>Receita total mensal média líquida de custo de funding</t>
  </si>
  <si>
    <t>Gross Loan Portfolio (R$ bn)</t>
  </si>
  <si>
    <t>Carteira de Crédito Bruta (R$ bn)</t>
  </si>
  <si>
    <t>Input Values:</t>
  </si>
  <si>
    <t>Valores para input:</t>
  </si>
  <si>
    <t>Loan Portfolio (R$)</t>
  </si>
  <si>
    <t>Carteira de Crédito (R$)</t>
  </si>
  <si>
    <t>4Q24</t>
  </si>
  <si>
    <t>4T24</t>
  </si>
  <si>
    <t>Financial Statements Simulation</t>
  </si>
  <si>
    <t xml:space="preserve">Simulação de Demonstrações Financeiras </t>
  </si>
  <si>
    <t>Resultado de participação em coligadas</t>
  </si>
  <si>
    <t>Coverage ratio (%)</t>
  </si>
  <si>
    <t>Índice de cobertura (%)</t>
  </si>
  <si>
    <t>Other revenue</t>
  </si>
  <si>
    <t xml:space="preserve">Outras receitas </t>
  </si>
  <si>
    <t>Tier I capital ratio (tier I /RWA)</t>
  </si>
  <si>
    <t xml:space="preserve">Índice de capital nível I (nível I /RWA) </t>
  </si>
  <si>
    <t>Proftability</t>
  </si>
  <si>
    <t>Lucratividade</t>
  </si>
  <si>
    <t>Total revenues net of cost of funding</t>
  </si>
  <si>
    <t>Receita total líquida de custo de funding</t>
  </si>
  <si>
    <t>Funding (R$ bn)</t>
  </si>
  <si>
    <t>Funding (R$ bi)</t>
  </si>
  <si>
    <t>1Q25 Actual</t>
  </si>
  <si>
    <t>1T25 Realizado</t>
  </si>
  <si>
    <t>1Q25</t>
  </si>
  <si>
    <t>1T25</t>
  </si>
  <si>
    <t>Disclaimer</t>
  </si>
  <si>
    <t>Derivative financial liabilities</t>
  </si>
  <si>
    <t>Profit / (loss) before income tax</t>
  </si>
  <si>
    <t>Lucro / (prejuízo) antes da tributação sobre o lucro</t>
  </si>
  <si>
    <t>NPL  15-90 days</t>
  </si>
  <si>
    <t>NPL 15-90 dias</t>
  </si>
  <si>
    <t>Obrigações por operações compromissadas</t>
  </si>
  <si>
    <t>Revenue from goods</t>
  </si>
  <si>
    <t>Receita de mercadorias</t>
  </si>
  <si>
    <t>Basel ratio (RE/RWA)</t>
  </si>
  <si>
    <t xml:space="preserve">Índice de basiléia (PR/RWA) </t>
  </si>
  <si>
    <t>Shareholders` Equity (R$ bn)</t>
  </si>
  <si>
    <t>Patrimônio Líquido (R$ bi)</t>
  </si>
  <si>
    <t>Output</t>
  </si>
  <si>
    <t>Total Loan Portfolio</t>
  </si>
  <si>
    <t>Carteira de Crédito Total</t>
  </si>
  <si>
    <t>Banco Central do Brasil - SGS (20539)</t>
  </si>
  <si>
    <t>Glossary</t>
  </si>
  <si>
    <t>Glossário</t>
  </si>
  <si>
    <t>Empréstimos e repasses</t>
  </si>
  <si>
    <t>Current income tax and social contribution</t>
  </si>
  <si>
    <t>Imposto de renda e contribuição social corrente</t>
  </si>
  <si>
    <t>NPL 15-90 days</t>
  </si>
  <si>
    <t>Interbank deposits</t>
  </si>
  <si>
    <t>Depósitos interfinanceiros</t>
  </si>
  <si>
    <t>RWA for payments services - RWASP</t>
  </si>
  <si>
    <t>RWA para serviços de pagamento - RWASP</t>
  </si>
  <si>
    <t>(÷) Avg of the last two periods of IEP</t>
  </si>
  <si>
    <t>(÷) Média dos últimos dois períodos de carteira remunerada</t>
  </si>
  <si>
    <t>Tier 1 Ratio (%)</t>
  </si>
  <si>
    <t>Índice de Basileia (%)</t>
  </si>
  <si>
    <t>Highlights</t>
  </si>
  <si>
    <t>Destaques</t>
  </si>
  <si>
    <t>Tax liabilities</t>
  </si>
  <si>
    <t>Impostos correntes</t>
  </si>
  <si>
    <t>Deferred income tax and social contribution</t>
  </si>
  <si>
    <t>Imposto de renda e contribuição social diferidos</t>
  </si>
  <si>
    <t>NPL 15-90 days (%)</t>
  </si>
  <si>
    <t>NPL 15-90 dias (%)</t>
  </si>
  <si>
    <t>IEP</t>
  </si>
  <si>
    <t>Carteira remunerada</t>
  </si>
  <si>
    <t>Managerial Income Statement (R$ Millions)</t>
  </si>
  <si>
    <t>DRE Gerencial (R$ milhões)</t>
  </si>
  <si>
    <t>Credit Cards</t>
  </si>
  <si>
    <t>Cartão de Crédito</t>
  </si>
  <si>
    <t>Banco Central do Brasil - SGS - Individual and Business / Pessoa Física  e Pessoa Jurídica (20564, 20590)</t>
  </si>
  <si>
    <t>Income tax and social contribution</t>
  </si>
  <si>
    <t>Imposto de renda e contribuição social</t>
  </si>
  <si>
    <t>Income tax benefit</t>
  </si>
  <si>
    <t>Imposto de renda</t>
  </si>
  <si>
    <t>Fee revenues</t>
  </si>
  <si>
    <t>Receitas de serviços</t>
  </si>
  <si>
    <t>Profit / (loss) for the period</t>
  </si>
  <si>
    <t>Lucro/ (prejuízo) líquido</t>
  </si>
  <si>
    <t>Volume KPIs</t>
  </si>
  <si>
    <t>KPIs de Volume</t>
  </si>
  <si>
    <t>Interest income + income from securites and derivatives</t>
  </si>
  <si>
    <t>Receita de juros + receita de títulos e valores mobiliários e derivativos</t>
  </si>
  <si>
    <t>Banco Central do Brasil - SGS - Total Personal Loans / Crédito pessoal total (20580)</t>
  </si>
  <si>
    <t>QoQ Variation</t>
  </si>
  <si>
    <t>Variação QoQ</t>
  </si>
  <si>
    <t>Other tax liabilities</t>
  </si>
  <si>
    <t>Credit card loan portfolio</t>
  </si>
  <si>
    <t>Carteira de cartão de crédito</t>
  </si>
  <si>
    <t>Cards + PIX TPV (R$ bn)</t>
  </si>
  <si>
    <t>TPV de Cartões + PIX (R$ bi)</t>
  </si>
  <si>
    <t>Real Estate</t>
  </si>
  <si>
    <t>Banco Central do Brasil - SGS - Total Real Estate Loans  / Crédito Imobiliário Total (20600 e 20612)</t>
  </si>
  <si>
    <t>YoY Variation</t>
  </si>
  <si>
    <t>Variação YoY</t>
  </si>
  <si>
    <t>Provisions</t>
  </si>
  <si>
    <t>Provisões</t>
  </si>
  <si>
    <t>Net result of losses</t>
  </si>
  <si>
    <t>Resultado líquido de perdas</t>
  </si>
  <si>
    <t>Revolving + overdue</t>
  </si>
  <si>
    <t>Rotativo + créditos Vencidos</t>
  </si>
  <si>
    <t>Net loans and advances to customers excluding non int. CC Receivables</t>
  </si>
  <si>
    <t>Empréstimos e adiantamentos a clientes, excl. recebiveis de CC que não geram juros</t>
  </si>
  <si>
    <t>Personnel efficiency ratio (%)</t>
  </si>
  <si>
    <t>Índice de eficiência de pessoal (%)</t>
  </si>
  <si>
    <t>GMV Inter Shop (R$ mm)</t>
  </si>
  <si>
    <t>Receita líquida de juros</t>
  </si>
  <si>
    <t>Business</t>
  </si>
  <si>
    <t>Banco Central do Brasil - SGS - Total non-financial corporations, excluding cards and real estate / Pessoas jurídicas total, excluindo cartões e imob. (20543)</t>
  </si>
  <si>
    <t>Deferred tax liabilities</t>
  </si>
  <si>
    <t>Revolving (1 to 30 days)</t>
  </si>
  <si>
    <t>Rotativo (1 a 30 dias)</t>
  </si>
  <si>
    <t>Net fee revenues</t>
  </si>
  <si>
    <t>Receitas líquida de serviços</t>
  </si>
  <si>
    <t>AUC  (R$ bn)</t>
  </si>
  <si>
    <t>AUC (R$ bi)</t>
  </si>
  <si>
    <t>Market Data</t>
  </si>
  <si>
    <t>Dados de Mercado</t>
  </si>
  <si>
    <t>Other liabilities</t>
  </si>
  <si>
    <t>Outros passivos</t>
  </si>
  <si>
    <t>Overdue &gt; 31 days</t>
  </si>
  <si>
    <t>Vencidos &gt; 31 dias</t>
  </si>
  <si>
    <t>Term deposits</t>
  </si>
  <si>
    <t>(-) Non int. CC receivables</t>
  </si>
  <si>
    <t>(-) Recebiveis de CC que não geram juros</t>
  </si>
  <si>
    <t>Administrative efficiency ratio </t>
  </si>
  <si>
    <t>Índice de eficiência administrativo</t>
  </si>
  <si>
    <t>Net fee revenue + other revenues</t>
  </si>
  <si>
    <t>Receita líquida de serviços + outras receitas</t>
  </si>
  <si>
    <t>Total liabilities</t>
  </si>
  <si>
    <t>Installments with interest</t>
  </si>
  <si>
    <t>Parcelado com juros</t>
  </si>
  <si>
    <t>Open market capture</t>
  </si>
  <si>
    <t>Captação de mercado aberto</t>
  </si>
  <si>
    <t>Fee income ratio</t>
  </si>
  <si>
    <t xml:space="preserve">Percentual de receitas líquida de serviços </t>
  </si>
  <si>
    <t>Equity</t>
  </si>
  <si>
    <t>Patrimônio líquido</t>
  </si>
  <si>
    <t>Profit attributable to:</t>
  </si>
  <si>
    <t>Lucro atribuível a:</t>
  </si>
  <si>
    <t>Transactor</t>
  </si>
  <si>
    <t>À vista</t>
  </si>
  <si>
    <t>Financial instituicions deposits</t>
  </si>
  <si>
    <t xml:space="preserve">Receitas líquida de serviços </t>
  </si>
  <si>
    <t>(=) NIM 2.0 - IEP (%)</t>
  </si>
  <si>
    <t>(=) NIM 2.0 - apenas carteira remunerada (%)</t>
  </si>
  <si>
    <t>Note 1: Excluding transactions made outside the SPI</t>
  </si>
  <si>
    <t>Nota 1: Excluindo transações feitas fora do SPI</t>
  </si>
  <si>
    <t>Owners of the Company</t>
  </si>
  <si>
    <t>Acionistas controladores</t>
  </si>
  <si>
    <t>Total credit card loan portfolio</t>
  </si>
  <si>
    <t>Carteira de cartão de crédito total</t>
  </si>
  <si>
    <t>Saving</t>
  </si>
  <si>
    <t>(÷) Total net revenues</t>
  </si>
  <si>
    <t>(÷) Receira líquidas totais</t>
  </si>
  <si>
    <t>ARPAC líquido (R$)</t>
  </si>
  <si>
    <t>NPL 15- 90 dias</t>
  </si>
  <si>
    <t>Note 2: Including both debit and prepaid cards</t>
  </si>
  <si>
    <t>Nota 2: Including cartão de débito e cartão pré-pago</t>
  </si>
  <si>
    <t>Share capital</t>
  </si>
  <si>
    <t>Capital social</t>
  </si>
  <si>
    <t>Non-controlling shareholders</t>
  </si>
  <si>
    <t>Acionistas não controladores</t>
  </si>
  <si>
    <t>Risk-Adjusted NIM 1.0 - IEP + non-interest credit card receivables</t>
  </si>
  <si>
    <t>NIM 1.0 Ajustado pela Provisão - carteira remunerada + recebíveis CC que não geram juros</t>
  </si>
  <si>
    <t>Coverage Ratio (%)</t>
  </si>
  <si>
    <t>Índice de Cobertura</t>
  </si>
  <si>
    <t>Reserves</t>
  </si>
  <si>
    <t>Reservas</t>
  </si>
  <si>
    <t>Annualized NII after impairment losses on financial assets</t>
  </si>
  <si>
    <t>NII anualizado excluindo o resultado de perdas esperadas</t>
  </si>
  <si>
    <t>Outros resultados abrangentes</t>
  </si>
  <si>
    <t>Loans and advances to customers</t>
  </si>
  <si>
    <t>Funding - excluding other interest bearing liabilities</t>
  </si>
  <si>
    <t>Funding - excludindo outros passivos que geram despesas de juros</t>
  </si>
  <si>
    <t>NII after impairment losses on financial assets</t>
  </si>
  <si>
    <t>NII excluindo o resultado de perdas esperadas</t>
  </si>
  <si>
    <t>Performance KPIs</t>
  </si>
  <si>
    <t>KPIs de Performance</t>
  </si>
  <si>
    <t>Operational expenses</t>
  </si>
  <si>
    <t>Despesas operacionais</t>
  </si>
  <si>
    <t>Interest Earning Portfolio</t>
  </si>
  <si>
    <t>Ativos Sensíveis a Juros</t>
  </si>
  <si>
    <t>Treasury shares</t>
  </si>
  <si>
    <t>Ações em tesouraria</t>
  </si>
  <si>
    <t>Cost of funding - excluding other interest bearing liabilities</t>
  </si>
  <si>
    <t>Custo de funding - excludindo outros passivos que geram despesas de juros</t>
  </si>
  <si>
    <t>NIM 1.0 (%)</t>
  </si>
  <si>
    <t>Net Interest Income</t>
  </si>
  <si>
    <t>Receita Líquida de Juros</t>
  </si>
  <si>
    <t>Non-controlling interest</t>
  </si>
  <si>
    <t>Participações de acionistas não controladores</t>
  </si>
  <si>
    <t>All-in cost of funding % of CDI</t>
  </si>
  <si>
    <t>Receitas líquida de serviços (%)</t>
  </si>
  <si>
    <t>(=) Risk-Adjusted NIM 1.0 - IEP + non-interest credit card receivables (%)</t>
  </si>
  <si>
    <t>(=) Risk-Adjusted NIM 1.0 - carteira remunerada + recebíveis CC que não geram juros (%)</t>
  </si>
  <si>
    <t>Administrative efficiency ratio (%)</t>
  </si>
  <si>
    <t>Índice de eficiência administrativo (%)</t>
  </si>
  <si>
    <t>NIM 2.0 - IEP Only (%)</t>
  </si>
  <si>
    <t>NIM 2.0 - Carteira remunerada</t>
  </si>
  <si>
    <t>Other expenses</t>
  </si>
  <si>
    <t>Outras despesas</t>
  </si>
  <si>
    <t>All-in cost of funding (%)</t>
  </si>
  <si>
    <t>Risk Adjusted NIM 2.0 - IEP</t>
  </si>
  <si>
    <t>NIM 2.0 Ajustado pela Provisão - apenas carteira remunerada</t>
  </si>
  <si>
    <t>All-in Cost of Funding (% of CDI)</t>
  </si>
  <si>
    <t>Custo de Funding (% do CDI)</t>
  </si>
  <si>
    <t>Expenses</t>
  </si>
  <si>
    <t>Despesas</t>
  </si>
  <si>
    <t>Liabilities + equity</t>
  </si>
  <si>
    <t>Passivos + patrimônio líquido</t>
  </si>
  <si>
    <t>All-in cost of funding</t>
  </si>
  <si>
    <t>(=) Risk-adjusted NIM 2.0 - IEP (%)</t>
  </si>
  <si>
    <t>(=) NIM 2.0 ajustado pela provisão - apenas carteira remunerada (%)</t>
  </si>
  <si>
    <t>Administrative expenses + D&amp;A</t>
  </si>
  <si>
    <t>Despesas administrativas + D&amp;A</t>
  </si>
  <si>
    <t>Efficiency Ratio (%)</t>
  </si>
  <si>
    <t>Índice de Eficiência (%)</t>
  </si>
  <si>
    <t>Total do passivo e patrimônio líquido</t>
  </si>
  <si>
    <t>ROE (%)</t>
  </si>
  <si>
    <t>Banking and credit operations</t>
  </si>
  <si>
    <t>Tarifas bancárias e operações de crédito</t>
  </si>
  <si>
    <t>Risk-Adjusted NIM 1.0 (%)</t>
  </si>
  <si>
    <t>NIM 1.0 (%) - Ajustada pela Provisão</t>
  </si>
  <si>
    <t>Lucro / (prejuízo) do período</t>
  </si>
  <si>
    <t>NIM &amp; Yields</t>
  </si>
  <si>
    <t>NIM &amp; Taxas</t>
  </si>
  <si>
    <t>Income from cash and cash equivalents in foreign currency</t>
  </si>
  <si>
    <t>Rendas e disponibilidades em moeda estrangeira</t>
  </si>
  <si>
    <t>Commission and brokerage fees</t>
  </si>
  <si>
    <t>Tarifas de comissão e coretagem</t>
  </si>
  <si>
    <t>NIM 1.1 - IEP + non-interest credit card receivables incl. income tax benefits from securities issued abroad</t>
  </si>
  <si>
    <t>NIM 1.1 - carteira remunerada + recebíveis CC que não geram juros incl. benefício fiscal de títulos emitidos no exterior</t>
  </si>
  <si>
    <t>Efficiency ratio incl. income tax benefits from securities issued abroad</t>
  </si>
  <si>
    <t>Índice de eficiência incl. benefício fiscal de títulos emitidos no exterior</t>
  </si>
  <si>
    <t>Risk-Adjusted NIM 2.0 (%)</t>
  </si>
  <si>
    <t>NIM 2.0 (%) - Ajustada pela Provisão</t>
  </si>
  <si>
    <t>Fee Income Ratio</t>
  </si>
  <si>
    <t xml:space="preserve">Others </t>
  </si>
  <si>
    <t>Annualized NII incl. income tax benefits from securities issued abroad</t>
  </si>
  <si>
    <t>NII anualizado incl. benefício fiscal de títulos emitidos no exterior</t>
  </si>
  <si>
    <t>(÷) Total net revenues excluding tax expenses incl. income tax benefits from securities issued abroad</t>
  </si>
  <si>
    <t>(÷) Receitais totais excluindo despesas tributárias incl. benefício fiscal de títulos emitidos no exterior</t>
  </si>
  <si>
    <t>Managerial Balance Sheet (R$ Billions)</t>
  </si>
  <si>
    <t>Balanço Patrimonial Gerencial (R$ bilhões)</t>
  </si>
  <si>
    <t>Credits from payables with credit card networks</t>
  </si>
  <si>
    <t>Créditos de contas a pagar com redes de cartão de crédito</t>
  </si>
  <si>
    <t>NII incl. income tax benefits from securities issued abroad</t>
  </si>
  <si>
    <t>NII incl. benefício fiscal de títulos emitidos no exterior</t>
  </si>
  <si>
    <t>Efficiency ratio incl. income tax benefits from securities issued abroad (%)</t>
  </si>
  <si>
    <t>Índice de eficiência incl. benefício fiscal de títulos emitidos no exterior (%)</t>
  </si>
  <si>
    <t>Note: Revenue from foreign exchange was reallocated from Other Revenues to Income from Securities, Derivatives, and Foreign Exchange in Q4 2024. To ensure better comparability between quarters and years, this adjustment has been applied historically in this material.</t>
  </si>
  <si>
    <t xml:space="preserve">(=) NIM 1.1 - IEP + non-interest credit card receivables incl. income tax benefits from securities issued abroad (%) </t>
  </si>
  <si>
    <t>(=) NIM 1.1 - carteira remunerada + recebíveis CC que não geram juros incl. benefício fiscal de títulos emitidos no exterior (%)</t>
  </si>
  <si>
    <t>Personnel efficiency ratio incl. income tax benefits from securities issued abroad</t>
  </si>
  <si>
    <t>Índice de eficiência de pessoal incl. benefício fiscal de títulos emitidos no exterior</t>
  </si>
  <si>
    <t>Interest earning portfolio (IEP)</t>
  </si>
  <si>
    <t>Ativos rentáveis</t>
  </si>
  <si>
    <t>NIM 2.1 - IEP incl. income tax benefits from securities issued abroad</t>
  </si>
  <si>
    <t>NIM 2.1 - apenas carteira remunerada incl. benefício fiscal de títulos emitidos no exterior</t>
  </si>
  <si>
    <t>Personnel efficiency ratio incl. income tax benefits from securities issued abroad (%)</t>
  </si>
  <si>
    <t>Índice de eficiência de pessoal incl. benefício fiscal de títulos emitidos no exterior (%)</t>
  </si>
  <si>
    <t>Cost of Funding</t>
  </si>
  <si>
    <t>Custo de Funding</t>
  </si>
  <si>
    <t>Antecipação de recebíveis</t>
  </si>
  <si>
    <t>Administrative efficiency ratio incl. income tax benefits from securities issued abroad</t>
  </si>
  <si>
    <t>Índice de eficiência administrativo incl. benefício fiscal de títulos emitidos no exterior</t>
  </si>
  <si>
    <t>Capital</t>
  </si>
  <si>
    <t>Administrative efficiency ratio incl. income tax benefits from securities issued abroad (%)</t>
  </si>
  <si>
    <t>Índice de eficiência administrativo incl. benefício fiscal de títulos emitidos no exterior (%)</t>
  </si>
  <si>
    <t>Non-transactor</t>
  </si>
  <si>
    <t>Não à vista</t>
  </si>
  <si>
    <t>(=) NIM 2.1 - IEP incl. income tax benefits from securities issued abroad (%)</t>
  </si>
  <si>
    <t>(=) NIM 2.1 - apenas carteira remunerada incl. benefício fiscal de títulos emitidos no exterior (%)</t>
  </si>
  <si>
    <t>Discontinued Data</t>
  </si>
  <si>
    <t>Dados Descontinuados</t>
  </si>
  <si>
    <t>Risk-Adjusted NIM 1.1 - IEP + non-interest credit card receivables incl. income tax benefits from securities issued abroad</t>
  </si>
  <si>
    <t>NIM 1.1 Ajustado pela Provisão - carteira remunerada + recebíveis CC que não geram juros</t>
  </si>
  <si>
    <t>(+) Income tax benefits from securities issued abroad</t>
  </si>
  <si>
    <t>(+) Benefício fiscal de títulos emitidos no exterior</t>
  </si>
  <si>
    <t>Annualized NII after impairment losses on financial assets incl. income tax benefits from securities issued abroad</t>
  </si>
  <si>
    <t>(=) Risk-Adjusted NIM 1.1 - IEP + non-interest credit card receivables incl. income tax benefits from securities issued abroad (%)</t>
  </si>
  <si>
    <t>(=) Risk-Adjusted NIM 1.1 - carteira remunerada + recebíveis CC que não geram juros (%)</t>
  </si>
  <si>
    <t>Risk Adjusted NIM 2.1 - IEP incl. income tax benefits from securities issued abroad</t>
  </si>
  <si>
    <t>NIM 2.1 Ajustado pela Provisão - apenas carteira remunerada incl. benefício fiscal de títulos emitidos no exterior</t>
  </si>
  <si>
    <t>Total de passivos</t>
  </si>
  <si>
    <t>(=) Risk-adjusted NIM 2.1 - IEP incl. income tax benefits from securities issued abroad (%)</t>
  </si>
  <si>
    <t>(=) NIM 2.1 ajustado pela provisão - apenas carteira remunerada incl. benefício fiscal de títulos emitidos no exterior (%)</t>
  </si>
  <si>
    <t>Financial institutions deposits</t>
  </si>
  <si>
    <t>Variação</t>
  </si>
  <si>
    <t>Savings</t>
  </si>
  <si>
    <t>Benefício fiscal de títulos emitidos no exterior</t>
  </si>
  <si>
    <t>Δ QoQS</t>
  </si>
  <si>
    <t>Δ QoQ Actual</t>
  </si>
  <si>
    <t>Δ QoQ Realizado</t>
  </si>
  <si>
    <t>Income from securities</t>
  </si>
  <si>
    <t>Resultado de títulos e valores mobiliários</t>
  </si>
  <si>
    <t>NII after impairment losses on financial assets incl. income tax benefits from securities issued abroad</t>
  </si>
  <si>
    <t>NII excluindo o resultado de perdas esperadas incl. income tax benefits from securities issued abroad</t>
  </si>
  <si>
    <t>ΔYoYS</t>
  </si>
  <si>
    <t>Fair value throught other comprehensive income</t>
  </si>
  <si>
    <t>Valor justo por meio de outros resultados abrangentes</t>
  </si>
  <si>
    <t>ΔYoY Actual</t>
  </si>
  <si>
    <t>ΔYoY Realizado</t>
  </si>
  <si>
    <t>Fair value through proft or loss</t>
  </si>
  <si>
    <t>Valor justo por meio do resultado</t>
  </si>
  <si>
    <t>Amortized cost</t>
  </si>
  <si>
    <t>Custo amortizado</t>
  </si>
  <si>
    <t>Disclaimer:
Please note that this simulation is for illustrative purposes only, does not represent actual financial data and the results may not accurately reflect real-world outcomes. The information provided is based on hypothetical scenarios and assumptions. The simulation is intended as a learning tool and does not provide any investment advice, recommendations, or guidance.
Users are advised to exercise caution when interpreting the results and are encouraged to consult with qualified financial professionals.</t>
  </si>
  <si>
    <t>Esta simulação é apenas para fins ilustrativo, não representa dados financeiros reais e os resultados podem não refletir precisamente os resultados do mundo real. As informações fornecidas baseiam-se em cenários hipotéticos e suposições. A simulação destina-se como uma ferramenta didática e não oferece nenhum conselho de investimento, recomendações ou orientações.
Recomenda-se que os usuários tenham cuidado ao interpretar os resultados e que busquem aconselhamento de profissionais financeiros qualificados</t>
  </si>
  <si>
    <t>Income from derivatives</t>
  </si>
  <si>
    <t>Resultado de derivativos</t>
  </si>
  <si>
    <t>Future contracts dolar</t>
  </si>
  <si>
    <t>Futuro dólar</t>
  </si>
  <si>
    <t>Fixed-term contracts</t>
  </si>
  <si>
    <t>À termo</t>
  </si>
  <si>
    <t>Futures contrats and swaps</t>
  </si>
  <si>
    <t>Futuro e swap</t>
  </si>
  <si>
    <t>Gross loans and advances to customers growth (%)</t>
  </si>
  <si>
    <t>Crescimento de empréstimos e adiantamentos a clientes (%)</t>
  </si>
  <si>
    <t>Hedge accounting real estate loans</t>
  </si>
  <si>
    <t>Hedge accounting de crédito imobiliário</t>
  </si>
  <si>
    <t>Hedge accounting from personal loans</t>
  </si>
  <si>
    <t>Hedge accounting de crédito pessoal</t>
  </si>
  <si>
    <t>Other results</t>
  </si>
  <si>
    <t>Outros resultados</t>
  </si>
  <si>
    <t>Revenue foreign exchange</t>
  </si>
  <si>
    <t>Resultado de operações de câmbio e variação cambial</t>
  </si>
  <si>
    <t>Loan interest income including hedge accounting results</t>
  </si>
  <si>
    <t>Resultado da carteira de crédito incluindo resultados de hedge accounting</t>
  </si>
  <si>
    <t>Real estate net of hedge accounting</t>
  </si>
  <si>
    <t>Imobiliário líquido resultado de hedge accounting</t>
  </si>
  <si>
    <t>(+) Hedge accounting from real estate loans</t>
  </si>
  <si>
    <t>(+) Resultado de hedge accounting de crédito imobiliário</t>
  </si>
  <si>
    <t>Personal net of hedge accounting</t>
  </si>
  <si>
    <t>Pessoal líquido resultado de hedge accounting</t>
  </si>
  <si>
    <t>(+) Hedge accounting from personal loans</t>
  </si>
  <si>
    <t>(+) Resultado de hedge accounting de crédito pessoal</t>
  </si>
  <si>
    <t>Aplicações interfinanceiras</t>
  </si>
  <si>
    <t>Implied rates</t>
  </si>
  <si>
    <t>Taxa implícita</t>
  </si>
  <si>
    <t>All-in loan rate (%)</t>
  </si>
  <si>
    <t>Taxa de juros de empréstimos consolidada (%)</t>
  </si>
  <si>
    <t>Real estate net of hedge accounting (%)</t>
  </si>
  <si>
    <t>Imobiliário líquido resultado de hedge accounting (%)</t>
  </si>
  <si>
    <t>Personal net of hedge accounting (%)</t>
  </si>
  <si>
    <t>Pessoal líquido resultado de hedge accounting (%)</t>
  </si>
  <si>
    <t>SME (%)</t>
  </si>
  <si>
    <t>Empresas (%)</t>
  </si>
  <si>
    <t>Credit cards (%)</t>
  </si>
  <si>
    <t>Cartão de crédito (%)</t>
  </si>
  <si>
    <t>Agribusiness (%)</t>
  </si>
  <si>
    <t>Rural (%)</t>
  </si>
  <si>
    <t>Prepayment of receivables (%)</t>
  </si>
  <si>
    <t>Antecipação de recebíveis de cartão de crédito (%)</t>
  </si>
  <si>
    <t>Amounts due from financial institutions (%)</t>
  </si>
  <si>
    <t>Aplicações interfinanceiras (%)</t>
  </si>
  <si>
    <t>All-in securities rate (%)</t>
  </si>
  <si>
    <t>Taxa de juros de títulos de valores mobiliários (%)</t>
  </si>
  <si>
    <t>Interest earning credit portfolio</t>
  </si>
  <si>
    <t>Carteira de crédito que gera juros</t>
  </si>
  <si>
    <t>Interest earning credit card portfolio</t>
  </si>
  <si>
    <t>Carteira de cartão de crédito que gera juros</t>
  </si>
  <si>
    <t>(-) Transactor</t>
  </si>
  <si>
    <t>(-) À vista</t>
  </si>
  <si>
    <t>Renegotiated Portfolio</t>
  </si>
  <si>
    <t>Carteira Renegociada</t>
  </si>
  <si>
    <t>Renegotiated portfolio</t>
  </si>
  <si>
    <t>Carteira renegociada</t>
  </si>
  <si>
    <t>Renegotiated portfolio (% of total gross loan portfolio)</t>
  </si>
  <si>
    <t>Carteira renegociada (% da carteira de crédito bruta)</t>
  </si>
  <si>
    <t>Coverage Ratio</t>
  </si>
  <si>
    <t>(÷) Total provision</t>
  </si>
  <si>
    <t>(÷) Provisão total</t>
  </si>
  <si>
    <t>Provision for expected loss</t>
  </si>
  <si>
    <t>Perda esperada por redução ao valor recuperável</t>
  </si>
  <si>
    <t>Provision for expected credit losses on loan commitments</t>
  </si>
  <si>
    <t>Provisões sobre compromissos de empréstimos</t>
  </si>
  <si>
    <t>Securities balance</t>
  </si>
  <si>
    <t>Títulos e Valores Mobiliários</t>
  </si>
  <si>
    <t>Income from securities incl. income tax benefits from securities issued abroad</t>
  </si>
  <si>
    <t>Resultado de títulos e valores imobiliários incl. benefício fiscal de títulos emitidos no exterior</t>
  </si>
  <si>
    <t>Total provision</t>
  </si>
  <si>
    <t>Provisão total</t>
  </si>
  <si>
    <t>(÷) NPL &gt; 90 days</t>
  </si>
  <si>
    <t>(÷) NPL &gt; 90 dias</t>
  </si>
  <si>
    <t>Choose Language /Escolha o Idioma:</t>
  </si>
  <si>
    <t>1.</t>
  </si>
  <si>
    <t>2.</t>
  </si>
  <si>
    <t>3.</t>
  </si>
  <si>
    <t>4.</t>
  </si>
  <si>
    <t>5.</t>
  </si>
  <si>
    <t>6.</t>
  </si>
  <si>
    <t>7.</t>
  </si>
  <si>
    <t>8.</t>
  </si>
  <si>
    <t>9.</t>
  </si>
  <si>
    <t>1</t>
  </si>
  <si>
    <t>2</t>
  </si>
  <si>
    <t>3</t>
  </si>
  <si>
    <t>4</t>
  </si>
  <si>
    <t>5</t>
  </si>
  <si>
    <t>6</t>
  </si>
  <si>
    <t>7</t>
  </si>
  <si>
    <t>8</t>
  </si>
  <si>
    <t>ROE</t>
  </si>
  <si>
    <t>9</t>
  </si>
  <si>
    <t xml:space="preserve"> </t>
  </si>
  <si>
    <t xml:space="preserve">  </t>
  </si>
  <si>
    <t>-</t>
  </si>
  <si>
    <t>7,147,341
Margin on the Tier I Required Reference Equity 5,719,735 6</t>
  </si>
  <si>
    <t>Debit TPV 1</t>
  </si>
  <si>
    <t>Receita Líquida de Serviços</t>
  </si>
  <si>
    <t>Nota: A receita de câmbio foi realocada de Outras receitas para Renda de títulos e derivativos e câmbio no 4T24. Para criar uma melhor comparabilidade entre trimestres e anos, esse ajuste foi realizado historicamente neste material.</t>
  </si>
  <si>
    <t>Net Income Including Minority Interest (R$ mm)</t>
  </si>
  <si>
    <t>Lucro Líquido Incluindo Minoritários (R$ mm)</t>
  </si>
  <si>
    <t>Inter Seguros gross revenues</t>
  </si>
  <si>
    <t>Receita bruta Inter Seguros</t>
  </si>
  <si>
    <t>Inter Seguros gross fee revenues</t>
  </si>
  <si>
    <t>Receita bruta de serviços Inter Seguros</t>
  </si>
  <si>
    <t>Expenses from services and comissions</t>
  </si>
  <si>
    <t>NIM 2.0 (%)</t>
  </si>
  <si>
    <t>All-in NIM 1.0 (%)</t>
  </si>
  <si>
    <t>Non-interest earning credit card receivables</t>
  </si>
  <si>
    <t>Recebíveis CC que não geram juros</t>
  </si>
  <si>
    <t>Avg. of IEP + non-interest credit card receivables</t>
  </si>
  <si>
    <t>Média da carteira remunerada + recebíveis CC que não geram juros</t>
  </si>
  <si>
    <t>Risk-adjusted NIM 2.0 (%)</t>
  </si>
  <si>
    <t>NIM 2.0 Ajustada ao Risco (%)</t>
  </si>
  <si>
    <t>NIM 2.0 ajustada ao risco (%)</t>
  </si>
  <si>
    <t>Risk-adjusted NIM 1.0 (%)</t>
  </si>
  <si>
    <t>NIM 1.0 Ajustada ao Risco (%)</t>
  </si>
  <si>
    <t>NIM 1.0 ajustada ao risco (%)</t>
  </si>
  <si>
    <t>All-in Asset Yield (%)</t>
  </si>
  <si>
    <t>Other IEP rate (%)</t>
  </si>
  <si>
    <t xml:space="preserve">Tax de todos of ativos (%) </t>
  </si>
  <si>
    <t>2Q25</t>
  </si>
  <si>
    <t>2T25</t>
  </si>
  <si>
    <t>Patrimônio de Referência Nível II</t>
  </si>
  <si>
    <t>Tier II referential equity</t>
  </si>
  <si>
    <t>n.a.</t>
  </si>
  <si>
    <t>NPL &gt; 90 days (excluding anticipation of credit card receivables, %)</t>
  </si>
  <si>
    <t>NPL &gt; 90 dias (excluindo antecipação de recebíveis de cartão de crédito, %)</t>
  </si>
  <si>
    <t>NPL 15- 90 dias (excluindo antecipação de recebíveis de cartão de crédito, %)</t>
  </si>
  <si>
    <t>NPL 15 - 90 days (excluding anticipation of credit card receivables, %)</t>
  </si>
  <si>
    <t>(-) Tax expenses from interest on own capital (IOC)</t>
  </si>
  <si>
    <t>(-) Despesas tributárias de juros sobre capital próprio (JCP)</t>
  </si>
  <si>
    <t>Tax expenses excluding tax expenses from interest on own capital (IOC)</t>
  </si>
  <si>
    <t>Despesas tributárias excluindo despesas tributárias de juros sobre capital próprio (JCP)</t>
  </si>
  <si>
    <t>Personnel efficiency ratio - excluding tax expenses from interest on own capital (IOC)</t>
  </si>
  <si>
    <t>Índice de eficiência de pessoal - excluindo despesas tributárias de juros sobre capital próprio (JCP)</t>
  </si>
  <si>
    <t>Administrative efficiency ratio - excluding tax expenses from interest on own capital (IOC)</t>
  </si>
  <si>
    <t>Índice de eficiência administrativo - excluindo despesas tributárias de juros sobre capital próprio (JCP)</t>
  </si>
  <si>
    <t>Administrative efficiency ratio - excluding tax expenses from interest on own capital (%)</t>
  </si>
  <si>
    <t>Índice de eficiência administrativo - excluindo despesas tributárias de juros sobre capital próprio (%)</t>
  </si>
  <si>
    <t>Índice de eficiência de pessoal - excluindo despesas tributárias de juros sobre capital próprio(%)</t>
  </si>
  <si>
    <t>Personnel efficiency ratio - excluding tax expenses from interest on own capital (%)</t>
  </si>
  <si>
    <t>Managerial KPIs Effects in 2Q25 Financial Statements</t>
  </si>
  <si>
    <t>Efeitos Gerenciais dos KPIs nas Demonstrações Financeiras do 2T25</t>
  </si>
  <si>
    <t>Instructions for Use:
1. Read the disclaimer bellow before using this sheet.
2. The simulation is pre-set with Q2'25 Key Performance Indicators (KPIs) in column D. You can modify the simulation by entering your desired KPI values in the green cells in Column D.
3. Once you input the new KPI values, the corresponding results will be updated in column O of the Income Statement, Balance Sheet, or both, depending on the specific KPI. The values that may alter are marked in orange.
4. Additionally, the KPI Output in column D will change dynamically based on your input, allowing you to observe the effects of different KPI values.</t>
  </si>
  <si>
    <t>Instruções de Uso:
1. Leia o disclaimer abaixo antes de utilizar esta planilha.
2. A simulação está pré-configurada com Indicadores-Chave de Desempenho (KPIs) do 2º trimestre de 2025 na coluna D. Você pode modificar a simulação inserindo os valores desejados para os KPIs nas células em verde na coluna D.
3. Uma vez que você inserir os novos valores dos KPIs, os resultados correspondentes serão automaticamente atualizados na coluna O da Demonstração de Resultados, Balanço Patrimonial ou em ambos, dependendo da KPI. Os valores que podem ser alterados estão marcados em laranja.
4. Além disso, o resultado dos KPIs na coluna D mudará dinamicamente de acordo com a sua entrada, permitindo que você observe os efeitos de diferentes valores de KPI.
Aviso Legal: Esta simulação é fornecida apenas para fins ilustrativos e não representa dados financeiros reais. As informações apresentadas são baseadas em cenários hipotéticos e suposições. Ela é destinada apenas como uma ferramenta de aprendizado e não oferece qualquer tipo de conselho de investimento, recomendações ou orientações.
Recomenda-se que os usuários tenham cautela ao interpretar os resultados e que consultem profissionais financeiros qualificados ou se refiram às regras e diretrizes oficiais fornecidas pelas autoridades reguladoras relevantes antes de tomar quaisquer decisões financeiras no mundo real.</t>
  </si>
  <si>
    <t>Tax expenses from interest on own capital (IOC)</t>
  </si>
  <si>
    <t>Despesas tributárias de juros sobre capital próprio (JCP)</t>
  </si>
  <si>
    <t>(+) Tax expenses from interest on own capital (IOC)</t>
  </si>
  <si>
    <t>(+) Despesas tributárias de juros sobre capital próprio (JCP)</t>
  </si>
  <si>
    <t>Income tax and social contribution + tax expenses from interest on own capital (IOC)</t>
  </si>
  <si>
    <t>Imposto de renda e contribuição social + despesas tributárias de juros sobre capital próprio (JCP)</t>
  </si>
  <si>
    <t>Effective tax rate (%)</t>
  </si>
  <si>
    <t>Alíquota de imposto de renda efetiva (%)</t>
  </si>
  <si>
    <t>Effective Tax Rate (%)</t>
  </si>
  <si>
    <t>Alíquota de Imposto de Renda Efetiva (%)</t>
  </si>
  <si>
    <t>(÷) Profit / (loss) before income tax + tax expenses from interest on own capital (IOC)</t>
  </si>
  <si>
    <t>(÷) Lucro / (prejuízo) antes da tributação sobre o lucro + despesas tributárias de juros sobre capital próprio (JCP)</t>
  </si>
  <si>
    <t xml:space="preserve">Imposto de renda e contribuição social </t>
  </si>
  <si>
    <t>(÷) Profit / (loss) before income tax</t>
  </si>
  <si>
    <t>(÷) Lucro / (prejuízo) antes da tributação sobre o lucro</t>
  </si>
  <si>
    <t>Alíquota de imposto de renda efetiva ajustada pelo JCP (%)</t>
  </si>
  <si>
    <t>IOC adjusted effective tax rate (%)</t>
  </si>
  <si>
    <t>Effective tax rate - IOC adjusted (%)</t>
  </si>
  <si>
    <t>Alíquota de Imposto de renda efetiva ajustada pelo JCP (%)</t>
  </si>
  <si>
    <t>Effective tax rate(%)</t>
  </si>
  <si>
    <t>10.</t>
  </si>
  <si>
    <t>Effective Tax Rate</t>
  </si>
  <si>
    <t>Alíquota Efetiva</t>
  </si>
  <si>
    <t>3Q25</t>
  </si>
  <si>
    <t>3T25</t>
  </si>
  <si>
    <t>n.m</t>
  </si>
  <si>
    <t>n.a</t>
  </si>
  <si>
    <t>3Q25 Historical Data</t>
  </si>
  <si>
    <t>Séries Históricas 3T25</t>
  </si>
  <si>
    <t>Destaques do Trimestre | 3T25</t>
  </si>
  <si>
    <t>Highlights of the Quarter | 3Q25</t>
  </si>
  <si>
    <t>Net Income (R$ mm)</t>
  </si>
  <si>
    <t>Lucro Líquido (R$ mm)</t>
  </si>
  <si>
    <t>Gross loan portfolio including prepayment of receivables</t>
  </si>
  <si>
    <t>Participação de não controladores</t>
  </si>
  <si>
    <t>Annualized net income</t>
  </si>
  <si>
    <t>Lucro líquido</t>
  </si>
  <si>
    <t>Lucro líquido de controladores  e não controladores</t>
  </si>
  <si>
    <t>Net income from controlling and non-controlling interests</t>
  </si>
  <si>
    <t>Business Days</t>
  </si>
  <si>
    <t>All-in cost of funding % of CDI - Adjusted by Business Days</t>
  </si>
  <si>
    <t>Nota: No terceiro trimestre de 2025, melhoramos nossos processos de divulgação das renegociações de crédito, seguindo as melhores práticas de mercado para assegurar mais precisão e transparência. Como parte desta melhoria, refinamos a definição de contratos renegociados excluindo acordos que não estavam inadimplentes ou aqueles cujos perfis de risco permaneceram inalterados. Este ajuste garante que os números reportados sejam mais precisos e confiáveis para análise de renegociação.</t>
  </si>
  <si>
    <t>Note: During 3Q25, we enhanced our disclosure practices for loan renegotiations, aligning with market best practices to ensure greater accuracy and transparency. As part of this improvement, we refined the definition of renegotiated contracts by excluding agreements that were not delinquent or those whose risk profiles remained unchanged. This adjustment ensures that the reported figures are more precise and reliable for renegotiation analysis.</t>
  </si>
  <si>
    <t>Cash and equivalents</t>
  </si>
  <si>
    <t>Amounts due from financial institutions, net of provisions for expected credit losses</t>
  </si>
  <si>
    <t>Deposits at Central Bank of Brazil</t>
  </si>
  <si>
    <t>Securities, net of provisions for expected credit losses</t>
  </si>
  <si>
    <t>Loans and advances to customers, net of provisions for expected credit losses</t>
  </si>
  <si>
    <t>Deposits from banks</t>
  </si>
  <si>
    <t>Deposits from customers</t>
  </si>
  <si>
    <t xml:space="preserve">Other comprehensive loss </t>
  </si>
  <si>
    <t>Total liabilities and equity</t>
  </si>
  <si>
    <t>Income from securities, derivatives and foreign exchange</t>
  </si>
  <si>
    <t>Net revenues from services and commissions</t>
  </si>
  <si>
    <t>Income tax</t>
  </si>
  <si>
    <t>Net income</t>
  </si>
  <si>
    <t>Income from equity interests in associates</t>
  </si>
  <si>
    <t>Borrowings and on-lending</t>
  </si>
  <si>
    <t>Note: Preliminary data from 3Q25. Approval from the Central Bank is pending.</t>
  </si>
  <si>
    <t>Nota: Dados preliminares do 3T25. Aprovação do Banco Central pendente.</t>
  </si>
  <si>
    <t>Empréstimos e adiantamento a instituições financeiras, líquidos de provisões para perdas esperadas</t>
  </si>
  <si>
    <t>Depósitos compulsórios no Banco Central do Brasil</t>
  </si>
  <si>
    <t>Títulos e valores mobiliários, líquidos de provisões para perdas esperadas</t>
  </si>
  <si>
    <t>Empréstimos e adiantamento a clientes, líquidos de provisões para perdas esperadas</t>
  </si>
  <si>
    <t>Depósitos com instituições financeiras</t>
  </si>
  <si>
    <t>Depósitos com clientes</t>
  </si>
  <si>
    <t>Outras obrigações fiscais</t>
  </si>
  <si>
    <t>Passivo fiscal diferido</t>
  </si>
  <si>
    <t>Total dos passivos</t>
  </si>
  <si>
    <t>Receitas de juros</t>
  </si>
  <si>
    <t>Resultado de títulos e valores mobiliários, derivativos e câmbio</t>
  </si>
  <si>
    <t>Resultado líquido de juros e receita de títulos, derivativos e câmbio</t>
  </si>
  <si>
    <t>Receitas líquidas de serviços e comissões</t>
  </si>
  <si>
    <t>Total de receitas líquidas</t>
  </si>
  <si>
    <t>Resultado de perdas por redução ao valor recuperável de ativos financeiros</t>
  </si>
  <si>
    <t>Efficiency ratio - including tax expenses from interest on own capital (%)</t>
  </si>
  <si>
    <t>Índice de eficiência - incluindo despesas tributárias de juros sobre capital próprio %)</t>
  </si>
  <si>
    <t>Índice de eficiência - incluindo despesas tributárias de juros sobre capital próprio (JCP)</t>
  </si>
  <si>
    <t>Efficiency ratio - including tax expenses from interest on own capital (IOC)</t>
  </si>
  <si>
    <t>Securities sold under agreements to repurchase</t>
  </si>
  <si>
    <t>Interest bearing deposits from banks</t>
  </si>
  <si>
    <t>Depósitos com instituições financeiras que geram despesas de juros</t>
  </si>
  <si>
    <t>(-) Interbank on-lending</t>
  </si>
  <si>
    <t>Funding in the open market</t>
  </si>
  <si>
    <t>Fund managament and investment fees</t>
  </si>
  <si>
    <t>Administração de fundos e taxas de investimentos</t>
  </si>
  <si>
    <t>Inter Loop</t>
  </si>
  <si>
    <t>Cash and equivalents excl. reverse repurchase agreements</t>
  </si>
  <si>
    <t>(+) Inter Loop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</si>
</sst>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3" formatCode="_(* #,##0.00_);_(* \(#,##0.00\);_(* &quot;-&quot;??_);_(@_)"/>
    <numFmt numFmtId="164" formatCode="_-* #,##0.00_-;\-* #,##0.00_-;_-* &quot;-&quot;??_-;_-@_-"/>
    <numFmt numFmtId="165" formatCode="_-* #,##0_-;\-* #,##0_-;_-* &quot;-&quot;??_-;_-@_-"/>
    <numFmt numFmtId="166" formatCode="#,###;\(#,###\)"/>
    <numFmt numFmtId="167" formatCode="#,##0_ ;\-#,##0\ "/>
    <numFmt numFmtId="168" formatCode="0.0%"/>
    <numFmt numFmtId="169" formatCode="#,###.0;\(#,###.0\)"/>
    <numFmt numFmtId="170" formatCode="_-* #,##0.0_-;\-* #,##0.0_-;_-* &quot;-&quot;??_-;_-@_-"/>
    <numFmt numFmtId="171" formatCode="\ _(* #,##0_);_(* \(#,##0\);_(* &quot;-&quot;_);_(@_)"/>
    <numFmt numFmtId="172" formatCode="_(* #,##0_);_(* \(#,##0\);_(* &quot;-&quot;??_);_(@_)"/>
    <numFmt numFmtId="173" formatCode="0.000"/>
    <numFmt numFmtId="174" formatCode="0.0"/>
    <numFmt numFmtId="175" formatCode="_(* #,##0.0_);_(* \(#,##0.0\);_(* &quot;-&quot;??_);_(@_)"/>
    <numFmt numFmtId="176" formatCode="#,##0.0_ ;\-#,##0.0\ "/>
    <numFmt numFmtId="177" formatCode="#,##0.0;\(#,##0.0\)"/>
    <numFmt numFmtId="178" formatCode="\+\ 0%;\ \-\ 0\ %"/>
    <numFmt numFmtId="179" formatCode="\+\ #,##0%;\ \-\ #,##0%"/>
    <numFmt numFmtId="180" formatCode="#,##0.0%"/>
    <numFmt numFmtId="181" formatCode="#,##0%"/>
    <numFmt numFmtId="182" formatCode="\+\ 0.0\ &quot;p.p.&quot;;\ \-\ 0.0\ &quot;p.p.&quot;"/>
    <numFmt numFmtId="183" formatCode="\+0.0%;\ \-0.0%"/>
    <numFmt numFmtId="184" formatCode="0.00000000000000%"/>
    <numFmt numFmtId="185" formatCode="\+\ 0.0\ &quot;p.p.&quot;;\-\ 0.0\ &quot;p.p.&quot;"/>
    <numFmt numFmtId="186" formatCode="0.000000000000000%"/>
    <numFmt numFmtId="187" formatCode="#,##0\ ;\(#,##0\)"/>
    <numFmt numFmtId="188" formatCode="_(* #,##0.000_);_(* \(#,##0.000\);_(* &quot;-&quot;??_);_(@_)"/>
    <numFmt numFmtId="189" formatCode="#,##0.0;\(#,###.0\)"/>
    <numFmt numFmtId="190" formatCode="#,##0;\(#,##0\)"/>
    <numFmt numFmtId="191" formatCode="\+0.0\ &quot;p.p.&quot;;\ \-0.0\ &quot;p.p.&quot;"/>
    <numFmt numFmtId="192" formatCode="\+0.0&quot; p.p&quot;;\-0.0&quot; p.p&quot;"/>
  </numFmts>
  <fonts count="60">
    <font>
      <sz val="11"/>
      <color theme="1"/>
      <name val="Calibri"/>
      <family val="2"/>
      <scheme val="minor"/>
    </font>
    <font>
      <sz val="11"/>
      <color theme="1"/>
      <name val="Calibri"/>
      <family val="2"/>
      <scheme val="minor"/>
    </font>
    <font>
      <sz val="10"/>
      <name val="Arial"/>
      <family val="2"/>
    </font>
    <font>
      <sz val="9"/>
      <color theme="1"/>
      <name val="Calibri Light"/>
      <family val="2"/>
    </font>
    <font>
      <sz val="10"/>
      <color theme="1"/>
      <name val="Calibri"/>
      <family val="2"/>
    </font>
    <font>
      <b/>
      <sz val="12"/>
      <color theme="9"/>
      <name val="Gotham"/>
      <family val="3"/>
    </font>
    <font>
      <sz val="8"/>
      <name val="Calibri"/>
      <family val="2"/>
      <scheme val="minor"/>
    </font>
    <font>
      <u/>
      <sz val="11"/>
      <color theme="10"/>
      <name val="Calibri"/>
      <family val="2"/>
      <scheme val="minor"/>
    </font>
    <font>
      <u/>
      <sz val="11"/>
      <color theme="1"/>
      <name val="Calibri"/>
      <family val="2"/>
      <scheme val="minor"/>
    </font>
    <font>
      <sz val="11"/>
      <color theme="1"/>
      <name val="Calibri"/>
      <family val="2"/>
    </font>
    <font>
      <sz val="16"/>
      <color theme="1"/>
      <name val="Calibri"/>
      <family val="2"/>
    </font>
    <font>
      <b/>
      <sz val="16"/>
      <color theme="1"/>
      <name val="Calibri"/>
      <family val="2"/>
    </font>
    <font>
      <sz val="18"/>
      <color theme="1"/>
      <name val="Calibri"/>
      <family val="2"/>
    </font>
    <font>
      <sz val="18"/>
      <color theme="0"/>
      <name val="Calibri"/>
      <family val="2"/>
    </font>
    <font>
      <b/>
      <sz val="18"/>
      <color theme="0"/>
      <name val="Calibri"/>
      <family val="2"/>
    </font>
    <font>
      <b/>
      <i/>
      <sz val="14"/>
      <color theme="0"/>
      <name val="Calibri"/>
      <family val="2"/>
    </font>
    <font>
      <b/>
      <sz val="14"/>
      <color theme="1"/>
      <name val="Calibri"/>
      <family val="2"/>
    </font>
    <font>
      <b/>
      <sz val="36"/>
      <color rgb="FFFF8700"/>
      <name val="Calibri"/>
      <family val="2"/>
    </font>
    <font>
      <b/>
      <i/>
      <sz val="14"/>
      <color theme="1"/>
      <name val="Calibri"/>
      <family val="2"/>
    </font>
    <font>
      <b/>
      <sz val="24"/>
      <color theme="1"/>
      <name val="Calibri"/>
      <family val="2"/>
    </font>
    <font>
      <b/>
      <sz val="16"/>
      <color rgb="FFFF8700"/>
      <name val="Calibri"/>
      <family val="2"/>
    </font>
    <font>
      <b/>
      <sz val="11"/>
      <color theme="1"/>
      <name val="Calibri"/>
      <family val="2"/>
    </font>
    <font>
      <b/>
      <sz val="11"/>
      <color theme="0"/>
      <name val="Calibri"/>
      <family val="2"/>
    </font>
    <font>
      <b/>
      <u/>
      <sz val="11"/>
      <color theme="0"/>
      <name val="Calibri"/>
      <family val="2"/>
    </font>
    <font>
      <b/>
      <i/>
      <u/>
      <sz val="11"/>
      <color theme="0"/>
      <name val="Calibri"/>
      <family val="2"/>
    </font>
    <font>
      <sz val="11"/>
      <name val="Calibri"/>
      <family val="2"/>
    </font>
    <font>
      <b/>
      <sz val="11"/>
      <name val="Calibri"/>
      <family val="2"/>
    </font>
    <font>
      <i/>
      <sz val="11"/>
      <name val="Calibri"/>
      <family val="2"/>
    </font>
    <font>
      <sz val="11"/>
      <color theme="0"/>
      <name val="Calibri"/>
      <family val="2"/>
    </font>
    <font>
      <sz val="11"/>
      <color rgb="FFFF0000"/>
      <name val="Calibri"/>
      <family val="2"/>
    </font>
    <font>
      <i/>
      <sz val="11"/>
      <color theme="1"/>
      <name val="Calibri"/>
      <family val="2"/>
    </font>
    <font>
      <sz val="14"/>
      <color theme="1"/>
      <name val="Calibri"/>
      <family val="2"/>
    </font>
    <font>
      <b/>
      <sz val="12"/>
      <color theme="1"/>
      <name val="Calibri"/>
      <family val="2"/>
    </font>
    <font>
      <sz val="12"/>
      <color theme="1"/>
      <name val="Calibri"/>
      <family val="2"/>
    </font>
    <font>
      <b/>
      <sz val="12"/>
      <color rgb="FFFE7800"/>
      <name val="Calibri"/>
      <family val="2"/>
    </font>
    <font>
      <b/>
      <sz val="12"/>
      <color theme="0" tint="-0.499984740745262"/>
      <name val="Calibri"/>
      <family val="2"/>
    </font>
    <font>
      <b/>
      <sz val="12"/>
      <color rgb="FF808080"/>
      <name val="Calibri"/>
      <family val="2"/>
    </font>
    <font>
      <b/>
      <i/>
      <sz val="12"/>
      <color rgb="FF808080"/>
      <name val="Calibri"/>
      <family val="2"/>
    </font>
    <font>
      <b/>
      <u/>
      <sz val="12"/>
      <color theme="1"/>
      <name val="Calibri"/>
      <family val="2"/>
    </font>
    <font>
      <b/>
      <i/>
      <sz val="10"/>
      <color rgb="FF808080"/>
      <name val="Calibri"/>
      <family val="2"/>
    </font>
    <font>
      <b/>
      <sz val="11"/>
      <color theme="1"/>
      <name val="Calibri"/>
      <family val="2"/>
      <scheme val="minor"/>
    </font>
    <font>
      <sz val="11"/>
      <color rgb="FF000000"/>
      <name val="Calibri"/>
      <family val="2"/>
      <scheme val="minor"/>
    </font>
    <font>
      <b/>
      <sz val="9"/>
      <color theme="0" tint="-0.499984740745262"/>
      <name val="Calibri"/>
      <family val="2"/>
    </font>
    <font>
      <b/>
      <sz val="10"/>
      <color theme="0"/>
      <name val="Calibri"/>
      <family val="2"/>
    </font>
    <font>
      <b/>
      <sz val="10"/>
      <color theme="1"/>
      <name val="Calibri"/>
      <family val="2"/>
    </font>
    <font>
      <sz val="10"/>
      <name val="Calibri"/>
      <family val="2"/>
    </font>
    <font>
      <b/>
      <sz val="8"/>
      <color theme="1"/>
      <name val="Calibri"/>
      <family val="2"/>
    </font>
    <font>
      <b/>
      <i/>
      <sz val="12"/>
      <color theme="0" tint="-0.499984740745262"/>
      <name val="Calibri"/>
      <family val="2"/>
    </font>
    <font>
      <b/>
      <sz val="12"/>
      <color rgb="FFEB7100"/>
      <name val="Calibri"/>
      <family val="2"/>
    </font>
    <font>
      <b/>
      <sz val="20"/>
      <color rgb="FFEB7100"/>
      <name val="Calibri"/>
      <family val="2"/>
    </font>
    <font>
      <b/>
      <sz val="14"/>
      <color rgb="FFEB7100"/>
      <name val="Calibri"/>
      <family val="2"/>
    </font>
    <font>
      <sz val="11"/>
      <name val="Calibri"/>
      <family val="2"/>
      <scheme val="minor"/>
    </font>
    <font>
      <b/>
      <i/>
      <sz val="11"/>
      <name val="Calibri"/>
      <family val="2"/>
    </font>
    <font>
      <sz val="14"/>
      <color rgb="FF72350C"/>
      <name val="Calibri"/>
      <family val="2"/>
    </font>
    <font>
      <u/>
      <sz val="11"/>
      <color theme="1"/>
      <name val="Calibri (Body)"/>
    </font>
    <font>
      <sz val="11"/>
      <color theme="1"/>
      <name val="Calibri (Body)"/>
    </font>
    <font>
      <i/>
      <sz val="11"/>
      <color theme="1"/>
      <name val="Calibri (Body)"/>
    </font>
    <font>
      <b/>
      <sz val="11"/>
      <name val="Calibri"/>
      <family val="2"/>
      <scheme val="minor"/>
    </font>
    <font>
      <u/>
      <sz val="14"/>
      <color rgb="FF72350C"/>
      <name val="Calibri"/>
      <family val="2"/>
    </font>
    <font>
      <u/>
      <sz val="16"/>
      <color theme="10"/>
      <name val="Calibri"/>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DE4D6"/>
        <bgColor indexed="64"/>
      </patternFill>
    </fill>
    <fill>
      <patternFill patternType="solid">
        <fgColor rgb="FFFFE9D0"/>
        <bgColor indexed="64"/>
      </patternFill>
    </fill>
    <fill>
      <patternFill patternType="solid">
        <fgColor rgb="FFFFF2E6"/>
        <bgColor indexed="64"/>
      </patternFill>
    </fill>
    <fill>
      <patternFill patternType="solid">
        <fgColor rgb="FFFFFF00"/>
        <bgColor indexed="64"/>
      </patternFill>
    </fill>
    <fill>
      <patternFill patternType="solid">
        <fgColor theme="7" tint="0.79998168889431442"/>
        <bgColor indexed="64"/>
      </patternFill>
    </fill>
  </fills>
  <borders count="27">
    <border>
      <left/>
      <right/>
      <top/>
      <bottom/>
      <diagonal/>
    </border>
    <border>
      <left/>
      <right/>
      <top/>
      <bottom style="thin">
        <color rgb="FFFF8700"/>
      </bottom>
      <diagonal/>
    </border>
    <border>
      <left/>
      <right/>
      <top/>
      <bottom style="medium">
        <color rgb="FFF65E01"/>
      </bottom>
      <diagonal/>
    </border>
    <border>
      <left/>
      <right/>
      <top style="thin">
        <color rgb="FFFB7800"/>
      </top>
      <bottom/>
      <diagonal/>
    </border>
    <border>
      <left/>
      <right/>
      <top style="thin">
        <color rgb="FFFF8700"/>
      </top>
      <bottom/>
      <diagonal/>
    </border>
    <border>
      <left/>
      <right/>
      <top/>
      <bottom style="thin">
        <color rgb="FFFE7800"/>
      </bottom>
      <diagonal/>
    </border>
    <border>
      <left/>
      <right/>
      <top style="thin">
        <color rgb="FFFE7800"/>
      </top>
      <bottom/>
      <diagonal/>
    </border>
    <border>
      <left/>
      <right/>
      <top/>
      <bottom style="thin">
        <color auto="1"/>
      </bottom>
      <diagonal/>
    </border>
    <border>
      <left/>
      <right/>
      <top/>
      <bottom style="thin">
        <color rgb="FFEB7100"/>
      </bottom>
      <diagonal/>
    </border>
    <border>
      <left/>
      <right/>
      <top style="thin">
        <color rgb="FFEB7100"/>
      </top>
      <bottom/>
      <diagonal/>
    </border>
    <border>
      <left/>
      <right/>
      <top style="thin">
        <color rgb="FFEC7100"/>
      </top>
      <bottom/>
      <diagonal/>
    </border>
    <border>
      <left style="medium">
        <color rgb="FFEC7100"/>
      </left>
      <right/>
      <top style="medium">
        <color rgb="FFEC7100"/>
      </top>
      <bottom/>
      <diagonal/>
    </border>
    <border>
      <left/>
      <right/>
      <top style="medium">
        <color rgb="FFEC7100"/>
      </top>
      <bottom/>
      <diagonal/>
    </border>
    <border>
      <left/>
      <right style="medium">
        <color rgb="FFEC7100"/>
      </right>
      <top style="medium">
        <color rgb="FFEC7100"/>
      </top>
      <bottom/>
      <diagonal/>
    </border>
    <border>
      <left style="medium">
        <color rgb="FFEC7100"/>
      </left>
      <right/>
      <top/>
      <bottom/>
      <diagonal/>
    </border>
    <border>
      <left/>
      <right style="medium">
        <color rgb="FFEC7100"/>
      </right>
      <top/>
      <bottom/>
      <diagonal/>
    </border>
    <border>
      <left style="medium">
        <color rgb="FFEC7100"/>
      </left>
      <right/>
      <top/>
      <bottom style="medium">
        <color rgb="FFEC7100"/>
      </bottom>
      <diagonal/>
    </border>
    <border>
      <left/>
      <right/>
      <top/>
      <bottom style="medium">
        <color rgb="FFEC7100"/>
      </bottom>
      <diagonal/>
    </border>
    <border>
      <left/>
      <right style="medium">
        <color rgb="FFEC7100"/>
      </right>
      <top/>
      <bottom style="medium">
        <color rgb="FFEC7100"/>
      </bottom>
      <diagonal/>
    </border>
    <border>
      <left/>
      <right/>
      <top/>
      <bottom style="thin">
        <color rgb="FFEC7100"/>
      </bottom>
      <diagonal/>
    </border>
    <border>
      <left style="thin">
        <color indexed="64"/>
      </left>
      <right style="thin">
        <color indexed="64"/>
      </right>
      <top style="thin">
        <color indexed="64"/>
      </top>
      <bottom style="thin">
        <color indexed="64"/>
      </bottom>
      <diagonal/>
    </border>
    <border>
      <left style="thin">
        <color rgb="FFEC7100"/>
      </left>
      <right/>
      <top style="thin">
        <color rgb="FFEC7100"/>
      </top>
      <bottom/>
      <diagonal/>
    </border>
    <border>
      <left/>
      <right style="thin">
        <color rgb="FFEC7100"/>
      </right>
      <top style="thin">
        <color rgb="FFEC7100"/>
      </top>
      <bottom/>
      <diagonal/>
    </border>
    <border>
      <left style="thin">
        <color rgb="FFEC7100"/>
      </left>
      <right/>
      <top/>
      <bottom/>
      <diagonal/>
    </border>
    <border>
      <left/>
      <right style="thin">
        <color rgb="FFEC7100"/>
      </right>
      <top/>
      <bottom/>
      <diagonal/>
    </border>
    <border>
      <left style="thin">
        <color rgb="FFEC7100"/>
      </left>
      <right/>
      <top/>
      <bottom style="thin">
        <color rgb="FFEC7100"/>
      </bottom>
      <diagonal/>
    </border>
    <border>
      <left/>
      <right style="thin">
        <color rgb="FFEC7100"/>
      </right>
      <top/>
      <bottom style="thin">
        <color rgb="FFEC7100"/>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43" fontId="2" fillId="0" borderId="0" applyFont="0" applyFill="0" applyBorder="0" applyAlignment="0" applyProtection="0"/>
    <xf numFmtId="0" fontId="5" fillId="0" borderId="2" applyFont="0" applyFill="0" applyAlignment="0">
      <alignment vertical="center"/>
    </xf>
    <xf numFmtId="0" fontId="4" fillId="0" borderId="0"/>
    <xf numFmtId="0" fontId="1" fillId="0" borderId="0"/>
    <xf numFmtId="0" fontId="7" fillId="0" borderId="0" applyNumberFormat="0" applyFill="0" applyBorder="0" applyAlignment="0" applyProtection="0"/>
  </cellStyleXfs>
  <cellXfs count="753">
    <xf numFmtId="0" fontId="0" fillId="0" borderId="0" xfId="0"/>
    <xf numFmtId="0" fontId="2" fillId="0" borderId="0" xfId="0" applyFont="1" applyAlignment="1">
      <alignment vertical="center"/>
    </xf>
    <xf numFmtId="0" fontId="0" fillId="0" borderId="0" xfId="0" applyProtection="1">
      <protection hidden="1"/>
    </xf>
    <xf numFmtId="165" fontId="26" fillId="0" borderId="0" xfId="1" applyNumberFormat="1" applyFont="1" applyFill="1" applyBorder="1" applyAlignment="1" applyProtection="1">
      <alignment horizontal="left" vertical="center" wrapText="1"/>
      <protection locked="0" hidden="1"/>
    </xf>
    <xf numFmtId="165" fontId="9" fillId="0" borderId="0" xfId="1" applyNumberFormat="1" applyFont="1" applyFill="1" applyBorder="1" applyAlignment="1" applyProtection="1">
      <alignment vertical="center" wrapText="1"/>
      <protection locked="0" hidden="1"/>
    </xf>
    <xf numFmtId="165" fontId="26" fillId="0" borderId="1" xfId="1" applyNumberFormat="1" applyFont="1" applyFill="1" applyBorder="1" applyAlignment="1" applyProtection="1">
      <alignment horizontal="left" vertical="center" wrapText="1"/>
      <protection locked="0" hidden="1"/>
    </xf>
    <xf numFmtId="165" fontId="26" fillId="0" borderId="4" xfId="1" applyNumberFormat="1" applyFont="1" applyFill="1" applyBorder="1" applyAlignment="1" applyProtection="1">
      <alignment horizontal="left" vertical="center" wrapText="1"/>
      <protection locked="0" hidden="1"/>
    </xf>
    <xf numFmtId="165" fontId="26" fillId="0" borderId="1" xfId="1" applyNumberFormat="1" applyFont="1" applyFill="1" applyBorder="1" applyAlignment="1" applyProtection="1">
      <alignment vertical="center" wrapText="1"/>
      <protection locked="0" hidden="1"/>
    </xf>
    <xf numFmtId="0" fontId="9" fillId="3" borderId="0" xfId="0" applyFont="1" applyFill="1" applyProtection="1">
      <protection locked="0" hidden="1"/>
    </xf>
    <xf numFmtId="0" fontId="21" fillId="0" borderId="0" xfId="0" applyFont="1" applyAlignment="1" applyProtection="1">
      <alignment vertical="center"/>
      <protection locked="0" hidden="1"/>
    </xf>
    <xf numFmtId="0" fontId="22" fillId="0" borderId="0" xfId="0" applyFont="1" applyAlignment="1" applyProtection="1">
      <alignment vertical="center"/>
      <protection locked="0" hidden="1"/>
    </xf>
    <xf numFmtId="165" fontId="22" fillId="0" borderId="0" xfId="1" applyNumberFormat="1" applyFont="1" applyFill="1" applyBorder="1" applyAlignment="1" applyProtection="1">
      <alignment horizontal="right" vertical="center"/>
      <protection locked="0" hidden="1"/>
    </xf>
    <xf numFmtId="0" fontId="23" fillId="0" borderId="0" xfId="11" applyFont="1" applyFill="1" applyBorder="1" applyAlignment="1" applyProtection="1">
      <alignment horizontal="left" vertical="center"/>
      <protection locked="0" hidden="1"/>
    </xf>
    <xf numFmtId="0" fontId="24" fillId="0" borderId="0" xfId="0" applyFont="1" applyAlignment="1" applyProtection="1">
      <alignment vertical="center"/>
      <protection locked="0" hidden="1"/>
    </xf>
    <xf numFmtId="0" fontId="21" fillId="0" borderId="0" xfId="0" applyFont="1" applyAlignment="1" applyProtection="1">
      <alignment horizontal="left" vertical="center"/>
      <protection locked="0" hidden="1"/>
    </xf>
    <xf numFmtId="0" fontId="9" fillId="0" borderId="0" xfId="0" applyFont="1" applyAlignment="1" applyProtection="1">
      <alignment vertical="center"/>
      <protection locked="0" hidden="1"/>
    </xf>
    <xf numFmtId="0" fontId="25" fillId="0" borderId="0" xfId="0" applyFont="1" applyAlignment="1" applyProtection="1">
      <alignment horizontal="left" vertical="center" indent="1"/>
      <protection locked="0" hidden="1"/>
    </xf>
    <xf numFmtId="0" fontId="27" fillId="0" borderId="0" xfId="0" applyFont="1" applyAlignment="1" applyProtection="1">
      <alignment horizontal="left" vertical="center" indent="4"/>
      <protection locked="0" hidden="1"/>
    </xf>
    <xf numFmtId="0" fontId="9" fillId="0" borderId="0" xfId="0" applyFont="1" applyAlignment="1" applyProtection="1">
      <alignment horizontal="left" vertical="center"/>
      <protection locked="0" hidden="1"/>
    </xf>
    <xf numFmtId="0" fontId="34" fillId="0" borderId="0" xfId="0" applyFont="1" applyAlignment="1" applyProtection="1">
      <alignment horizontal="left" vertical="center"/>
      <protection locked="0" hidden="1"/>
    </xf>
    <xf numFmtId="1" fontId="35" fillId="0" borderId="0" xfId="1" applyNumberFormat="1" applyFont="1" applyFill="1" applyBorder="1" applyAlignment="1" applyProtection="1">
      <alignment horizontal="center" vertical="center"/>
      <protection locked="0" hidden="1"/>
    </xf>
    <xf numFmtId="165" fontId="35" fillId="0" borderId="0" xfId="1" applyNumberFormat="1" applyFont="1" applyFill="1" applyBorder="1" applyAlignment="1" applyProtection="1">
      <alignment horizontal="center" vertical="center"/>
      <protection locked="0" hidden="1"/>
    </xf>
    <xf numFmtId="0" fontId="25" fillId="3" borderId="0" xfId="0" applyFont="1" applyFill="1" applyAlignment="1" applyProtection="1">
      <alignment horizontal="left" vertical="center" indent="1"/>
      <protection locked="0" hidden="1"/>
    </xf>
    <xf numFmtId="0" fontId="27" fillId="3" borderId="0" xfId="0" applyFont="1" applyFill="1" applyAlignment="1" applyProtection="1">
      <alignment horizontal="left" vertical="center" indent="4"/>
      <protection locked="0" hidden="1"/>
    </xf>
    <xf numFmtId="165" fontId="26" fillId="3" borderId="0" xfId="1" applyNumberFormat="1" applyFont="1" applyFill="1" applyBorder="1" applyAlignment="1" applyProtection="1">
      <alignment horizontal="left" vertical="center" wrapText="1"/>
      <protection locked="0" hidden="1"/>
    </xf>
    <xf numFmtId="0" fontId="9" fillId="0" borderId="0" xfId="0" applyFont="1" applyProtection="1">
      <protection locked="0" hidden="1"/>
    </xf>
    <xf numFmtId="0" fontId="21" fillId="0" borderId="0" xfId="0" applyFont="1" applyProtection="1">
      <protection locked="0" hidden="1"/>
    </xf>
    <xf numFmtId="0" fontId="9" fillId="0" borderId="0" xfId="0" applyFont="1" applyAlignment="1" applyProtection="1">
      <alignment horizontal="left" indent="1"/>
      <protection locked="0" hidden="1"/>
    </xf>
    <xf numFmtId="175" fontId="32" fillId="0" borderId="0" xfId="1" applyNumberFormat="1" applyFont="1" applyFill="1" applyBorder="1" applyAlignment="1" applyProtection="1">
      <alignment horizontal="right" vertical="center"/>
      <protection locked="0" hidden="1"/>
    </xf>
    <xf numFmtId="175" fontId="33" fillId="0" borderId="0" xfId="1" applyNumberFormat="1" applyFont="1" applyFill="1" applyBorder="1" applyAlignment="1" applyProtection="1">
      <alignment horizontal="right" vertical="center"/>
      <protection locked="0" hidden="1"/>
    </xf>
    <xf numFmtId="168" fontId="33" fillId="0" borderId="0" xfId="2" applyNumberFormat="1" applyFont="1" applyFill="1" applyBorder="1" applyAlignment="1" applyProtection="1">
      <alignment horizontal="center" vertical="center" wrapText="1"/>
      <protection locked="0" hidden="1"/>
    </xf>
    <xf numFmtId="0" fontId="21" fillId="3" borderId="0" xfId="0" applyFont="1" applyFill="1" applyAlignment="1" applyProtection="1">
      <alignment vertical="center"/>
      <protection locked="0" hidden="1"/>
    </xf>
    <xf numFmtId="175" fontId="32" fillId="0" borderId="6" xfId="1" applyNumberFormat="1" applyFont="1" applyFill="1" applyBorder="1" applyAlignment="1" applyProtection="1">
      <alignment horizontal="right" vertical="center"/>
      <protection locked="0" hidden="1"/>
    </xf>
    <xf numFmtId="172" fontId="32" fillId="3" borderId="0" xfId="1" applyNumberFormat="1" applyFont="1" applyFill="1" applyBorder="1" applyAlignment="1" applyProtection="1">
      <alignment horizontal="right" vertical="center"/>
      <protection locked="0" hidden="1"/>
    </xf>
    <xf numFmtId="175" fontId="32" fillId="3" borderId="6" xfId="1" applyNumberFormat="1" applyFont="1" applyFill="1" applyBorder="1" applyAlignment="1" applyProtection="1">
      <alignment horizontal="right" vertical="center"/>
      <protection locked="0" hidden="1"/>
    </xf>
    <xf numFmtId="0" fontId="32" fillId="0" borderId="6" xfId="0" applyFont="1" applyBorder="1" applyAlignment="1" applyProtection="1">
      <alignment horizontal="left" vertical="center"/>
      <protection locked="0" hidden="1"/>
    </xf>
    <xf numFmtId="0" fontId="32" fillId="3" borderId="6" xfId="0" applyFont="1" applyFill="1" applyBorder="1" applyAlignment="1" applyProtection="1">
      <alignment horizontal="left" vertical="center"/>
      <protection locked="0" hidden="1"/>
    </xf>
    <xf numFmtId="0" fontId="33" fillId="3" borderId="0" xfId="0" applyFont="1" applyFill="1" applyAlignment="1" applyProtection="1">
      <alignment vertical="center"/>
      <protection locked="0" hidden="1"/>
    </xf>
    <xf numFmtId="0" fontId="31" fillId="3" borderId="0" xfId="0" applyFont="1" applyFill="1" applyAlignment="1" applyProtection="1">
      <alignment vertical="center"/>
      <protection locked="0" hidden="1"/>
    </xf>
    <xf numFmtId="0" fontId="33" fillId="3" borderId="0" xfId="0" applyFont="1" applyFill="1" applyAlignment="1" applyProtection="1">
      <alignment horizontal="center" vertical="center"/>
      <protection locked="0" hidden="1"/>
    </xf>
    <xf numFmtId="164" fontId="33" fillId="3" borderId="0" xfId="0" applyNumberFormat="1" applyFont="1" applyFill="1" applyAlignment="1" applyProtection="1">
      <alignment vertical="center"/>
      <protection locked="0" hidden="1"/>
    </xf>
    <xf numFmtId="0" fontId="33" fillId="3" borderId="0" xfId="0" applyFont="1" applyFill="1" applyAlignment="1" applyProtection="1">
      <alignment horizontal="center" vertical="center" wrapText="1"/>
      <protection locked="0" hidden="1"/>
    </xf>
    <xf numFmtId="0" fontId="38" fillId="3" borderId="0" xfId="0" applyFont="1" applyFill="1" applyAlignment="1" applyProtection="1">
      <alignment vertical="center"/>
      <protection locked="0" hidden="1"/>
    </xf>
    <xf numFmtId="0" fontId="32" fillId="3" borderId="0" xfId="0" applyFont="1" applyFill="1" applyAlignment="1" applyProtection="1">
      <alignment horizontal="center" vertical="center"/>
      <protection locked="0" hidden="1"/>
    </xf>
    <xf numFmtId="168" fontId="9" fillId="0" borderId="0" xfId="2" applyNumberFormat="1" applyFont="1" applyFill="1" applyBorder="1" applyAlignment="1" applyProtection="1">
      <alignment horizontal="center" vertical="center"/>
      <protection locked="0" hidden="1"/>
    </xf>
    <xf numFmtId="168" fontId="32" fillId="5" borderId="0" xfId="2" applyNumberFormat="1" applyFont="1" applyFill="1" applyBorder="1" applyAlignment="1" applyProtection="1">
      <alignment horizontal="center" vertical="center" wrapText="1"/>
      <protection locked="0" hidden="1"/>
    </xf>
    <xf numFmtId="9" fontId="33" fillId="3" borderId="0" xfId="2" applyFont="1" applyFill="1" applyBorder="1" applyAlignment="1" applyProtection="1">
      <alignment vertical="center"/>
      <protection locked="0" hidden="1"/>
    </xf>
    <xf numFmtId="0" fontId="22" fillId="0" borderId="0" xfId="0" applyFont="1" applyAlignment="1" applyProtection="1">
      <alignment horizontal="left" vertical="center"/>
      <protection locked="0" hidden="1"/>
    </xf>
    <xf numFmtId="0" fontId="9" fillId="0" borderId="0" xfId="0" applyFont="1" applyAlignment="1" applyProtection="1">
      <alignment horizontal="right"/>
      <protection locked="0" hidden="1"/>
    </xf>
    <xf numFmtId="0" fontId="25" fillId="0" borderId="0" xfId="0" applyFont="1" applyAlignment="1" applyProtection="1">
      <alignment horizontal="left" vertical="center" indent="3"/>
      <protection locked="0" hidden="1"/>
    </xf>
    <xf numFmtId="0" fontId="26" fillId="0" borderId="0" xfId="0" applyFont="1" applyAlignment="1" applyProtection="1">
      <alignment vertical="center"/>
      <protection locked="0" hidden="1"/>
    </xf>
    <xf numFmtId="0" fontId="25" fillId="0" borderId="0" xfId="0" applyFont="1" applyAlignment="1" applyProtection="1">
      <alignment horizontal="left" indent="1"/>
      <protection locked="0" hidden="1"/>
    </xf>
    <xf numFmtId="0" fontId="26" fillId="3" borderId="0" xfId="0" applyFont="1" applyFill="1" applyAlignment="1" applyProtection="1">
      <alignment vertical="center"/>
      <protection locked="0" hidden="1"/>
    </xf>
    <xf numFmtId="0" fontId="25" fillId="3" borderId="0" xfId="0" applyFont="1" applyFill="1" applyAlignment="1" applyProtection="1">
      <alignment horizontal="left" indent="1"/>
      <protection locked="0" hidden="1"/>
    </xf>
    <xf numFmtId="0" fontId="27" fillId="0" borderId="0" xfId="0" applyFont="1" applyAlignment="1" applyProtection="1">
      <alignment horizontal="left" indent="3"/>
      <protection locked="0" hidden="1"/>
    </xf>
    <xf numFmtId="0" fontId="27" fillId="0" borderId="0" xfId="0" applyFont="1" applyAlignment="1" applyProtection="1">
      <alignment horizontal="left" indent="4"/>
      <protection locked="0" hidden="1"/>
    </xf>
    <xf numFmtId="0" fontId="25" fillId="0" borderId="0" xfId="0" applyFont="1" applyAlignment="1" applyProtection="1">
      <alignment horizontal="left" vertical="center" wrapText="1" indent="1"/>
      <protection locked="0" hidden="1"/>
    </xf>
    <xf numFmtId="0" fontId="27" fillId="0" borderId="0" xfId="0" applyFont="1" applyAlignment="1" applyProtection="1">
      <alignment horizontal="left" vertical="center" indent="5"/>
      <protection locked="0" hidden="1"/>
    </xf>
    <xf numFmtId="165" fontId="34" fillId="0" borderId="0" xfId="1" applyNumberFormat="1" applyFont="1" applyFill="1" applyBorder="1" applyAlignment="1" applyProtection="1">
      <alignment horizontal="center" vertical="center"/>
      <protection locked="0" hidden="1"/>
    </xf>
    <xf numFmtId="0" fontId="27" fillId="3" borderId="0" xfId="0" applyFont="1" applyFill="1" applyAlignment="1" applyProtection="1">
      <alignment horizontal="left" indent="3"/>
      <protection locked="0" hidden="1"/>
    </xf>
    <xf numFmtId="0" fontId="27" fillId="3" borderId="0" xfId="0" applyFont="1" applyFill="1" applyAlignment="1" applyProtection="1">
      <alignment horizontal="left" indent="4"/>
      <protection locked="0" hidden="1"/>
    </xf>
    <xf numFmtId="0" fontId="25" fillId="3" borderId="0" xfId="0" applyFont="1" applyFill="1" applyAlignment="1" applyProtection="1">
      <alignment horizontal="left" vertical="center" wrapText="1" indent="1"/>
      <protection locked="0" hidden="1"/>
    </xf>
    <xf numFmtId="0" fontId="30" fillId="0" borderId="0" xfId="0" applyFont="1" applyAlignment="1" applyProtection="1">
      <alignment horizontal="left" vertical="center" wrapText="1" indent="5"/>
      <protection locked="0" hidden="1"/>
    </xf>
    <xf numFmtId="0" fontId="9" fillId="0" borderId="0" xfId="0" applyFont="1" applyAlignment="1" applyProtection="1">
      <alignment horizontal="left" vertical="center" wrapText="1" indent="1"/>
      <protection locked="0" hidden="1"/>
    </xf>
    <xf numFmtId="0" fontId="30" fillId="0" borderId="0" xfId="0" applyFont="1" applyAlignment="1" applyProtection="1">
      <alignment horizontal="left" vertical="center" wrapText="1" indent="4"/>
      <protection locked="0" hidden="1"/>
    </xf>
    <xf numFmtId="0" fontId="30" fillId="0" borderId="0" xfId="0" applyFont="1" applyAlignment="1" applyProtection="1">
      <alignment horizontal="left" indent="5"/>
      <protection locked="0" hidden="1"/>
    </xf>
    <xf numFmtId="0" fontId="30" fillId="0" borderId="0" xfId="0" applyFont="1" applyAlignment="1" applyProtection="1">
      <alignment horizontal="left" indent="7"/>
      <protection locked="0" hidden="1"/>
    </xf>
    <xf numFmtId="0" fontId="30" fillId="3" borderId="0" xfId="0" applyFont="1" applyFill="1" applyAlignment="1" applyProtection="1">
      <alignment horizontal="left" vertical="center" wrapText="1" indent="5"/>
      <protection locked="0" hidden="1"/>
    </xf>
    <xf numFmtId="0" fontId="30" fillId="3" borderId="0" xfId="0" applyFont="1" applyFill="1" applyAlignment="1" applyProtection="1">
      <alignment horizontal="left" vertical="center" wrapText="1" indent="4"/>
      <protection locked="0" hidden="1"/>
    </xf>
    <xf numFmtId="0" fontId="9" fillId="3" borderId="0" xfId="0" applyFont="1" applyFill="1" applyAlignment="1" applyProtection="1">
      <alignment horizontal="left" vertical="center" wrapText="1" indent="1"/>
      <protection locked="0" hidden="1"/>
    </xf>
    <xf numFmtId="0" fontId="9" fillId="0" borderId="0" xfId="0" applyFont="1" applyAlignment="1" applyProtection="1">
      <alignment horizontal="left" vertical="center" wrapText="1"/>
      <protection locked="0" hidden="1"/>
    </xf>
    <xf numFmtId="0" fontId="26" fillId="0" borderId="0" xfId="0" applyFont="1" applyAlignment="1" applyProtection="1">
      <alignment horizontal="left" indent="1"/>
      <protection locked="0" hidden="1"/>
    </xf>
    <xf numFmtId="0" fontId="25" fillId="0" borderId="0" xfId="0" applyFont="1" applyAlignment="1" applyProtection="1">
      <alignment horizontal="left" indent="4"/>
      <protection locked="0" hidden="1"/>
    </xf>
    <xf numFmtId="0" fontId="21" fillId="0" borderId="0" xfId="0" applyFont="1" applyAlignment="1" applyProtection="1">
      <alignment horizontal="left" vertical="center" wrapText="1" indent="2"/>
      <protection locked="0" hidden="1"/>
    </xf>
    <xf numFmtId="165" fontId="25" fillId="3" borderId="0" xfId="1" applyNumberFormat="1" applyFont="1" applyFill="1" applyBorder="1" applyAlignment="1" applyProtection="1">
      <alignment horizontal="left" vertical="center" wrapText="1"/>
      <protection locked="0" hidden="1"/>
    </xf>
    <xf numFmtId="0" fontId="30" fillId="0" borderId="0" xfId="0" applyFont="1" applyAlignment="1" applyProtection="1">
      <alignment horizontal="left" indent="4"/>
      <protection locked="0" hidden="1"/>
    </xf>
    <xf numFmtId="0" fontId="27" fillId="3" borderId="0" xfId="0" applyFont="1" applyFill="1" applyAlignment="1" applyProtection="1">
      <alignment horizontal="left" vertical="center" wrapText="1" indent="3"/>
      <protection locked="0" hidden="1"/>
    </xf>
    <xf numFmtId="0" fontId="27" fillId="0" borderId="0" xfId="0" applyFont="1" applyAlignment="1" applyProtection="1">
      <alignment horizontal="left" vertical="center" wrapText="1" indent="3"/>
      <protection locked="0" hidden="1"/>
    </xf>
    <xf numFmtId="0" fontId="9" fillId="3" borderId="0" xfId="0" applyFont="1" applyFill="1" applyAlignment="1" applyProtection="1">
      <alignment horizontal="left" indent="1"/>
      <protection locked="0" hidden="1"/>
    </xf>
    <xf numFmtId="0" fontId="30" fillId="3" borderId="0" xfId="0" applyFont="1" applyFill="1" applyAlignment="1" applyProtection="1">
      <alignment horizontal="left" indent="4"/>
      <protection locked="0" hidden="1"/>
    </xf>
    <xf numFmtId="165" fontId="26" fillId="4" borderId="4" xfId="1" applyNumberFormat="1" applyFont="1" applyFill="1" applyBorder="1" applyAlignment="1" applyProtection="1">
      <alignment horizontal="left" vertical="center" wrapText="1"/>
      <protection locked="0" hidden="1"/>
    </xf>
    <xf numFmtId="165" fontId="25" fillId="4" borderId="0" xfId="1" applyNumberFormat="1" applyFont="1" applyFill="1" applyBorder="1" applyAlignment="1" applyProtection="1">
      <alignment horizontal="left" vertical="center" wrapText="1"/>
      <protection locked="0" hidden="1"/>
    </xf>
    <xf numFmtId="0" fontId="30" fillId="4" borderId="0" xfId="0" applyFont="1" applyFill="1" applyAlignment="1" applyProtection="1">
      <alignment horizontal="left" vertical="center" wrapText="1" indent="5"/>
      <protection locked="0" hidden="1"/>
    </xf>
    <xf numFmtId="175" fontId="33" fillId="0" borderId="6" xfId="1" applyNumberFormat="1" applyFont="1" applyFill="1" applyBorder="1" applyAlignment="1" applyProtection="1">
      <alignment horizontal="right" vertical="center"/>
      <protection locked="0" hidden="1"/>
    </xf>
    <xf numFmtId="9" fontId="33" fillId="3" borderId="0" xfId="2" applyFont="1" applyFill="1" applyAlignment="1" applyProtection="1">
      <alignment vertical="center"/>
      <protection locked="0" hidden="1"/>
    </xf>
    <xf numFmtId="175" fontId="31" fillId="7" borderId="0" xfId="1" applyNumberFormat="1" applyFont="1" applyFill="1" applyBorder="1" applyAlignment="1" applyProtection="1">
      <alignment horizontal="right" vertical="center"/>
      <protection locked="0" hidden="1"/>
    </xf>
    <xf numFmtId="175" fontId="16" fillId="7" borderId="6" xfId="1" applyNumberFormat="1" applyFont="1" applyFill="1" applyBorder="1" applyAlignment="1" applyProtection="1">
      <alignment horizontal="right" vertical="center"/>
      <protection locked="0" hidden="1"/>
    </xf>
    <xf numFmtId="175" fontId="33" fillId="4" borderId="0" xfId="1" applyNumberFormat="1" applyFont="1" applyFill="1" applyBorder="1" applyAlignment="1" applyProtection="1">
      <alignment horizontal="right" vertical="center"/>
      <protection locked="0" hidden="1"/>
    </xf>
    <xf numFmtId="0" fontId="17" fillId="3" borderId="0" xfId="0" applyFont="1" applyFill="1" applyAlignment="1" applyProtection="1">
      <alignment vertical="center"/>
      <protection locked="0" hidden="1"/>
    </xf>
    <xf numFmtId="0" fontId="9" fillId="3" borderId="0" xfId="0" applyFont="1" applyFill="1" applyAlignment="1" applyProtection="1">
      <alignment horizontal="center"/>
      <protection locked="0" hidden="1"/>
    </xf>
    <xf numFmtId="0" fontId="39" fillId="0" borderId="7" xfId="0" applyFont="1" applyBorder="1" applyAlignment="1" applyProtection="1">
      <alignment horizontal="center" vertical="center" wrapText="1"/>
      <protection locked="0" hidden="1"/>
    </xf>
    <xf numFmtId="168" fontId="32" fillId="3" borderId="0" xfId="2" applyNumberFormat="1" applyFont="1" applyFill="1" applyBorder="1" applyAlignment="1" applyProtection="1">
      <alignment horizontal="center" vertical="center"/>
      <protection locked="0" hidden="1"/>
    </xf>
    <xf numFmtId="168" fontId="32" fillId="6" borderId="0" xfId="2" applyNumberFormat="1" applyFont="1" applyFill="1" applyBorder="1" applyAlignment="1" applyProtection="1">
      <alignment horizontal="center" vertical="center"/>
      <protection locked="0" hidden="1"/>
    </xf>
    <xf numFmtId="179" fontId="32" fillId="0" borderId="6" xfId="1" applyNumberFormat="1" applyFont="1" applyFill="1" applyBorder="1" applyAlignment="1" applyProtection="1">
      <alignment horizontal="right" vertical="center"/>
      <protection locked="0" hidden="1"/>
    </xf>
    <xf numFmtId="179" fontId="32" fillId="3" borderId="6" xfId="1" applyNumberFormat="1" applyFont="1" applyFill="1" applyBorder="1" applyAlignment="1" applyProtection="1">
      <alignment horizontal="right" vertical="center"/>
      <protection locked="0" hidden="1"/>
    </xf>
    <xf numFmtId="168" fontId="21" fillId="3" borderId="0" xfId="2" applyNumberFormat="1" applyFont="1" applyFill="1" applyBorder="1" applyAlignment="1" applyProtection="1">
      <alignment horizontal="center" vertical="center"/>
      <protection locked="0" hidden="1"/>
    </xf>
    <xf numFmtId="179" fontId="32" fillId="0" borderId="0" xfId="1" applyNumberFormat="1" applyFont="1" applyFill="1" applyBorder="1" applyAlignment="1" applyProtection="1">
      <alignment horizontal="right" vertical="center"/>
      <protection locked="0" hidden="1"/>
    </xf>
    <xf numFmtId="179" fontId="33" fillId="4" borderId="0" xfId="1" applyNumberFormat="1" applyFont="1" applyFill="1" applyBorder="1" applyAlignment="1" applyProtection="1">
      <alignment horizontal="right" vertical="center"/>
      <protection locked="0" hidden="1"/>
    </xf>
    <xf numFmtId="179" fontId="33" fillId="0" borderId="0" xfId="1" applyNumberFormat="1" applyFont="1" applyFill="1" applyBorder="1" applyAlignment="1" applyProtection="1">
      <alignment horizontal="right" vertical="center"/>
      <protection locked="0" hidden="1"/>
    </xf>
    <xf numFmtId="0" fontId="27" fillId="3" borderId="0" xfId="0" applyFont="1" applyFill="1" applyAlignment="1" applyProtection="1">
      <alignment horizontal="left" vertical="center" indent="7"/>
      <protection locked="0" hidden="1"/>
    </xf>
    <xf numFmtId="0" fontId="27" fillId="3" borderId="0" xfId="0" applyFont="1" applyFill="1" applyAlignment="1" applyProtection="1">
      <alignment horizontal="left" vertical="center" indent="3"/>
      <protection locked="0" hidden="1"/>
    </xf>
    <xf numFmtId="165" fontId="9" fillId="3" borderId="0" xfId="1" applyNumberFormat="1" applyFont="1" applyFill="1" applyBorder="1" applyAlignment="1" applyProtection="1">
      <alignment horizontal="left" vertical="center" wrapText="1" indent="1"/>
      <protection locked="0" hidden="1"/>
    </xf>
    <xf numFmtId="165" fontId="9" fillId="0" borderId="0" xfId="1" applyNumberFormat="1" applyFont="1" applyFill="1" applyBorder="1" applyAlignment="1" applyProtection="1">
      <alignment horizontal="left" vertical="center" wrapText="1" indent="1"/>
      <protection locked="0" hidden="1"/>
    </xf>
    <xf numFmtId="165" fontId="30" fillId="3" borderId="0" xfId="1" applyNumberFormat="1" applyFont="1" applyFill="1" applyBorder="1" applyAlignment="1" applyProtection="1">
      <alignment horizontal="left" vertical="center" wrapText="1" indent="4"/>
      <protection locked="0" hidden="1"/>
    </xf>
    <xf numFmtId="1" fontId="42" fillId="0" borderId="0" xfId="1" applyNumberFormat="1" applyFont="1" applyFill="1" applyBorder="1" applyAlignment="1" applyProtection="1">
      <alignment horizontal="center" vertical="center"/>
      <protection locked="0" hidden="1"/>
    </xf>
    <xf numFmtId="0" fontId="4" fillId="0" borderId="0" xfId="0" applyFont="1" applyProtection="1">
      <protection locked="0" hidden="1"/>
    </xf>
    <xf numFmtId="0" fontId="43" fillId="0" borderId="0" xfId="0" applyFont="1" applyAlignment="1" applyProtection="1">
      <alignment horizontal="left" vertical="center"/>
      <protection locked="0" hidden="1"/>
    </xf>
    <xf numFmtId="0" fontId="45" fillId="0" borderId="0" xfId="0" applyFont="1" applyAlignment="1" applyProtection="1">
      <alignment horizontal="left" indent="1"/>
      <protection locked="0" hidden="1"/>
    </xf>
    <xf numFmtId="165" fontId="4" fillId="0" borderId="0" xfId="1" applyNumberFormat="1" applyFont="1" applyFill="1" applyBorder="1" applyAlignment="1" applyProtection="1">
      <alignment vertical="center" wrapText="1"/>
      <protection locked="0" hidden="1"/>
    </xf>
    <xf numFmtId="0" fontId="46" fillId="0" borderId="0" xfId="0" applyFont="1" applyAlignment="1" applyProtection="1">
      <alignment horizontal="left" vertical="center"/>
      <protection locked="0" hidden="1"/>
    </xf>
    <xf numFmtId="0" fontId="27" fillId="0" borderId="0" xfId="0" applyFont="1" applyAlignment="1" applyProtection="1">
      <alignment horizontal="left" vertical="center" indent="2"/>
      <protection locked="0" hidden="1"/>
    </xf>
    <xf numFmtId="0" fontId="27" fillId="3" borderId="0" xfId="0" applyFont="1" applyFill="1" applyAlignment="1" applyProtection="1">
      <alignment horizontal="left" vertical="center" indent="2"/>
      <protection locked="0" hidden="1"/>
    </xf>
    <xf numFmtId="0" fontId="25" fillId="3" borderId="0" xfId="0" applyFont="1" applyFill="1" applyAlignment="1" applyProtection="1">
      <alignment horizontal="left" vertical="center" indent="2"/>
      <protection locked="0" hidden="1"/>
    </xf>
    <xf numFmtId="0" fontId="27" fillId="3" borderId="0" xfId="0" applyFont="1" applyFill="1" applyAlignment="1" applyProtection="1">
      <alignment horizontal="left" vertical="center" indent="9"/>
      <protection locked="0" hidden="1"/>
    </xf>
    <xf numFmtId="1" fontId="47" fillId="0" borderId="0" xfId="1" applyNumberFormat="1" applyFont="1" applyFill="1" applyBorder="1" applyAlignment="1" applyProtection="1">
      <alignment horizontal="center" vertical="center"/>
      <protection locked="0" hidden="1"/>
    </xf>
    <xf numFmtId="1" fontId="47" fillId="0" borderId="0" xfId="1" applyNumberFormat="1" applyFont="1" applyAlignment="1" applyProtection="1">
      <alignment horizontal="center" vertical="center"/>
      <protection locked="0" hidden="1"/>
    </xf>
    <xf numFmtId="0" fontId="9" fillId="0" borderId="0" xfId="0" applyFont="1" applyProtection="1">
      <protection locked="0"/>
    </xf>
    <xf numFmtId="0" fontId="9" fillId="0" borderId="0" xfId="0" applyFont="1" applyAlignment="1" applyProtection="1">
      <alignment horizontal="right"/>
      <protection locked="0"/>
    </xf>
    <xf numFmtId="1" fontId="35" fillId="0" borderId="0" xfId="1" applyNumberFormat="1" applyFont="1" applyFill="1" applyBorder="1" applyAlignment="1" applyProtection="1">
      <alignment horizontal="center" vertical="center"/>
      <protection locked="0"/>
    </xf>
    <xf numFmtId="165" fontId="35" fillId="0" borderId="0" xfId="1" applyNumberFormat="1" applyFont="1" applyFill="1" applyBorder="1" applyAlignment="1" applyProtection="1">
      <alignment horizontal="center" vertical="center"/>
      <protection locked="0"/>
    </xf>
    <xf numFmtId="165" fontId="34" fillId="0" borderId="0" xfId="1" applyNumberFormat="1" applyFont="1" applyFill="1" applyBorder="1" applyAlignment="1" applyProtection="1">
      <alignment horizontal="center" vertical="center"/>
      <protection locked="0"/>
    </xf>
    <xf numFmtId="165" fontId="22" fillId="0" borderId="0" xfId="1" applyNumberFormat="1" applyFont="1" applyFill="1" applyBorder="1" applyAlignment="1" applyProtection="1">
      <alignment horizontal="right" vertical="center"/>
      <protection locked="0"/>
    </xf>
    <xf numFmtId="0" fontId="22" fillId="0" borderId="0" xfId="0" applyFont="1" applyAlignment="1" applyProtection="1">
      <alignment vertical="center"/>
      <protection locked="0"/>
    </xf>
    <xf numFmtId="0" fontId="23" fillId="0" borderId="0" xfId="11" applyFont="1" applyFill="1" applyBorder="1" applyAlignment="1" applyProtection="1">
      <alignment horizontal="left" vertical="center"/>
      <protection locked="0"/>
    </xf>
    <xf numFmtId="0" fontId="24" fillId="0" borderId="0" xfId="0" applyFont="1" applyAlignment="1" applyProtection="1">
      <alignment vertical="center"/>
      <protection locked="0"/>
    </xf>
    <xf numFmtId="0" fontId="21" fillId="0" borderId="0" xfId="0" applyFont="1" applyAlignment="1" applyProtection="1">
      <alignment horizontal="left" vertical="center"/>
      <protection locked="0"/>
    </xf>
    <xf numFmtId="1" fontId="21" fillId="0" borderId="0" xfId="1" applyNumberFormat="1" applyFont="1" applyFill="1" applyBorder="1" applyAlignment="1" applyProtection="1">
      <alignment horizontal="right" vertical="center"/>
      <protection locked="0"/>
    </xf>
    <xf numFmtId="165" fontId="21" fillId="0" borderId="0" xfId="1" applyNumberFormat="1" applyFont="1" applyFill="1" applyBorder="1" applyAlignment="1" applyProtection="1">
      <alignment horizontal="right" vertical="center"/>
      <protection locked="0"/>
    </xf>
    <xf numFmtId="165" fontId="26" fillId="0" borderId="1" xfId="1" applyNumberFormat="1" applyFont="1" applyFill="1" applyBorder="1" applyAlignment="1" applyProtection="1">
      <alignment vertical="center" wrapText="1"/>
      <protection locked="0"/>
    </xf>
    <xf numFmtId="170" fontId="9" fillId="0" borderId="0" xfId="1" applyNumberFormat="1" applyFont="1" applyFill="1" applyBorder="1" applyAlignment="1" applyProtection="1">
      <alignment horizontal="right" vertical="center" wrapText="1"/>
      <protection locked="0"/>
    </xf>
    <xf numFmtId="165" fontId="9" fillId="0" borderId="0" xfId="1" applyNumberFormat="1" applyFont="1" applyFill="1" applyBorder="1" applyAlignment="1" applyProtection="1">
      <alignment horizontal="right" vertical="center" wrapText="1"/>
      <protection locked="0"/>
    </xf>
    <xf numFmtId="174" fontId="9" fillId="0" borderId="0" xfId="0" applyNumberFormat="1" applyFont="1" applyAlignment="1" applyProtection="1">
      <alignment horizontal="right"/>
      <protection locked="0"/>
    </xf>
    <xf numFmtId="164" fontId="9" fillId="0" borderId="0" xfId="0" applyNumberFormat="1" applyFont="1" applyProtection="1">
      <protection locked="0"/>
    </xf>
    <xf numFmtId="170" fontId="9" fillId="0" borderId="0" xfId="1" applyNumberFormat="1" applyFont="1" applyFill="1" applyBorder="1" applyAlignment="1" applyProtection="1">
      <alignment horizontal="right" wrapText="1"/>
      <protection locked="0"/>
    </xf>
    <xf numFmtId="9" fontId="9" fillId="0" borderId="0" xfId="2" applyFont="1" applyFill="1" applyBorder="1" applyAlignment="1" applyProtection="1">
      <alignment horizontal="right" wrapText="1"/>
      <protection locked="0"/>
    </xf>
    <xf numFmtId="168" fontId="9" fillId="0" borderId="0" xfId="2" applyNumberFormat="1" applyFont="1" applyFill="1" applyBorder="1" applyAlignment="1" applyProtection="1">
      <alignment horizontal="right" wrapText="1"/>
      <protection locked="0"/>
    </xf>
    <xf numFmtId="174" fontId="9" fillId="0" borderId="0" xfId="2" applyNumberFormat="1" applyFont="1" applyFill="1" applyBorder="1" applyAlignment="1" applyProtection="1">
      <alignment horizontal="right" wrapText="1"/>
      <protection locked="0"/>
    </xf>
    <xf numFmtId="0" fontId="9" fillId="0" borderId="0" xfId="0" applyFont="1" applyAlignment="1" applyProtection="1">
      <alignment horizontal="left" vertical="center" wrapText="1" indent="2"/>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indent="1"/>
      <protection locked="0"/>
    </xf>
    <xf numFmtId="184" fontId="9" fillId="0" borderId="0" xfId="0" applyNumberFormat="1" applyFont="1" applyAlignment="1" applyProtection="1">
      <alignment horizontal="right"/>
      <protection locked="0"/>
    </xf>
    <xf numFmtId="165" fontId="9" fillId="0" borderId="0" xfId="0" applyNumberFormat="1" applyFont="1" applyAlignment="1" applyProtection="1">
      <alignment horizontal="right"/>
      <protection locked="0"/>
    </xf>
    <xf numFmtId="165" fontId="26" fillId="0" borderId="0" xfId="1" applyNumberFormat="1" applyFont="1" applyFill="1" applyBorder="1" applyAlignment="1" applyProtection="1">
      <alignment horizontal="left" vertical="center" wrapText="1" indent="1"/>
      <protection locked="0"/>
    </xf>
    <xf numFmtId="0" fontId="25" fillId="0" borderId="0" xfId="0" applyFont="1" applyAlignment="1" applyProtection="1">
      <alignment horizontal="left"/>
      <protection locked="0"/>
    </xf>
    <xf numFmtId="166" fontId="25" fillId="3" borderId="0" xfId="1" applyNumberFormat="1" applyFont="1" applyFill="1" applyBorder="1" applyAlignment="1" applyProtection="1">
      <alignment horizontal="right" vertical="center"/>
      <protection locked="0"/>
    </xf>
    <xf numFmtId="0" fontId="9" fillId="0" borderId="0" xfId="0" applyFont="1" applyAlignment="1" applyProtection="1">
      <alignment horizontal="left"/>
      <protection locked="0"/>
    </xf>
    <xf numFmtId="166" fontId="25" fillId="0" borderId="0" xfId="1" applyNumberFormat="1" applyFont="1" applyFill="1" applyBorder="1" applyAlignment="1" applyProtection="1">
      <alignment horizontal="right" vertical="center"/>
      <protection locked="0"/>
    </xf>
    <xf numFmtId="165" fontId="26" fillId="0" borderId="0" xfId="1" applyNumberFormat="1" applyFont="1" applyFill="1" applyBorder="1" applyAlignment="1" applyProtection="1">
      <alignment horizontal="left" vertical="center" wrapText="1"/>
      <protection locked="0"/>
    </xf>
    <xf numFmtId="167" fontId="26" fillId="0" borderId="0" xfId="1" applyNumberFormat="1" applyFont="1" applyFill="1" applyBorder="1" applyAlignment="1" applyProtection="1">
      <alignment horizontal="right" vertical="center" wrapText="1"/>
      <protection locked="0"/>
    </xf>
    <xf numFmtId="172" fontId="25" fillId="0" borderId="0" xfId="1" applyNumberFormat="1" applyFont="1" applyFill="1" applyAlignment="1" applyProtection="1">
      <alignment horizontal="right" vertical="center"/>
      <protection locked="0"/>
    </xf>
    <xf numFmtId="0" fontId="28" fillId="0" borderId="0" xfId="0" applyFont="1" applyProtection="1">
      <protection locked="0"/>
    </xf>
    <xf numFmtId="0" fontId="28" fillId="0" borderId="0" xfId="0" applyFont="1" applyAlignment="1" applyProtection="1">
      <alignment horizontal="right"/>
      <protection locked="0"/>
    </xf>
    <xf numFmtId="1" fontId="22" fillId="0" borderId="0" xfId="1" applyNumberFormat="1" applyFont="1" applyFill="1" applyBorder="1" applyAlignment="1" applyProtection="1">
      <alignment horizontal="right" vertical="center"/>
      <protection locked="0"/>
    </xf>
    <xf numFmtId="169" fontId="9" fillId="0" borderId="0" xfId="1" applyNumberFormat="1" applyFont="1" applyFill="1" applyBorder="1" applyAlignment="1" applyProtection="1">
      <alignment horizontal="right" vertical="center"/>
      <protection locked="0"/>
    </xf>
    <xf numFmtId="169" fontId="9" fillId="3" borderId="0" xfId="1" applyNumberFormat="1" applyFont="1" applyFill="1" applyBorder="1" applyAlignment="1" applyProtection="1">
      <alignment horizontal="right" vertical="center"/>
      <protection locked="0"/>
    </xf>
    <xf numFmtId="168" fontId="9" fillId="0" borderId="0" xfId="2" applyNumberFormat="1" applyFont="1" applyFill="1" applyAlignment="1" applyProtection="1">
      <alignment horizontal="right"/>
      <protection locked="0"/>
    </xf>
    <xf numFmtId="168" fontId="9" fillId="3" borderId="0" xfId="2" applyNumberFormat="1" applyFont="1" applyFill="1" applyAlignment="1" applyProtection="1">
      <alignment horizontal="right"/>
      <protection locked="0"/>
    </xf>
    <xf numFmtId="1" fontId="9" fillId="0" borderId="0" xfId="0" applyNumberFormat="1" applyFont="1" applyProtection="1">
      <protection locked="0"/>
    </xf>
    <xf numFmtId="175" fontId="9" fillId="0" borderId="0" xfId="1" applyNumberFormat="1" applyFont="1" applyFill="1" applyProtection="1">
      <protection locked="0"/>
    </xf>
    <xf numFmtId="9" fontId="9" fillId="0" borderId="0" xfId="2" applyFont="1" applyFill="1" applyProtection="1">
      <protection locked="0"/>
    </xf>
    <xf numFmtId="168" fontId="9" fillId="0" borderId="0" xfId="2" applyNumberFormat="1" applyFont="1" applyFill="1" applyProtection="1">
      <protection locked="0"/>
    </xf>
    <xf numFmtId="0" fontId="9" fillId="0" borderId="0" xfId="0" applyFont="1" applyAlignment="1" applyProtection="1">
      <alignment vertical="center"/>
      <protection locked="0"/>
    </xf>
    <xf numFmtId="177" fontId="9" fillId="3" borderId="0" xfId="1" applyNumberFormat="1" applyFont="1" applyFill="1" applyBorder="1" applyAlignment="1" applyProtection="1">
      <alignment horizontal="right" vertical="center"/>
      <protection locked="0"/>
    </xf>
    <xf numFmtId="174" fontId="9" fillId="0" borderId="0" xfId="1" applyNumberFormat="1" applyFont="1" applyFill="1" applyBorder="1" applyAlignment="1" applyProtection="1">
      <alignment horizontal="right" vertical="center"/>
      <protection locked="0"/>
    </xf>
    <xf numFmtId="0" fontId="21" fillId="0" borderId="0" xfId="0" applyFont="1" applyProtection="1">
      <protection locked="0"/>
    </xf>
    <xf numFmtId="0" fontId="30" fillId="0" borderId="0" xfId="0" applyFont="1" applyProtection="1">
      <protection locked="0"/>
    </xf>
    <xf numFmtId="168" fontId="9" fillId="0" borderId="0" xfId="2" applyNumberFormat="1" applyFont="1" applyFill="1" applyBorder="1" applyAlignment="1" applyProtection="1">
      <alignment horizontal="left"/>
      <protection locked="0"/>
    </xf>
    <xf numFmtId="176" fontId="25" fillId="0" borderId="0" xfId="1" applyNumberFormat="1" applyFont="1" applyFill="1" applyBorder="1" applyAlignment="1" applyProtection="1">
      <alignment vertical="center"/>
      <protection locked="0"/>
    </xf>
    <xf numFmtId="176" fontId="25" fillId="3" borderId="0" xfId="1" applyNumberFormat="1" applyFont="1" applyFill="1" applyBorder="1" applyAlignment="1" applyProtection="1">
      <alignment vertical="center"/>
      <protection locked="0"/>
    </xf>
    <xf numFmtId="168" fontId="9" fillId="0" borderId="0" xfId="2" applyNumberFormat="1" applyFont="1" applyFill="1" applyBorder="1" applyAlignment="1" applyProtection="1">
      <alignment horizontal="left" vertical="center"/>
      <protection locked="0"/>
    </xf>
    <xf numFmtId="166" fontId="9" fillId="0" borderId="0" xfId="1" applyNumberFormat="1" applyFont="1" applyFill="1" applyBorder="1" applyAlignment="1" applyProtection="1">
      <alignment horizontal="center" vertical="center"/>
      <protection locked="0"/>
    </xf>
    <xf numFmtId="0" fontId="25" fillId="0" borderId="0" xfId="0" applyFont="1" applyAlignment="1" applyProtection="1">
      <alignment horizontal="left" vertical="center" wrapText="1"/>
      <protection locked="0"/>
    </xf>
    <xf numFmtId="166" fontId="9" fillId="0" borderId="0" xfId="1" applyNumberFormat="1" applyFont="1" applyFill="1" applyBorder="1" applyAlignment="1" applyProtection="1">
      <alignment horizontal="left" vertical="center"/>
      <protection locked="0"/>
    </xf>
    <xf numFmtId="168" fontId="26" fillId="0" borderId="1" xfId="2" applyNumberFormat="1" applyFont="1" applyFill="1" applyBorder="1" applyAlignment="1" applyProtection="1">
      <alignment horizontal="right"/>
      <protection locked="0"/>
    </xf>
    <xf numFmtId="172" fontId="25" fillId="3" borderId="0" xfId="1" applyNumberFormat="1" applyFont="1" applyFill="1" applyBorder="1" applyAlignment="1" applyProtection="1">
      <alignment horizontal="right"/>
      <protection locked="0"/>
    </xf>
    <xf numFmtId="172" fontId="9" fillId="0" borderId="0" xfId="1" applyNumberFormat="1" applyFont="1" applyFill="1" applyBorder="1" applyAlignment="1" applyProtection="1">
      <alignment horizontal="right"/>
      <protection locked="0"/>
    </xf>
    <xf numFmtId="172" fontId="9" fillId="3" borderId="0" xfId="1" applyNumberFormat="1" applyFont="1" applyFill="1" applyBorder="1" applyAlignment="1" applyProtection="1">
      <alignment horizontal="right"/>
      <protection locked="0"/>
    </xf>
    <xf numFmtId="0" fontId="9" fillId="3" borderId="0" xfId="0" applyFont="1" applyFill="1" applyProtection="1">
      <protection locked="0"/>
    </xf>
    <xf numFmtId="0" fontId="9" fillId="3" borderId="0" xfId="0" applyFont="1" applyFill="1" applyAlignment="1" applyProtection="1">
      <alignment horizontal="right"/>
      <protection locked="0"/>
    </xf>
    <xf numFmtId="172" fontId="25" fillId="0" borderId="0" xfId="1" applyNumberFormat="1" applyFont="1" applyFill="1" applyBorder="1" applyAlignment="1" applyProtection="1">
      <alignment horizontal="right"/>
      <protection locked="0"/>
    </xf>
    <xf numFmtId="174" fontId="21" fillId="0" borderId="3" xfId="2" applyNumberFormat="1" applyFont="1" applyFill="1" applyBorder="1" applyAlignment="1" applyProtection="1">
      <alignment horizontal="right"/>
      <protection locked="0"/>
    </xf>
    <xf numFmtId="174" fontId="21" fillId="3" borderId="3" xfId="2" applyNumberFormat="1" applyFont="1" applyFill="1" applyBorder="1" applyAlignment="1" applyProtection="1">
      <alignment horizontal="right"/>
      <protection locked="0"/>
    </xf>
    <xf numFmtId="168" fontId="26" fillId="0" borderId="0" xfId="2" applyNumberFormat="1" applyFont="1" applyFill="1" applyBorder="1" applyAlignment="1" applyProtection="1">
      <alignment horizontal="right"/>
      <protection locked="0"/>
    </xf>
    <xf numFmtId="172" fontId="26" fillId="0" borderId="0" xfId="1" applyNumberFormat="1" applyFont="1" applyFill="1" applyBorder="1" applyAlignment="1" applyProtection="1">
      <alignment horizontal="right"/>
      <protection locked="0"/>
    </xf>
    <xf numFmtId="172" fontId="21" fillId="0" borderId="0" xfId="1" applyNumberFormat="1" applyFont="1" applyFill="1" applyBorder="1" applyAlignment="1" applyProtection="1">
      <alignment horizontal="right"/>
      <protection locked="0"/>
    </xf>
    <xf numFmtId="168" fontId="9" fillId="0" borderId="0" xfId="0" applyNumberFormat="1" applyFont="1" applyProtection="1">
      <protection locked="0"/>
    </xf>
    <xf numFmtId="0" fontId="9" fillId="4" borderId="0" xfId="0" applyFont="1" applyFill="1" applyAlignment="1" applyProtection="1">
      <alignment horizontal="right"/>
      <protection locked="0"/>
    </xf>
    <xf numFmtId="172" fontId="25" fillId="0" borderId="0" xfId="1" applyNumberFormat="1" applyFont="1" applyFill="1" applyAlignment="1" applyProtection="1">
      <alignment horizontal="right"/>
      <protection locked="0"/>
    </xf>
    <xf numFmtId="172" fontId="9" fillId="0" borderId="0" xfId="0" applyNumberFormat="1" applyFont="1" applyProtection="1">
      <protection locked="0"/>
    </xf>
    <xf numFmtId="172" fontId="9" fillId="4" borderId="0" xfId="0" applyNumberFormat="1" applyFont="1" applyFill="1" applyProtection="1">
      <protection locked="0"/>
    </xf>
    <xf numFmtId="172" fontId="9" fillId="3" borderId="0" xfId="1" applyNumberFormat="1" applyFont="1" applyFill="1" applyAlignment="1" applyProtection="1">
      <alignment horizontal="right"/>
      <protection locked="0"/>
    </xf>
    <xf numFmtId="172" fontId="9" fillId="0" borderId="0" xfId="1" applyNumberFormat="1" applyFont="1" applyFill="1" applyAlignment="1" applyProtection="1">
      <alignment horizontal="right"/>
      <protection locked="0"/>
    </xf>
    <xf numFmtId="172" fontId="9" fillId="3" borderId="0" xfId="0" applyNumberFormat="1" applyFont="1" applyFill="1" applyAlignment="1" applyProtection="1">
      <alignment horizontal="right"/>
      <protection locked="0"/>
    </xf>
    <xf numFmtId="172" fontId="9" fillId="0" borderId="0" xfId="0" applyNumberFormat="1" applyFont="1" applyAlignment="1" applyProtection="1">
      <alignment horizontal="right"/>
      <protection locked="0"/>
    </xf>
    <xf numFmtId="0" fontId="4" fillId="0" borderId="0" xfId="0" applyFont="1" applyProtection="1">
      <protection locked="0"/>
    </xf>
    <xf numFmtId="0" fontId="4" fillId="0" borderId="0" xfId="0" applyFont="1" applyAlignment="1" applyProtection="1">
      <alignment horizontal="right"/>
      <protection locked="0"/>
    </xf>
    <xf numFmtId="1" fontId="43" fillId="0" borderId="0" xfId="1" applyNumberFormat="1" applyFont="1" applyFill="1" applyBorder="1" applyAlignment="1" applyProtection="1">
      <alignment horizontal="right" vertical="center"/>
      <protection locked="0"/>
    </xf>
    <xf numFmtId="165" fontId="44" fillId="0" borderId="0" xfId="1" applyNumberFormat="1" applyFont="1" applyFill="1" applyBorder="1" applyAlignment="1" applyProtection="1">
      <alignment horizontal="right" vertical="center"/>
      <protection locked="0"/>
    </xf>
    <xf numFmtId="0" fontId="45" fillId="0" borderId="0" xfId="0" applyFont="1" applyAlignment="1" applyProtection="1">
      <alignment horizontal="left"/>
      <protection locked="0"/>
    </xf>
    <xf numFmtId="0" fontId="4" fillId="0" borderId="0" xfId="0" applyFont="1" applyAlignment="1" applyProtection="1">
      <alignment horizontal="left"/>
      <protection locked="0"/>
    </xf>
    <xf numFmtId="43" fontId="33" fillId="0" borderId="0" xfId="1" applyFont="1" applyFill="1" applyAlignment="1" applyProtection="1">
      <alignment horizontal="left" vertical="center" indent="1"/>
      <protection locked="0"/>
    </xf>
    <xf numFmtId="172" fontId="25" fillId="3" borderId="0" xfId="1" applyNumberFormat="1" applyFont="1" applyFill="1" applyBorder="1" applyAlignment="1" applyProtection="1">
      <alignment horizontal="right" wrapText="1"/>
      <protection locked="0"/>
    </xf>
    <xf numFmtId="172" fontId="25" fillId="0" borderId="0" xfId="1" applyNumberFormat="1" applyFont="1" applyFill="1" applyBorder="1" applyAlignment="1" applyProtection="1">
      <alignment horizontal="right" wrapText="1"/>
      <protection locked="0"/>
    </xf>
    <xf numFmtId="168" fontId="25" fillId="3" borderId="0" xfId="2" applyNumberFormat="1" applyFont="1" applyFill="1" applyBorder="1" applyAlignment="1" applyProtection="1">
      <alignment horizontal="right"/>
      <protection locked="0"/>
    </xf>
    <xf numFmtId="168" fontId="25" fillId="0" borderId="0" xfId="2" applyNumberFormat="1" applyFont="1" applyFill="1" applyBorder="1" applyAlignment="1" applyProtection="1">
      <alignment horizontal="right"/>
      <protection locked="0"/>
    </xf>
    <xf numFmtId="172" fontId="45" fillId="0" borderId="0" xfId="1" applyNumberFormat="1" applyFont="1" applyFill="1" applyBorder="1" applyAlignment="1" applyProtection="1">
      <alignment horizontal="right"/>
      <protection locked="0"/>
    </xf>
    <xf numFmtId="168" fontId="45" fillId="0" borderId="0" xfId="2" applyNumberFormat="1" applyFont="1" applyFill="1" applyBorder="1" applyAlignment="1" applyProtection="1">
      <alignment horizontal="right"/>
      <protection locked="0"/>
    </xf>
    <xf numFmtId="168" fontId="9" fillId="0" borderId="0" xfId="2" applyNumberFormat="1" applyFont="1" applyFill="1" applyBorder="1" applyAlignment="1" applyProtection="1">
      <alignment horizontal="right" vertical="center" wrapText="1"/>
      <protection locked="0"/>
    </xf>
    <xf numFmtId="0" fontId="29" fillId="0" borderId="0" xfId="0" applyFont="1" applyProtection="1">
      <protection locked="0"/>
    </xf>
    <xf numFmtId="174" fontId="9" fillId="0" borderId="0" xfId="2" applyNumberFormat="1" applyFont="1" applyFill="1" applyBorder="1" applyAlignment="1" applyProtection="1">
      <alignment horizontal="right" vertical="center" wrapText="1"/>
      <protection locked="0"/>
    </xf>
    <xf numFmtId="168" fontId="9" fillId="0" borderId="0" xfId="2" applyNumberFormat="1" applyFont="1" applyAlignment="1" applyProtection="1">
      <alignment horizontal="right"/>
      <protection locked="0"/>
    </xf>
    <xf numFmtId="0" fontId="25" fillId="0" borderId="0" xfId="0" applyFont="1" applyProtection="1">
      <protection locked="0"/>
    </xf>
    <xf numFmtId="172" fontId="25" fillId="0" borderId="0" xfId="1" applyNumberFormat="1" applyFont="1" applyFill="1" applyBorder="1" applyProtection="1">
      <protection locked="0"/>
    </xf>
    <xf numFmtId="0" fontId="25" fillId="0" borderId="0" xfId="0" applyFont="1" applyAlignment="1" applyProtection="1">
      <alignment horizontal="left" vertical="center" indent="3"/>
      <protection locked="0"/>
    </xf>
    <xf numFmtId="172" fontId="25" fillId="3" borderId="0" xfId="1" applyNumberFormat="1" applyFont="1" applyFill="1" applyBorder="1" applyAlignment="1" applyProtection="1">
      <alignment horizontal="right" vertical="center"/>
      <protection locked="0"/>
    </xf>
    <xf numFmtId="172" fontId="25" fillId="0" borderId="0" xfId="1" applyNumberFormat="1" applyFont="1" applyFill="1" applyBorder="1" applyAlignment="1" applyProtection="1">
      <alignment horizontal="right" vertical="center"/>
      <protection locked="0"/>
    </xf>
    <xf numFmtId="172" fontId="9" fillId="3" borderId="0" xfId="0" applyNumberFormat="1" applyFont="1" applyFill="1" applyProtection="1">
      <protection locked="0"/>
    </xf>
    <xf numFmtId="0" fontId="29" fillId="0" borderId="0" xfId="0" applyFont="1" applyAlignment="1" applyProtection="1">
      <alignment horizontal="left"/>
      <protection locked="0"/>
    </xf>
    <xf numFmtId="9" fontId="9" fillId="0" borderId="0" xfId="0" applyNumberFormat="1" applyFont="1" applyProtection="1">
      <protection locked="0"/>
    </xf>
    <xf numFmtId="43" fontId="9" fillId="0" borderId="0" xfId="0" applyNumberFormat="1" applyFont="1" applyProtection="1">
      <protection locked="0"/>
    </xf>
    <xf numFmtId="172" fontId="25" fillId="0" borderId="0" xfId="1" applyNumberFormat="1" applyFont="1" applyFill="1" applyBorder="1" applyAlignment="1" applyProtection="1">
      <alignment horizontal="center" vertical="center" wrapText="1"/>
      <protection locked="0"/>
    </xf>
    <xf numFmtId="172" fontId="25" fillId="3" borderId="0" xfId="1" applyNumberFormat="1" applyFont="1" applyFill="1" applyBorder="1" applyAlignment="1" applyProtection="1">
      <alignment horizontal="center" vertical="center" wrapText="1"/>
      <protection locked="0"/>
    </xf>
    <xf numFmtId="168" fontId="25" fillId="0" borderId="0" xfId="2" applyNumberFormat="1" applyFont="1" applyFill="1" applyBorder="1" applyAlignment="1" applyProtection="1">
      <alignment horizontal="right" vertical="center"/>
      <protection locked="0"/>
    </xf>
    <xf numFmtId="165" fontId="26" fillId="3" borderId="0" xfId="1" applyNumberFormat="1" applyFont="1" applyFill="1" applyBorder="1" applyAlignment="1" applyProtection="1">
      <alignment horizontal="left" vertical="center" wrapText="1"/>
      <protection locked="0"/>
    </xf>
    <xf numFmtId="0" fontId="26" fillId="0" borderId="0" xfId="0" applyFont="1" applyProtection="1">
      <protection locked="0"/>
    </xf>
    <xf numFmtId="168" fontId="25" fillId="3" borderId="0" xfId="2" applyNumberFormat="1" applyFont="1" applyFill="1" applyBorder="1" applyAlignment="1" applyProtection="1">
      <alignment horizontal="right" vertical="center"/>
      <protection locked="0"/>
    </xf>
    <xf numFmtId="172" fontId="9" fillId="0" borderId="0" xfId="1" applyNumberFormat="1" applyFont="1" applyFill="1" applyBorder="1" applyProtection="1">
      <protection locked="0"/>
    </xf>
    <xf numFmtId="172" fontId="26" fillId="0" borderId="0" xfId="1" applyNumberFormat="1" applyFont="1" applyFill="1" applyBorder="1" applyAlignment="1" applyProtection="1">
      <alignment horizontal="right" vertical="center"/>
      <protection locked="0"/>
    </xf>
    <xf numFmtId="9" fontId="25" fillId="0" borderId="0" xfId="2" applyFont="1" applyFill="1" applyBorder="1" applyAlignment="1" applyProtection="1">
      <alignment horizontal="right" vertical="center"/>
      <protection locked="0"/>
    </xf>
    <xf numFmtId="168" fontId="9" fillId="0" borderId="0" xfId="2" applyNumberFormat="1" applyFont="1" applyProtection="1">
      <protection locked="0"/>
    </xf>
    <xf numFmtId="172" fontId="9" fillId="3" borderId="0" xfId="1" applyNumberFormat="1" applyFont="1" applyFill="1" applyBorder="1" applyProtection="1">
      <protection locked="0"/>
    </xf>
    <xf numFmtId="172" fontId="9" fillId="0" borderId="0" xfId="1" applyNumberFormat="1" applyFont="1" applyFill="1" applyBorder="1" applyAlignment="1" applyProtection="1">
      <alignment horizontal="center"/>
      <protection locked="0"/>
    </xf>
    <xf numFmtId="172" fontId="9" fillId="3" borderId="0" xfId="1" applyNumberFormat="1" applyFont="1" applyFill="1" applyBorder="1" applyAlignment="1" applyProtection="1">
      <alignment horizontal="center"/>
      <protection locked="0"/>
    </xf>
    <xf numFmtId="168" fontId="9" fillId="3" borderId="0" xfId="2" applyNumberFormat="1" applyFont="1" applyFill="1" applyProtection="1">
      <protection locked="0"/>
    </xf>
    <xf numFmtId="172" fontId="25" fillId="3" borderId="0" xfId="1" applyNumberFormat="1" applyFont="1" applyFill="1" applyAlignment="1" applyProtection="1">
      <alignment horizontal="right"/>
      <protection locked="0"/>
    </xf>
    <xf numFmtId="0" fontId="25" fillId="0" borderId="0" xfId="0" applyFont="1" applyAlignment="1" applyProtection="1">
      <alignment vertical="center"/>
      <protection locked="0"/>
    </xf>
    <xf numFmtId="172" fontId="26" fillId="3" borderId="0" xfId="1" applyNumberFormat="1" applyFont="1" applyFill="1" applyBorder="1" applyAlignment="1" applyProtection="1">
      <alignment horizontal="right" vertical="center"/>
      <protection locked="0"/>
    </xf>
    <xf numFmtId="172" fontId="25" fillId="3" borderId="0" xfId="1" applyNumberFormat="1" applyFont="1" applyFill="1" applyAlignment="1" applyProtection="1">
      <alignment horizontal="right" vertical="center"/>
      <protection locked="0"/>
    </xf>
    <xf numFmtId="0" fontId="21" fillId="0" borderId="0" xfId="0" applyFont="1" applyAlignment="1" applyProtection="1">
      <alignment vertical="center"/>
      <protection locked="0"/>
    </xf>
    <xf numFmtId="0" fontId="21" fillId="0" borderId="0" xfId="0" applyFont="1" applyAlignment="1" applyProtection="1">
      <alignment horizontal="right" vertical="center"/>
      <protection locked="0"/>
    </xf>
    <xf numFmtId="0" fontId="26" fillId="0" borderId="0" xfId="0" applyFont="1" applyAlignment="1" applyProtection="1">
      <alignment horizontal="right" vertical="center"/>
      <protection locked="0"/>
    </xf>
    <xf numFmtId="172" fontId="26" fillId="0" borderId="0" xfId="0" applyNumberFormat="1" applyFont="1" applyAlignment="1" applyProtection="1">
      <alignment horizontal="right" vertical="center"/>
      <protection locked="0"/>
    </xf>
    <xf numFmtId="172" fontId="25" fillId="3" borderId="0" xfId="1" applyNumberFormat="1" applyFont="1" applyFill="1" applyBorder="1" applyAlignment="1" applyProtection="1">
      <alignment vertical="center"/>
      <protection locked="0"/>
    </xf>
    <xf numFmtId="172" fontId="25" fillId="0" borderId="0" xfId="1" applyNumberFormat="1" applyFont="1" applyFill="1" applyBorder="1" applyAlignment="1" applyProtection="1">
      <alignment vertical="center"/>
      <protection locked="0"/>
    </xf>
    <xf numFmtId="0" fontId="25" fillId="0" borderId="0" xfId="0" applyFont="1" applyAlignment="1" applyProtection="1">
      <alignment horizontal="left" vertical="center"/>
      <protection locked="0"/>
    </xf>
    <xf numFmtId="43" fontId="9" fillId="0" borderId="0" xfId="2" applyNumberFormat="1" applyFont="1" applyFill="1" applyBorder="1" applyAlignment="1" applyProtection="1">
      <alignment vertical="center"/>
      <protection locked="0"/>
    </xf>
    <xf numFmtId="172" fontId="21" fillId="0" borderId="0" xfId="1" applyNumberFormat="1" applyFont="1" applyFill="1" applyBorder="1" applyAlignment="1" applyProtection="1">
      <alignment vertical="center"/>
      <protection locked="0"/>
    </xf>
    <xf numFmtId="172" fontId="21" fillId="0" borderId="0" xfId="1" applyNumberFormat="1" applyFont="1" applyFill="1" applyBorder="1" applyAlignment="1" applyProtection="1">
      <alignment horizontal="right" vertical="center"/>
      <protection locked="0"/>
    </xf>
    <xf numFmtId="166" fontId="21" fillId="0" borderId="0" xfId="1" applyNumberFormat="1" applyFont="1" applyFill="1" applyBorder="1" applyAlignment="1" applyProtection="1">
      <alignment horizontal="right" vertical="center"/>
      <protection locked="0"/>
    </xf>
    <xf numFmtId="172" fontId="9" fillId="0" borderId="0" xfId="0" applyNumberFormat="1" applyFont="1" applyAlignment="1" applyProtection="1">
      <alignment horizontal="right" vertical="center"/>
      <protection locked="0"/>
    </xf>
    <xf numFmtId="0" fontId="9" fillId="0" borderId="0" xfId="0" applyFont="1" applyAlignment="1" applyProtection="1">
      <alignment horizontal="right" vertical="center"/>
      <protection locked="0"/>
    </xf>
    <xf numFmtId="175" fontId="25" fillId="3" borderId="0" xfId="1" applyNumberFormat="1" applyFont="1" applyFill="1" applyBorder="1" applyAlignment="1" applyProtection="1">
      <alignment vertical="center"/>
      <protection locked="0"/>
    </xf>
    <xf numFmtId="183" fontId="25" fillId="3" borderId="0" xfId="2" applyNumberFormat="1" applyFont="1" applyFill="1" applyBorder="1" applyAlignment="1" applyProtection="1">
      <alignment vertical="center"/>
      <protection locked="0"/>
    </xf>
    <xf numFmtId="175" fontId="25" fillId="0" borderId="0" xfId="1" applyNumberFormat="1" applyFont="1" applyFill="1" applyBorder="1" applyAlignment="1" applyProtection="1">
      <alignment vertical="center"/>
      <protection locked="0"/>
    </xf>
    <xf numFmtId="183" fontId="25" fillId="0" borderId="0" xfId="2" applyNumberFormat="1" applyFont="1" applyFill="1" applyBorder="1" applyAlignment="1" applyProtection="1">
      <alignment vertical="center"/>
      <protection locked="0"/>
    </xf>
    <xf numFmtId="172" fontId="9" fillId="0" borderId="0" xfId="1" applyNumberFormat="1" applyFont="1" applyFill="1" applyBorder="1" applyAlignment="1" applyProtection="1">
      <alignment horizontal="right" vertical="center"/>
      <protection locked="0"/>
    </xf>
    <xf numFmtId="168" fontId="25" fillId="3" borderId="0" xfId="2" applyNumberFormat="1" applyFont="1" applyFill="1" applyBorder="1" applyAlignment="1" applyProtection="1">
      <alignment vertical="center"/>
      <protection locked="0"/>
    </xf>
    <xf numFmtId="182" fontId="25" fillId="3" borderId="0" xfId="2" applyNumberFormat="1" applyFont="1" applyFill="1" applyBorder="1" applyAlignment="1" applyProtection="1">
      <alignment vertical="center"/>
      <protection locked="0"/>
    </xf>
    <xf numFmtId="182" fontId="25" fillId="3" borderId="0" xfId="2" applyNumberFormat="1" applyFont="1" applyFill="1" applyBorder="1" applyAlignment="1" applyProtection="1">
      <alignment horizontal="right" vertical="center"/>
      <protection locked="0"/>
    </xf>
    <xf numFmtId="175" fontId="9" fillId="0" borderId="0" xfId="1" applyNumberFormat="1" applyFont="1" applyFill="1" applyBorder="1" applyAlignment="1" applyProtection="1">
      <alignment horizontal="right" vertical="center"/>
      <protection locked="0"/>
    </xf>
    <xf numFmtId="180" fontId="25" fillId="3" borderId="0" xfId="2" applyNumberFormat="1" applyFont="1" applyFill="1" applyBorder="1" applyAlignment="1" applyProtection="1">
      <alignment horizontal="right" vertical="center"/>
      <protection locked="0"/>
    </xf>
    <xf numFmtId="168" fontId="25" fillId="0" borderId="0" xfId="2" applyNumberFormat="1" applyFont="1" applyFill="1" applyBorder="1" applyAlignment="1" applyProtection="1">
      <alignment vertical="center"/>
      <protection locked="0"/>
    </xf>
    <xf numFmtId="168" fontId="9" fillId="0" borderId="0" xfId="2" applyNumberFormat="1" applyFont="1" applyFill="1" applyBorder="1" applyAlignment="1" applyProtection="1">
      <alignment horizontal="right" vertical="center"/>
      <protection locked="0"/>
    </xf>
    <xf numFmtId="172" fontId="26" fillId="3" borderId="0" xfId="1" applyNumberFormat="1" applyFont="1" applyFill="1" applyBorder="1" applyAlignment="1" applyProtection="1">
      <alignment horizontal="right"/>
      <protection locked="0"/>
    </xf>
    <xf numFmtId="0" fontId="26" fillId="0" borderId="0" xfId="0" applyFont="1" applyAlignment="1" applyProtection="1">
      <alignment horizontal="left" vertical="center"/>
      <protection locked="0"/>
    </xf>
    <xf numFmtId="165" fontId="26" fillId="0" borderId="0" xfId="1" applyNumberFormat="1" applyFont="1" applyFill="1" applyBorder="1" applyAlignment="1" applyProtection="1">
      <alignment vertical="center" wrapText="1"/>
      <protection locked="0"/>
    </xf>
    <xf numFmtId="167" fontId="26" fillId="3" borderId="0" xfId="1" applyNumberFormat="1" applyFont="1" applyFill="1" applyBorder="1" applyAlignment="1" applyProtection="1">
      <alignment horizontal="right" vertical="center" wrapText="1"/>
      <protection locked="0"/>
    </xf>
    <xf numFmtId="0" fontId="48" fillId="0" borderId="0" xfId="0" applyFont="1" applyAlignment="1" applyProtection="1">
      <alignment horizontal="left" vertical="center"/>
      <protection locked="0" hidden="1"/>
    </xf>
    <xf numFmtId="165" fontId="48" fillId="0" borderId="5" xfId="1" applyNumberFormat="1" applyFont="1" applyFill="1" applyBorder="1" applyAlignment="1" applyProtection="1">
      <alignment horizontal="center" vertical="center"/>
      <protection locked="0" hidden="1"/>
    </xf>
    <xf numFmtId="165" fontId="48" fillId="0" borderId="8" xfId="1" applyNumberFormat="1" applyFont="1" applyFill="1" applyBorder="1" applyAlignment="1" applyProtection="1">
      <alignment horizontal="center" vertical="center"/>
      <protection locked="0" hidden="1"/>
    </xf>
    <xf numFmtId="0" fontId="26" fillId="0" borderId="0" xfId="0" applyFont="1" applyAlignment="1" applyProtection="1">
      <alignment horizontal="left" vertical="center"/>
      <protection locked="0" hidden="1"/>
    </xf>
    <xf numFmtId="0" fontId="25" fillId="3" borderId="9" xfId="0" applyFont="1" applyFill="1" applyBorder="1" applyAlignment="1" applyProtection="1">
      <alignment horizontal="left" vertical="center" indent="1"/>
      <protection locked="0" hidden="1"/>
    </xf>
    <xf numFmtId="175" fontId="25" fillId="3" borderId="9" xfId="1" applyNumberFormat="1" applyFont="1" applyFill="1" applyBorder="1" applyAlignment="1" applyProtection="1">
      <alignment vertical="center"/>
      <protection locked="0"/>
    </xf>
    <xf numFmtId="183" fontId="25" fillId="3" borderId="9" xfId="2" applyNumberFormat="1" applyFont="1" applyFill="1" applyBorder="1" applyAlignment="1" applyProtection="1">
      <alignment vertical="center"/>
      <protection locked="0"/>
    </xf>
    <xf numFmtId="0" fontId="9" fillId="3" borderId="0" xfId="0" applyFont="1" applyFill="1" applyAlignment="1" applyProtection="1">
      <alignment horizontal="right" vertical="center"/>
      <protection locked="0"/>
    </xf>
    <xf numFmtId="180" fontId="9" fillId="3" borderId="0" xfId="2" applyNumberFormat="1" applyFont="1" applyFill="1" applyBorder="1" applyAlignment="1" applyProtection="1">
      <alignment horizontal="right" vertical="center"/>
      <protection locked="0"/>
    </xf>
    <xf numFmtId="0" fontId="25" fillId="0" borderId="9" xfId="0" applyFont="1" applyBorder="1" applyAlignment="1" applyProtection="1">
      <alignment horizontal="left" vertical="center" indent="1"/>
      <protection locked="0" hidden="1"/>
    </xf>
    <xf numFmtId="165" fontId="21" fillId="3" borderId="9" xfId="1" applyNumberFormat="1" applyFont="1" applyFill="1" applyBorder="1" applyAlignment="1" applyProtection="1">
      <alignment horizontal="left" vertical="center" wrapText="1"/>
      <protection locked="0" hidden="1"/>
    </xf>
    <xf numFmtId="172" fontId="21" fillId="3" borderId="9" xfId="1" applyNumberFormat="1" applyFont="1" applyFill="1" applyBorder="1" applyAlignment="1" applyProtection="1">
      <alignment horizontal="right" vertical="center"/>
      <protection locked="0"/>
    </xf>
    <xf numFmtId="0" fontId="21" fillId="3" borderId="9" xfId="0" applyFont="1" applyFill="1" applyBorder="1" applyAlignment="1" applyProtection="1">
      <alignment horizontal="left" vertical="center"/>
      <protection locked="0" hidden="1"/>
    </xf>
    <xf numFmtId="172" fontId="21" fillId="3" borderId="9" xfId="1" applyNumberFormat="1" applyFont="1" applyFill="1" applyBorder="1" applyAlignment="1" applyProtection="1">
      <alignment vertical="center"/>
      <protection locked="0"/>
    </xf>
    <xf numFmtId="0" fontId="26" fillId="3" borderId="9" xfId="0" applyFont="1" applyFill="1" applyBorder="1" applyAlignment="1" applyProtection="1">
      <alignment horizontal="left" vertical="center"/>
      <protection locked="0" hidden="1"/>
    </xf>
    <xf numFmtId="172" fontId="26" fillId="3" borderId="9" xfId="1" applyNumberFormat="1" applyFont="1" applyFill="1" applyBorder="1" applyAlignment="1" applyProtection="1">
      <alignment horizontal="right" vertical="center"/>
      <protection locked="0"/>
    </xf>
    <xf numFmtId="0" fontId="26" fillId="0" borderId="9" xfId="0" applyFont="1" applyBorder="1" applyAlignment="1" applyProtection="1">
      <alignment vertical="center"/>
      <protection locked="0" hidden="1"/>
    </xf>
    <xf numFmtId="172" fontId="26" fillId="0" borderId="9" xfId="1" applyNumberFormat="1" applyFont="1" applyFill="1" applyBorder="1" applyAlignment="1" applyProtection="1">
      <alignment horizontal="right" vertical="center"/>
      <protection locked="0"/>
    </xf>
    <xf numFmtId="0" fontId="26" fillId="3" borderId="9" xfId="0" applyFont="1" applyFill="1" applyBorder="1" applyAlignment="1" applyProtection="1">
      <alignment vertical="center"/>
      <protection locked="0" hidden="1"/>
    </xf>
    <xf numFmtId="165" fontId="26" fillId="3" borderId="9" xfId="1" applyNumberFormat="1" applyFont="1" applyFill="1" applyBorder="1" applyAlignment="1" applyProtection="1">
      <alignment horizontal="left" vertical="center" wrapText="1"/>
      <protection locked="0" hidden="1"/>
    </xf>
    <xf numFmtId="165" fontId="26" fillId="0" borderId="9" xfId="1" applyNumberFormat="1" applyFont="1" applyFill="1" applyBorder="1" applyAlignment="1" applyProtection="1">
      <alignment horizontal="left" vertical="center" wrapText="1"/>
      <protection locked="0" hidden="1"/>
    </xf>
    <xf numFmtId="0" fontId="25" fillId="3" borderId="9" xfId="0" applyFont="1" applyFill="1" applyBorder="1" applyAlignment="1" applyProtection="1">
      <alignment horizontal="left" indent="1"/>
      <protection locked="0" hidden="1"/>
    </xf>
    <xf numFmtId="172" fontId="25" fillId="3" borderId="9" xfId="1" applyNumberFormat="1" applyFont="1" applyFill="1" applyBorder="1" applyAlignment="1" applyProtection="1">
      <alignment horizontal="right"/>
      <protection locked="0"/>
    </xf>
    <xf numFmtId="165" fontId="26" fillId="0" borderId="9" xfId="1" applyNumberFormat="1" applyFont="1" applyFill="1" applyBorder="1" applyAlignment="1" applyProtection="1">
      <alignment horizontal="left" vertical="center" wrapText="1"/>
      <protection locked="0"/>
    </xf>
    <xf numFmtId="0" fontId="25" fillId="0" borderId="9" xfId="0" applyFont="1" applyBorder="1" applyAlignment="1" applyProtection="1">
      <alignment horizontal="left" indent="1"/>
      <protection locked="0" hidden="1"/>
    </xf>
    <xf numFmtId="172" fontId="25" fillId="0" borderId="9" xfId="1" applyNumberFormat="1" applyFont="1" applyFill="1" applyBorder="1" applyAlignment="1" applyProtection="1">
      <alignment horizontal="right"/>
      <protection locked="0"/>
    </xf>
    <xf numFmtId="172" fontId="25" fillId="3" borderId="9" xfId="1" applyNumberFormat="1" applyFont="1" applyFill="1" applyBorder="1" applyAlignment="1" applyProtection="1">
      <alignment horizontal="right" vertical="center"/>
      <protection locked="0"/>
    </xf>
    <xf numFmtId="0" fontId="21" fillId="3" borderId="9" xfId="0" applyFont="1" applyFill="1" applyBorder="1" applyProtection="1">
      <protection locked="0" hidden="1"/>
    </xf>
    <xf numFmtId="172" fontId="21" fillId="3" borderId="9" xfId="0" applyNumberFormat="1" applyFont="1" applyFill="1" applyBorder="1" applyProtection="1">
      <protection locked="0"/>
    </xf>
    <xf numFmtId="168" fontId="26" fillId="3" borderId="9" xfId="2" applyNumberFormat="1" applyFont="1" applyFill="1" applyBorder="1" applyAlignment="1" applyProtection="1">
      <alignment horizontal="right" vertical="center" wrapText="1"/>
      <protection locked="0"/>
    </xf>
    <xf numFmtId="168" fontId="26" fillId="0" borderId="9" xfId="2" applyNumberFormat="1" applyFont="1" applyFill="1" applyBorder="1" applyAlignment="1" applyProtection="1">
      <alignment horizontal="right" vertical="center" wrapText="1"/>
      <protection locked="0"/>
    </xf>
    <xf numFmtId="0" fontId="21" fillId="3" borderId="9" xfId="0" applyFont="1" applyFill="1" applyBorder="1" applyAlignment="1" applyProtection="1">
      <alignment horizontal="left"/>
      <protection locked="0" hidden="1"/>
    </xf>
    <xf numFmtId="172" fontId="25" fillId="0" borderId="9" xfId="1" applyNumberFormat="1" applyFont="1" applyFill="1" applyBorder="1" applyAlignment="1" applyProtection="1">
      <alignment horizontal="right" vertical="center"/>
      <protection locked="0"/>
    </xf>
    <xf numFmtId="165" fontId="9" fillId="3" borderId="9" xfId="1" applyNumberFormat="1" applyFont="1" applyFill="1" applyBorder="1" applyAlignment="1" applyProtection="1">
      <alignment horizontal="left" vertical="center" wrapText="1" indent="1"/>
      <protection locked="0" hidden="1"/>
    </xf>
    <xf numFmtId="168" fontId="21" fillId="0" borderId="9" xfId="2" applyNumberFormat="1" applyFont="1" applyFill="1" applyBorder="1" applyAlignment="1" applyProtection="1">
      <alignment horizontal="right"/>
      <protection locked="0"/>
    </xf>
    <xf numFmtId="165" fontId="25" fillId="3" borderId="9" xfId="1" applyNumberFormat="1" applyFont="1" applyFill="1" applyBorder="1" applyAlignment="1" applyProtection="1">
      <alignment horizontal="left" vertical="center" wrapText="1"/>
      <protection locked="0" hidden="1"/>
    </xf>
    <xf numFmtId="167" fontId="25" fillId="3" borderId="9" xfId="1" applyNumberFormat="1" applyFont="1" applyFill="1" applyBorder="1" applyAlignment="1" applyProtection="1">
      <alignment horizontal="right" vertical="center" wrapText="1"/>
      <protection locked="0"/>
    </xf>
    <xf numFmtId="165" fontId="26" fillId="0" borderId="0" xfId="1" applyNumberFormat="1" applyFont="1" applyFill="1" applyBorder="1" applyAlignment="1" applyProtection="1">
      <alignment vertical="center" wrapText="1"/>
      <protection locked="0" hidden="1"/>
    </xf>
    <xf numFmtId="166" fontId="9" fillId="3" borderId="9" xfId="1" applyNumberFormat="1" applyFont="1" applyFill="1" applyBorder="1" applyAlignment="1" applyProtection="1">
      <alignment horizontal="right" vertical="center"/>
      <protection locked="0"/>
    </xf>
    <xf numFmtId="0" fontId="25" fillId="3" borderId="9" xfId="0" applyFont="1" applyFill="1" applyBorder="1" applyAlignment="1" applyProtection="1">
      <alignment horizontal="left" vertical="center" wrapText="1" indent="1"/>
      <protection locked="0" hidden="1"/>
    </xf>
    <xf numFmtId="166" fontId="25" fillId="3" borderId="9" xfId="1" applyNumberFormat="1" applyFont="1" applyFill="1" applyBorder="1" applyAlignment="1" applyProtection="1">
      <alignment horizontal="right" vertical="center"/>
      <protection locked="0"/>
    </xf>
    <xf numFmtId="170" fontId="9" fillId="3" borderId="9" xfId="1" applyNumberFormat="1" applyFont="1" applyFill="1" applyBorder="1" applyAlignment="1" applyProtection="1">
      <alignment horizontal="right" vertical="center" wrapText="1"/>
      <protection locked="0"/>
    </xf>
    <xf numFmtId="0" fontId="48" fillId="0" borderId="5" xfId="0" applyFont="1" applyBorder="1" applyAlignment="1" applyProtection="1">
      <alignment horizontal="center" vertical="center"/>
      <protection locked="0" hidden="1"/>
    </xf>
    <xf numFmtId="0" fontId="50" fillId="0" borderId="5" xfId="0" applyFont="1" applyBorder="1" applyAlignment="1" applyProtection="1">
      <alignment horizontal="center" vertical="center"/>
      <protection locked="0" hidden="1"/>
    </xf>
    <xf numFmtId="175" fontId="45" fillId="0" borderId="0" xfId="1" applyNumberFormat="1" applyFont="1" applyFill="1" applyBorder="1" applyAlignment="1" applyProtection="1">
      <alignment horizontal="right"/>
      <protection locked="0"/>
    </xf>
    <xf numFmtId="172" fontId="4" fillId="0" borderId="0" xfId="0" applyNumberFormat="1" applyFont="1" applyAlignment="1" applyProtection="1">
      <alignment horizontal="right"/>
      <protection locked="0"/>
    </xf>
    <xf numFmtId="168" fontId="9" fillId="0" borderId="0" xfId="0" applyNumberFormat="1" applyFont="1" applyAlignment="1" applyProtection="1">
      <alignment horizontal="right"/>
      <protection locked="0"/>
    </xf>
    <xf numFmtId="168" fontId="25" fillId="0" borderId="0" xfId="2" applyNumberFormat="1" applyFont="1" applyFill="1" applyBorder="1" applyAlignment="1" applyProtection="1">
      <alignment horizontal="right" vertical="center" wrapText="1"/>
      <protection locked="0"/>
    </xf>
    <xf numFmtId="168" fontId="21" fillId="3" borderId="9" xfId="2" applyNumberFormat="1" applyFont="1" applyFill="1" applyBorder="1" applyAlignment="1" applyProtection="1">
      <alignment horizontal="right"/>
      <protection locked="0"/>
    </xf>
    <xf numFmtId="168" fontId="26" fillId="3" borderId="0" xfId="2" applyNumberFormat="1" applyFont="1" applyFill="1" applyBorder="1" applyAlignment="1" applyProtection="1">
      <alignment horizontal="right"/>
      <protection locked="0"/>
    </xf>
    <xf numFmtId="168" fontId="26" fillId="3" borderId="9" xfId="2" applyNumberFormat="1" applyFont="1" applyFill="1" applyBorder="1" applyAlignment="1" applyProtection="1">
      <alignment horizontal="right" vertical="center"/>
      <protection locked="0"/>
    </xf>
    <xf numFmtId="168" fontId="9" fillId="0" borderId="0" xfId="2" applyNumberFormat="1" applyFont="1" applyFill="1" applyBorder="1" applyAlignment="1" applyProtection="1">
      <alignment vertical="center"/>
      <protection locked="0"/>
    </xf>
    <xf numFmtId="168" fontId="25" fillId="4" borderId="0" xfId="2" applyNumberFormat="1" applyFont="1" applyFill="1" applyBorder="1" applyAlignment="1" applyProtection="1">
      <alignment vertical="center"/>
      <protection locked="0"/>
    </xf>
    <xf numFmtId="168" fontId="25" fillId="0" borderId="0" xfId="2" applyNumberFormat="1" applyFont="1" applyFill="1" applyAlignment="1" applyProtection="1">
      <alignment horizontal="right" vertical="center"/>
      <protection locked="0"/>
    </xf>
    <xf numFmtId="165" fontId="48" fillId="0" borderId="0" xfId="1" applyNumberFormat="1" applyFont="1" applyFill="1" applyBorder="1" applyAlignment="1" applyProtection="1">
      <alignment horizontal="center" vertical="center"/>
      <protection locked="0" hidden="1"/>
    </xf>
    <xf numFmtId="0" fontId="48" fillId="0" borderId="0" xfId="1" applyNumberFormat="1" applyFont="1" applyFill="1" applyBorder="1" applyAlignment="1" applyProtection="1">
      <alignment horizontal="center" vertical="center"/>
      <protection locked="0" hidden="1"/>
    </xf>
    <xf numFmtId="168" fontId="9" fillId="0" borderId="0" xfId="2" applyNumberFormat="1" applyFont="1" applyFill="1" applyBorder="1" applyProtection="1">
      <protection locked="0"/>
    </xf>
    <xf numFmtId="168" fontId="26" fillId="0" borderId="0" xfId="2" applyNumberFormat="1" applyFont="1" applyFill="1" applyBorder="1" applyAlignment="1" applyProtection="1">
      <alignment horizontal="right" vertical="center" wrapText="1"/>
      <protection locked="0"/>
    </xf>
    <xf numFmtId="168" fontId="26" fillId="3" borderId="0" xfId="2" applyNumberFormat="1" applyFont="1" applyFill="1" applyBorder="1" applyAlignment="1" applyProtection="1">
      <alignment horizontal="right" vertical="center"/>
      <protection locked="0"/>
    </xf>
    <xf numFmtId="49" fontId="48" fillId="0" borderId="0" xfId="1" applyNumberFormat="1" applyFont="1" applyFill="1" applyBorder="1" applyAlignment="1" applyProtection="1">
      <alignment horizontal="center" vertical="center"/>
      <protection locked="0" hidden="1"/>
    </xf>
    <xf numFmtId="168" fontId="21" fillId="0" borderId="0" xfId="2" applyNumberFormat="1" applyFont="1" applyFill="1" applyBorder="1" applyAlignment="1" applyProtection="1">
      <alignment horizontal="right"/>
      <protection locked="0"/>
    </xf>
    <xf numFmtId="174" fontId="21" fillId="0" borderId="0" xfId="2" applyNumberFormat="1" applyFont="1" applyFill="1" applyBorder="1" applyAlignment="1" applyProtection="1">
      <alignment horizontal="right"/>
      <protection locked="0"/>
    </xf>
    <xf numFmtId="168" fontId="21" fillId="3" borderId="9" xfId="2" applyNumberFormat="1" applyFont="1" applyFill="1" applyBorder="1" applyAlignment="1" applyProtection="1">
      <alignment horizontal="right" vertical="center"/>
      <protection locked="0"/>
    </xf>
    <xf numFmtId="168" fontId="26" fillId="0" borderId="0" xfId="2" applyNumberFormat="1" applyFont="1" applyFill="1" applyBorder="1" applyAlignment="1" applyProtection="1">
      <alignment horizontal="right" vertical="center"/>
      <protection locked="0"/>
    </xf>
    <xf numFmtId="168" fontId="21" fillId="0" borderId="0" xfId="2" applyNumberFormat="1" applyFont="1" applyFill="1" applyBorder="1" applyAlignment="1" applyProtection="1">
      <alignment horizontal="right" vertical="center"/>
      <protection locked="0"/>
    </xf>
    <xf numFmtId="168" fontId="25" fillId="0" borderId="0" xfId="2" applyNumberFormat="1" applyFont="1" applyFill="1" applyAlignment="1" applyProtection="1">
      <alignment horizontal="right"/>
      <protection locked="0"/>
    </xf>
    <xf numFmtId="168" fontId="25" fillId="3" borderId="0" xfId="2" applyNumberFormat="1" applyFont="1" applyFill="1" applyAlignment="1" applyProtection="1">
      <alignment horizontal="right"/>
      <protection locked="0"/>
    </xf>
    <xf numFmtId="168" fontId="26" fillId="0" borderId="9" xfId="2" applyNumberFormat="1" applyFont="1" applyFill="1" applyBorder="1" applyAlignment="1" applyProtection="1">
      <alignment horizontal="right" vertical="center"/>
      <protection locked="0"/>
    </xf>
    <xf numFmtId="9" fontId="9" fillId="0" borderId="0" xfId="2" applyFont="1" applyFill="1" applyBorder="1" applyProtection="1">
      <protection locked="0"/>
    </xf>
    <xf numFmtId="172" fontId="21" fillId="0" borderId="0" xfId="0" applyNumberFormat="1" applyFont="1" applyProtection="1">
      <protection locked="0"/>
    </xf>
    <xf numFmtId="168" fontId="25" fillId="3" borderId="9" xfId="2" applyNumberFormat="1" applyFont="1" applyFill="1" applyBorder="1" applyAlignment="1" applyProtection="1">
      <alignment horizontal="right"/>
      <protection locked="0"/>
    </xf>
    <xf numFmtId="168" fontId="25" fillId="3" borderId="0" xfId="2" applyNumberFormat="1" applyFont="1" applyFill="1" applyBorder="1" applyAlignment="1" applyProtection="1">
      <alignment horizontal="right" vertical="center" wrapText="1"/>
      <protection locked="0"/>
    </xf>
    <xf numFmtId="168" fontId="25" fillId="0" borderId="9" xfId="2" applyNumberFormat="1" applyFont="1" applyFill="1" applyBorder="1" applyAlignment="1" applyProtection="1">
      <alignment horizontal="right"/>
      <protection locked="0"/>
    </xf>
    <xf numFmtId="168" fontId="25" fillId="4" borderId="0" xfId="2" applyNumberFormat="1" applyFont="1" applyFill="1" applyBorder="1" applyAlignment="1" applyProtection="1">
      <alignment horizontal="right" vertical="center"/>
      <protection locked="0"/>
    </xf>
    <xf numFmtId="168" fontId="9" fillId="3" borderId="0" xfId="2" applyNumberFormat="1" applyFont="1" applyFill="1" applyBorder="1" applyAlignment="1" applyProtection="1">
      <alignment horizontal="right"/>
      <protection locked="0"/>
    </xf>
    <xf numFmtId="168" fontId="9" fillId="0" borderId="0" xfId="2" applyNumberFormat="1" applyFont="1" applyFill="1" applyBorder="1" applyAlignment="1" applyProtection="1">
      <alignment horizontal="right"/>
      <protection locked="0"/>
    </xf>
    <xf numFmtId="185" fontId="25" fillId="0" borderId="0" xfId="2" applyNumberFormat="1" applyFont="1" applyFill="1" applyBorder="1" applyAlignment="1" applyProtection="1">
      <alignment horizontal="right" vertical="center"/>
      <protection locked="0"/>
    </xf>
    <xf numFmtId="185" fontId="25" fillId="3" borderId="0" xfId="2" applyNumberFormat="1" applyFont="1" applyFill="1" applyBorder="1" applyAlignment="1" applyProtection="1">
      <alignment horizontal="right" vertical="center"/>
      <protection locked="0"/>
    </xf>
    <xf numFmtId="185" fontId="51" fillId="0" borderId="0" xfId="0" applyNumberFormat="1" applyFont="1" applyAlignment="1" applyProtection="1">
      <alignment horizontal="right" vertical="center"/>
      <protection locked="0"/>
    </xf>
    <xf numFmtId="185" fontId="9" fillId="3" borderId="0" xfId="2" applyNumberFormat="1" applyFont="1" applyFill="1" applyAlignment="1" applyProtection="1">
      <alignment horizontal="right"/>
      <protection locked="0"/>
    </xf>
    <xf numFmtId="185" fontId="9" fillId="0" borderId="0" xfId="2" applyNumberFormat="1" applyFont="1" applyFill="1" applyAlignment="1" applyProtection="1">
      <alignment horizontal="right"/>
      <protection locked="0"/>
    </xf>
    <xf numFmtId="168" fontId="25" fillId="3" borderId="9" xfId="1" applyNumberFormat="1" applyFont="1" applyFill="1" applyBorder="1" applyAlignment="1" applyProtection="1">
      <alignment horizontal="right"/>
      <protection locked="0"/>
    </xf>
    <xf numFmtId="168" fontId="25" fillId="0" borderId="0" xfId="1" applyNumberFormat="1" applyFont="1" applyFill="1" applyBorder="1" applyAlignment="1" applyProtection="1">
      <alignment horizontal="right"/>
      <protection locked="0"/>
    </xf>
    <xf numFmtId="168" fontId="25" fillId="3" borderId="0" xfId="1" applyNumberFormat="1" applyFont="1" applyFill="1" applyBorder="1" applyAlignment="1" applyProtection="1">
      <alignment horizontal="right"/>
      <protection locked="0"/>
    </xf>
    <xf numFmtId="168" fontId="21" fillId="3" borderId="9" xfId="0" applyNumberFormat="1" applyFont="1" applyFill="1" applyBorder="1" applyProtection="1">
      <protection locked="0"/>
    </xf>
    <xf numFmtId="168" fontId="25" fillId="0" borderId="9" xfId="1" applyNumberFormat="1" applyFont="1" applyFill="1" applyBorder="1" applyAlignment="1" applyProtection="1">
      <alignment horizontal="right"/>
      <protection locked="0"/>
    </xf>
    <xf numFmtId="168" fontId="25" fillId="0" borderId="0" xfId="1" applyNumberFormat="1" applyFont="1" applyFill="1" applyBorder="1" applyAlignment="1" applyProtection="1">
      <alignment horizontal="right" vertical="center" wrapText="1"/>
      <protection locked="0"/>
    </xf>
    <xf numFmtId="168" fontId="25" fillId="3" borderId="0" xfId="1" applyNumberFormat="1" applyFont="1" applyFill="1" applyBorder="1" applyAlignment="1" applyProtection="1">
      <alignment horizontal="right" vertical="center" wrapText="1"/>
      <protection locked="0"/>
    </xf>
    <xf numFmtId="185" fontId="26" fillId="3" borderId="9" xfId="2" applyNumberFormat="1" applyFont="1" applyFill="1" applyBorder="1" applyAlignment="1" applyProtection="1">
      <alignment horizontal="right" vertical="center" wrapText="1"/>
      <protection locked="0"/>
    </xf>
    <xf numFmtId="185" fontId="26" fillId="0" borderId="9" xfId="2" applyNumberFormat="1" applyFont="1" applyFill="1" applyBorder="1" applyAlignment="1" applyProtection="1">
      <alignment horizontal="right" vertical="center" wrapText="1"/>
      <protection locked="0"/>
    </xf>
    <xf numFmtId="168" fontId="25" fillId="3" borderId="9" xfId="1" applyNumberFormat="1" applyFont="1" applyFill="1" applyBorder="1" applyAlignment="1" applyProtection="1">
      <alignment horizontal="right" vertical="center"/>
      <protection locked="0"/>
    </xf>
    <xf numFmtId="168" fontId="25" fillId="0" borderId="0" xfId="1" applyNumberFormat="1" applyFont="1" applyFill="1" applyBorder="1" applyAlignment="1" applyProtection="1">
      <alignment horizontal="right" vertical="center"/>
      <protection locked="0"/>
    </xf>
    <xf numFmtId="168" fontId="25" fillId="3" borderId="0" xfId="1" applyNumberFormat="1" applyFont="1" applyFill="1" applyBorder="1" applyAlignment="1" applyProtection="1">
      <alignment horizontal="right" vertical="center"/>
      <protection locked="0"/>
    </xf>
    <xf numFmtId="168" fontId="26" fillId="3" borderId="9" xfId="1" applyNumberFormat="1" applyFont="1" applyFill="1" applyBorder="1" applyAlignment="1" applyProtection="1">
      <alignment horizontal="right" vertical="center"/>
      <protection locked="0"/>
    </xf>
    <xf numFmtId="168" fontId="9" fillId="3" borderId="0" xfId="0" applyNumberFormat="1" applyFont="1" applyFill="1" applyProtection="1">
      <protection locked="0"/>
    </xf>
    <xf numFmtId="168" fontId="9" fillId="3" borderId="0" xfId="1" applyNumberFormat="1" applyFont="1" applyFill="1" applyAlignment="1" applyProtection="1">
      <alignment horizontal="right"/>
      <protection locked="0"/>
    </xf>
    <xf numFmtId="185" fontId="9" fillId="3" borderId="0" xfId="2" applyNumberFormat="1" applyFont="1" applyFill="1" applyBorder="1" applyAlignment="1" applyProtection="1">
      <alignment horizontal="right" vertical="center" wrapText="1"/>
      <protection locked="0"/>
    </xf>
    <xf numFmtId="185" fontId="9" fillId="0" borderId="0" xfId="2" applyNumberFormat="1" applyFont="1" applyFill="1" applyBorder="1" applyAlignment="1" applyProtection="1">
      <alignment horizontal="right" vertical="center" wrapText="1"/>
      <protection locked="0"/>
    </xf>
    <xf numFmtId="185" fontId="25" fillId="3" borderId="0" xfId="2" applyNumberFormat="1" applyFont="1" applyFill="1" applyBorder="1" applyAlignment="1" applyProtection="1">
      <alignment horizontal="right"/>
      <protection locked="0"/>
    </xf>
    <xf numFmtId="185" fontId="25" fillId="0" borderId="0" xfId="2" applyNumberFormat="1" applyFont="1" applyFill="1" applyBorder="1" applyAlignment="1" applyProtection="1">
      <alignment horizontal="right"/>
      <protection locked="0"/>
    </xf>
    <xf numFmtId="168" fontId="9" fillId="0" borderId="0" xfId="1" applyNumberFormat="1" applyFont="1" applyFill="1" applyAlignment="1" applyProtection="1">
      <alignment horizontal="right"/>
      <protection locked="0"/>
    </xf>
    <xf numFmtId="168" fontId="9" fillId="3" borderId="0" xfId="0" applyNumberFormat="1" applyFont="1" applyFill="1" applyAlignment="1" applyProtection="1">
      <alignment horizontal="right"/>
      <protection locked="0"/>
    </xf>
    <xf numFmtId="185" fontId="21" fillId="0" borderId="9" xfId="2" applyNumberFormat="1" applyFont="1" applyFill="1" applyBorder="1" applyAlignment="1" applyProtection="1">
      <alignment horizontal="right"/>
      <protection locked="0"/>
    </xf>
    <xf numFmtId="185" fontId="21" fillId="3" borderId="9" xfId="2" applyNumberFormat="1" applyFont="1" applyFill="1" applyBorder="1" applyAlignment="1" applyProtection="1">
      <alignment horizontal="right"/>
      <protection locked="0"/>
    </xf>
    <xf numFmtId="167" fontId="25" fillId="0" borderId="0" xfId="1" applyNumberFormat="1" applyFont="1" applyFill="1" applyBorder="1" applyAlignment="1" applyProtection="1">
      <alignment horizontal="right" vertical="center" wrapText="1"/>
      <protection locked="0"/>
    </xf>
    <xf numFmtId="176" fontId="25" fillId="0" borderId="0" xfId="1" applyNumberFormat="1" applyFont="1" applyFill="1" applyBorder="1" applyAlignment="1" applyProtection="1">
      <alignment vertical="center" wrapText="1"/>
      <protection locked="0"/>
    </xf>
    <xf numFmtId="177" fontId="9" fillId="0" borderId="0" xfId="1" applyNumberFormat="1" applyFont="1" applyFill="1" applyBorder="1" applyAlignment="1" applyProtection="1">
      <alignment horizontal="right" vertical="center"/>
      <protection locked="0"/>
    </xf>
    <xf numFmtId="166" fontId="9" fillId="0" borderId="0" xfId="1" applyNumberFormat="1" applyFont="1" applyFill="1" applyBorder="1" applyAlignment="1" applyProtection="1">
      <alignment horizontal="right" vertical="center"/>
      <protection locked="0"/>
    </xf>
    <xf numFmtId="168" fontId="9" fillId="0" borderId="0" xfId="1" applyNumberFormat="1" applyFont="1" applyFill="1" applyBorder="1" applyAlignment="1" applyProtection="1">
      <alignment horizontal="right"/>
      <protection locked="0"/>
    </xf>
    <xf numFmtId="168" fontId="9" fillId="3" borderId="0" xfId="1" applyNumberFormat="1" applyFont="1" applyFill="1" applyBorder="1" applyAlignment="1" applyProtection="1">
      <alignment horizontal="right"/>
      <protection locked="0"/>
    </xf>
    <xf numFmtId="168" fontId="21" fillId="0" borderId="3" xfId="2" applyNumberFormat="1" applyFont="1" applyFill="1" applyBorder="1" applyAlignment="1" applyProtection="1">
      <alignment horizontal="right"/>
      <protection locked="0"/>
    </xf>
    <xf numFmtId="168" fontId="21" fillId="3" borderId="3" xfId="2" applyNumberFormat="1" applyFont="1" applyFill="1" applyBorder="1" applyAlignment="1" applyProtection="1">
      <alignment horizontal="right"/>
      <protection locked="0"/>
    </xf>
    <xf numFmtId="168" fontId="25" fillId="3" borderId="9" xfId="1" applyNumberFormat="1" applyFont="1" applyFill="1" applyBorder="1" applyAlignment="1" applyProtection="1">
      <alignment horizontal="right" vertical="center" wrapText="1"/>
      <protection locked="0"/>
    </xf>
    <xf numFmtId="168" fontId="25" fillId="0" borderId="0" xfId="1" applyNumberFormat="1" applyFont="1" applyFill="1" applyBorder="1" applyAlignment="1" applyProtection="1">
      <alignment vertical="center"/>
      <protection locked="0"/>
    </xf>
    <xf numFmtId="168" fontId="25" fillId="3" borderId="0" xfId="1" applyNumberFormat="1" applyFont="1" applyFill="1" applyBorder="1" applyAlignment="1" applyProtection="1">
      <alignment vertical="center"/>
      <protection locked="0"/>
    </xf>
    <xf numFmtId="168" fontId="9" fillId="3" borderId="0" xfId="1" applyNumberFormat="1" applyFont="1" applyFill="1" applyBorder="1" applyAlignment="1" applyProtection="1">
      <alignment horizontal="right" vertical="center"/>
      <protection locked="0"/>
    </xf>
    <xf numFmtId="168" fontId="9" fillId="0" borderId="0" xfId="1" applyNumberFormat="1" applyFont="1" applyFill="1" applyBorder="1" applyAlignment="1" applyProtection="1">
      <alignment horizontal="right" vertical="center"/>
      <protection locked="0"/>
    </xf>
    <xf numFmtId="168" fontId="9" fillId="3" borderId="9" xfId="1" applyNumberFormat="1" applyFont="1" applyFill="1" applyBorder="1" applyAlignment="1" applyProtection="1">
      <alignment horizontal="right" vertical="center"/>
      <protection locked="0"/>
    </xf>
    <xf numFmtId="168" fontId="9" fillId="3" borderId="9" xfId="1" applyNumberFormat="1" applyFont="1" applyFill="1" applyBorder="1" applyAlignment="1" applyProtection="1">
      <alignment horizontal="right" vertical="center" wrapText="1"/>
      <protection locked="0"/>
    </xf>
    <xf numFmtId="168" fontId="9" fillId="0" borderId="0" xfId="1" applyNumberFormat="1" applyFont="1" applyFill="1" applyBorder="1" applyAlignment="1" applyProtection="1">
      <alignment horizontal="right" vertical="center" wrapText="1"/>
      <protection locked="0"/>
    </xf>
    <xf numFmtId="185" fontId="9" fillId="3" borderId="0" xfId="2" applyNumberFormat="1" applyFont="1" applyFill="1" applyBorder="1" applyAlignment="1" applyProtection="1">
      <alignment horizontal="right" wrapText="1"/>
      <protection locked="0"/>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xf>
    <xf numFmtId="0" fontId="8" fillId="0" borderId="0" xfId="0" applyFont="1" applyAlignment="1">
      <alignment vertical="center"/>
    </xf>
    <xf numFmtId="0" fontId="40" fillId="0" borderId="0" xfId="0" applyFont="1" applyAlignment="1">
      <alignment vertical="center"/>
    </xf>
    <xf numFmtId="0" fontId="40" fillId="0" borderId="0" xfId="0" applyFont="1" applyAlignment="1">
      <alignment vertical="center" wrapText="1"/>
    </xf>
    <xf numFmtId="0" fontId="41" fillId="0" borderId="0" xfId="0" applyFont="1" applyAlignment="1">
      <alignment vertical="center"/>
    </xf>
    <xf numFmtId="165" fontId="9" fillId="0" borderId="9" xfId="1" applyNumberFormat="1" applyFont="1" applyFill="1" applyBorder="1" applyAlignment="1" applyProtection="1">
      <alignment horizontal="left" vertical="center" wrapText="1" indent="1"/>
      <protection locked="0" hidden="1"/>
    </xf>
    <xf numFmtId="165" fontId="9" fillId="0" borderId="0" xfId="1" applyNumberFormat="1" applyFont="1" applyFill="1" applyBorder="1" applyAlignment="1" applyProtection="1">
      <alignment horizontal="left" vertical="center" wrapText="1" indent="2"/>
      <protection locked="0" hidden="1"/>
    </xf>
    <xf numFmtId="0" fontId="9" fillId="0" borderId="0" xfId="0" applyFont="1" applyAlignment="1" applyProtection="1">
      <alignment horizontal="left" vertical="center" indent="3"/>
      <protection locked="0"/>
    </xf>
    <xf numFmtId="165" fontId="52" fillId="0" borderId="0" xfId="1" applyNumberFormat="1" applyFont="1" applyFill="1" applyBorder="1" applyAlignment="1" applyProtection="1">
      <alignment vertical="center" wrapText="1"/>
      <protection locked="0" hidden="1"/>
    </xf>
    <xf numFmtId="165" fontId="30" fillId="0" borderId="0" xfId="1" applyNumberFormat="1" applyFont="1" applyFill="1" applyBorder="1" applyAlignment="1" applyProtection="1">
      <alignment horizontal="left" vertical="center" wrapText="1" indent="1"/>
      <protection locked="0" hidden="1"/>
    </xf>
    <xf numFmtId="0" fontId="30" fillId="0" borderId="0" xfId="0" applyFont="1" applyAlignment="1" applyProtection="1">
      <alignment horizontal="left" vertical="center" wrapText="1" indent="2"/>
      <protection locked="0"/>
    </xf>
    <xf numFmtId="165" fontId="9" fillId="4" borderId="9" xfId="1" applyNumberFormat="1" applyFont="1" applyFill="1" applyBorder="1" applyAlignment="1" applyProtection="1">
      <alignment horizontal="left" vertical="center" wrapText="1" indent="1"/>
      <protection locked="0" hidden="1"/>
    </xf>
    <xf numFmtId="170" fontId="9" fillId="4" borderId="9" xfId="1" applyNumberFormat="1" applyFont="1" applyFill="1" applyBorder="1" applyAlignment="1" applyProtection="1">
      <alignment horizontal="right" vertical="center" wrapText="1"/>
      <protection locked="0"/>
    </xf>
    <xf numFmtId="165" fontId="9" fillId="4" borderId="0" xfId="1" applyNumberFormat="1" applyFont="1" applyFill="1" applyBorder="1" applyAlignment="1" applyProtection="1">
      <alignment horizontal="left" vertical="center" wrapText="1" indent="1"/>
      <protection locked="0" hidden="1"/>
    </xf>
    <xf numFmtId="174" fontId="9" fillId="4" borderId="0" xfId="0" applyNumberFormat="1" applyFont="1" applyFill="1" applyAlignment="1" applyProtection="1">
      <alignment horizontal="right"/>
      <protection locked="0"/>
    </xf>
    <xf numFmtId="165" fontId="30" fillId="4" borderId="0" xfId="1" applyNumberFormat="1" applyFont="1" applyFill="1" applyBorder="1" applyAlignment="1" applyProtection="1">
      <alignment horizontal="left" vertical="center" wrapText="1" indent="1"/>
      <protection locked="0" hidden="1"/>
    </xf>
    <xf numFmtId="165" fontId="9" fillId="4" borderId="0" xfId="1" applyNumberFormat="1" applyFont="1" applyFill="1" applyBorder="1" applyAlignment="1" applyProtection="1">
      <alignment horizontal="left" vertical="center" wrapText="1" indent="2"/>
      <protection locked="0" hidden="1"/>
    </xf>
    <xf numFmtId="165" fontId="9" fillId="4" borderId="0" xfId="1" applyNumberFormat="1" applyFont="1" applyFill="1" applyBorder="1" applyAlignment="1" applyProtection="1">
      <alignment horizontal="right" vertical="center" wrapText="1"/>
      <protection locked="0"/>
    </xf>
    <xf numFmtId="0" fontId="9" fillId="4" borderId="0" xfId="0" applyFont="1" applyFill="1" applyAlignment="1" applyProtection="1">
      <alignment horizontal="left" vertical="center" wrapText="1" indent="1"/>
      <protection locked="0"/>
    </xf>
    <xf numFmtId="0" fontId="9" fillId="4" borderId="0" xfId="0" applyFont="1" applyFill="1" applyProtection="1">
      <protection locked="0"/>
    </xf>
    <xf numFmtId="0" fontId="30" fillId="4" borderId="0" xfId="0" applyFont="1" applyFill="1" applyAlignment="1" applyProtection="1">
      <alignment horizontal="left" vertical="center" wrapText="1"/>
      <protection locked="0"/>
    </xf>
    <xf numFmtId="0" fontId="9" fillId="4" borderId="0" xfId="0" applyFont="1" applyFill="1" applyAlignment="1" applyProtection="1">
      <alignment horizontal="left" vertical="center" wrapText="1" indent="2"/>
      <protection locked="0"/>
    </xf>
    <xf numFmtId="0" fontId="30" fillId="4" borderId="0" xfId="0" applyFont="1" applyFill="1" applyAlignment="1" applyProtection="1">
      <alignment horizontal="left" vertical="center" wrapText="1" indent="2"/>
      <protection locked="0"/>
    </xf>
    <xf numFmtId="165" fontId="26" fillId="4" borderId="0" xfId="1" applyNumberFormat="1" applyFont="1" applyFill="1" applyBorder="1" applyAlignment="1" applyProtection="1">
      <alignment vertical="center" wrapText="1"/>
      <protection locked="0" hidden="1"/>
    </xf>
    <xf numFmtId="0" fontId="9" fillId="4" borderId="0" xfId="0" applyFont="1" applyFill="1" applyAlignment="1" applyProtection="1">
      <alignment horizontal="left" indent="3"/>
      <protection locked="0"/>
    </xf>
    <xf numFmtId="0" fontId="9" fillId="4" borderId="0" xfId="0" applyFont="1" applyFill="1" applyAlignment="1" applyProtection="1">
      <alignment horizontal="left" vertical="center" indent="3"/>
      <protection locked="0"/>
    </xf>
    <xf numFmtId="168" fontId="9" fillId="4" borderId="9" xfId="1" applyNumberFormat="1" applyFont="1" applyFill="1" applyBorder="1" applyAlignment="1" applyProtection="1">
      <alignment horizontal="right" vertical="center" wrapText="1"/>
      <protection locked="0"/>
    </xf>
    <xf numFmtId="168" fontId="9" fillId="4" borderId="0" xfId="1" applyNumberFormat="1" applyFont="1" applyFill="1" applyBorder="1" applyAlignment="1" applyProtection="1">
      <alignment horizontal="right" vertical="center" wrapText="1"/>
      <protection locked="0"/>
    </xf>
    <xf numFmtId="168" fontId="9" fillId="0" borderId="9" xfId="1" applyNumberFormat="1" applyFont="1" applyFill="1" applyBorder="1" applyAlignment="1" applyProtection="1">
      <alignment horizontal="right" vertical="center" wrapText="1"/>
      <protection locked="0"/>
    </xf>
    <xf numFmtId="168" fontId="9" fillId="4" borderId="0" xfId="0" applyNumberFormat="1" applyFont="1" applyFill="1" applyAlignment="1" applyProtection="1">
      <alignment horizontal="right"/>
      <protection locked="0"/>
    </xf>
    <xf numFmtId="172" fontId="9" fillId="0" borderId="0" xfId="1" applyNumberFormat="1" applyFont="1" applyFill="1" applyBorder="1" applyAlignment="1" applyProtection="1">
      <alignment horizontal="right" wrapText="1"/>
      <protection locked="0"/>
    </xf>
    <xf numFmtId="172" fontId="9" fillId="0" borderId="10" xfId="1" applyNumberFormat="1" applyFont="1" applyFill="1" applyBorder="1" applyAlignment="1" applyProtection="1">
      <alignment horizontal="right" wrapText="1"/>
      <protection locked="0"/>
    </xf>
    <xf numFmtId="165" fontId="54" fillId="4" borderId="9" xfId="11" applyNumberFormat="1" applyFont="1" applyFill="1" applyBorder="1" applyAlignment="1" applyProtection="1">
      <alignment horizontal="left" vertical="center" wrapText="1"/>
      <protection locked="0" hidden="1"/>
    </xf>
    <xf numFmtId="0" fontId="55" fillId="0" borderId="0" xfId="0" applyFont="1" applyProtection="1">
      <protection locked="0"/>
    </xf>
    <xf numFmtId="165" fontId="54" fillId="0" borderId="0" xfId="11" applyNumberFormat="1" applyFont="1" applyFill="1" applyBorder="1" applyAlignment="1" applyProtection="1">
      <alignment horizontal="left" vertical="center" wrapText="1"/>
      <protection locked="0" hidden="1"/>
    </xf>
    <xf numFmtId="165" fontId="56" fillId="0" borderId="0" xfId="1" applyNumberFormat="1" applyFont="1" applyFill="1" applyBorder="1" applyAlignment="1" applyProtection="1">
      <alignment horizontal="left" vertical="center" wrapText="1" indent="1"/>
      <protection locked="0" hidden="1"/>
    </xf>
    <xf numFmtId="165" fontId="56" fillId="4" borderId="0" xfId="1" applyNumberFormat="1" applyFont="1" applyFill="1" applyBorder="1" applyAlignment="1" applyProtection="1">
      <alignment horizontal="left" vertical="center" wrapText="1" indent="1"/>
      <protection locked="0" hidden="1"/>
    </xf>
    <xf numFmtId="0" fontId="54" fillId="4" borderId="0" xfId="11" applyFont="1" applyFill="1" applyAlignment="1" applyProtection="1">
      <alignment horizontal="left" vertical="center" wrapText="1"/>
      <protection locked="0"/>
    </xf>
    <xf numFmtId="0" fontId="54" fillId="4" borderId="0" xfId="11" applyFont="1" applyFill="1" applyProtection="1">
      <protection locked="0"/>
    </xf>
    <xf numFmtId="0" fontId="54" fillId="0" borderId="0" xfId="11" applyFont="1" applyAlignment="1" applyProtection="1">
      <alignment horizontal="left" vertical="center"/>
      <protection locked="0"/>
    </xf>
    <xf numFmtId="0" fontId="54" fillId="4" borderId="0" xfId="11" applyFont="1" applyFill="1" applyAlignment="1" applyProtection="1">
      <alignment horizontal="left" vertical="center"/>
      <protection locked="0"/>
    </xf>
    <xf numFmtId="0" fontId="33" fillId="0" borderId="11" xfId="0" applyFont="1" applyBorder="1" applyAlignment="1" applyProtection="1">
      <alignment vertical="center"/>
      <protection locked="0" hidden="1"/>
    </xf>
    <xf numFmtId="0" fontId="32" fillId="0" borderId="12" xfId="0" applyFont="1" applyBorder="1" applyAlignment="1" applyProtection="1">
      <alignment horizontal="center" vertical="center"/>
      <protection locked="0" hidden="1"/>
    </xf>
    <xf numFmtId="0" fontId="32" fillId="0" borderId="13" xfId="0" applyFont="1" applyBorder="1" applyAlignment="1" applyProtection="1">
      <alignment horizontal="center" vertical="center"/>
      <protection locked="0" hidden="1"/>
    </xf>
    <xf numFmtId="0" fontId="33" fillId="0" borderId="14" xfId="0" applyFont="1" applyBorder="1" applyAlignment="1" applyProtection="1">
      <alignment vertical="center"/>
      <protection locked="0" hidden="1"/>
    </xf>
    <xf numFmtId="0" fontId="36" fillId="0" borderId="0" xfId="0" applyFont="1" applyAlignment="1" applyProtection="1">
      <alignment horizontal="center" vertical="center"/>
      <protection locked="0" hidden="1"/>
    </xf>
    <xf numFmtId="0" fontId="32" fillId="0" borderId="15" xfId="0" applyFont="1" applyBorder="1" applyAlignment="1" applyProtection="1">
      <alignment horizontal="center" vertical="center"/>
      <protection locked="0" hidden="1"/>
    </xf>
    <xf numFmtId="0" fontId="32" fillId="3" borderId="0" xfId="0" applyFont="1" applyFill="1" applyAlignment="1" applyProtection="1">
      <alignment vertical="center"/>
      <protection locked="0" hidden="1"/>
    </xf>
    <xf numFmtId="168" fontId="32" fillId="0" borderId="15" xfId="2" applyNumberFormat="1" applyFont="1" applyFill="1" applyBorder="1" applyAlignment="1" applyProtection="1">
      <alignment horizontal="center" vertical="center"/>
      <protection locked="0" hidden="1"/>
    </xf>
    <xf numFmtId="0" fontId="33" fillId="0" borderId="0" xfId="0" applyFont="1" applyAlignment="1" applyProtection="1">
      <alignment vertical="center"/>
      <protection locked="0" hidden="1"/>
    </xf>
    <xf numFmtId="168" fontId="33" fillId="0" borderId="15" xfId="2" applyNumberFormat="1" applyFont="1" applyFill="1" applyBorder="1" applyAlignment="1" applyProtection="1">
      <alignment horizontal="center" vertical="center"/>
      <protection locked="0" hidden="1"/>
    </xf>
    <xf numFmtId="168" fontId="32" fillId="6" borderId="0" xfId="0" applyNumberFormat="1" applyFont="1" applyFill="1" applyAlignment="1" applyProtection="1">
      <alignment horizontal="center" vertical="center"/>
      <protection locked="0" hidden="1"/>
    </xf>
    <xf numFmtId="0" fontId="33" fillId="0" borderId="16" xfId="0" applyFont="1" applyBorder="1" applyAlignment="1" applyProtection="1">
      <alignment vertical="center"/>
      <protection locked="0" hidden="1"/>
    </xf>
    <xf numFmtId="0" fontId="33" fillId="0" borderId="17" xfId="0" applyFont="1" applyBorder="1" applyAlignment="1" applyProtection="1">
      <alignment vertical="center"/>
      <protection locked="0" hidden="1"/>
    </xf>
    <xf numFmtId="0" fontId="33" fillId="0" borderId="17" xfId="0" applyFont="1" applyBorder="1" applyAlignment="1" applyProtection="1">
      <alignment horizontal="center" vertical="center"/>
      <protection locked="0" hidden="1"/>
    </xf>
    <xf numFmtId="0" fontId="33" fillId="0" borderId="18" xfId="0" applyFont="1" applyBorder="1" applyAlignment="1" applyProtection="1">
      <alignment horizontal="center" vertical="center"/>
      <protection locked="0" hidden="1"/>
    </xf>
    <xf numFmtId="0" fontId="33" fillId="2" borderId="11" xfId="0" applyFont="1" applyFill="1" applyBorder="1" applyAlignment="1" applyProtection="1">
      <alignment vertical="center"/>
      <protection locked="0" hidden="1"/>
    </xf>
    <xf numFmtId="0" fontId="33" fillId="2" borderId="12" xfId="0" applyFont="1" applyFill="1" applyBorder="1" applyAlignment="1" applyProtection="1">
      <alignment vertical="center"/>
      <protection locked="0" hidden="1"/>
    </xf>
    <xf numFmtId="0" fontId="33" fillId="2" borderId="12" xfId="0" applyFont="1" applyFill="1" applyBorder="1" applyAlignment="1" applyProtection="1">
      <alignment horizontal="center" vertical="center"/>
      <protection locked="0" hidden="1"/>
    </xf>
    <xf numFmtId="0" fontId="32" fillId="2" borderId="13" xfId="0" applyFont="1" applyFill="1" applyBorder="1" applyAlignment="1" applyProtection="1">
      <alignment horizontal="center" vertical="center"/>
      <protection locked="0" hidden="1"/>
    </xf>
    <xf numFmtId="0" fontId="33" fillId="0" borderId="15" xfId="0" applyFont="1" applyBorder="1" applyAlignment="1" applyProtection="1">
      <alignment horizontal="center" vertical="center" wrapText="1"/>
      <protection locked="0" hidden="1"/>
    </xf>
    <xf numFmtId="168" fontId="33" fillId="0" borderId="15" xfId="2" applyNumberFormat="1" applyFont="1" applyFill="1" applyBorder="1" applyAlignment="1" applyProtection="1">
      <alignment horizontal="center" vertical="center" wrapText="1"/>
      <protection locked="0" hidden="1"/>
    </xf>
    <xf numFmtId="0" fontId="33" fillId="2" borderId="16" xfId="0" applyFont="1" applyFill="1" applyBorder="1" applyAlignment="1" applyProtection="1">
      <alignment vertical="center"/>
      <protection locked="0" hidden="1"/>
    </xf>
    <xf numFmtId="0" fontId="33" fillId="2" borderId="17" xfId="0" applyFont="1" applyFill="1" applyBorder="1" applyAlignment="1" applyProtection="1">
      <alignment vertical="center"/>
      <protection locked="0" hidden="1"/>
    </xf>
    <xf numFmtId="0" fontId="33" fillId="2" borderId="17" xfId="0" applyFont="1" applyFill="1" applyBorder="1" applyAlignment="1" applyProtection="1">
      <alignment horizontal="center" vertical="center"/>
      <protection locked="0" hidden="1"/>
    </xf>
    <xf numFmtId="0" fontId="33" fillId="2" borderId="18" xfId="0" applyFont="1" applyFill="1" applyBorder="1" applyAlignment="1" applyProtection="1">
      <alignment horizontal="center" vertical="center"/>
      <protection locked="0" hidden="1"/>
    </xf>
    <xf numFmtId="0" fontId="33" fillId="2" borderId="13" xfId="0" applyFont="1" applyFill="1" applyBorder="1" applyAlignment="1" applyProtection="1">
      <alignment vertical="center"/>
      <protection locked="0" hidden="1"/>
    </xf>
    <xf numFmtId="0" fontId="33" fillId="2" borderId="14" xfId="0" applyFont="1" applyFill="1" applyBorder="1" applyAlignment="1" applyProtection="1">
      <alignment vertical="center"/>
      <protection locked="0" hidden="1"/>
    </xf>
    <xf numFmtId="0" fontId="33" fillId="2" borderId="15" xfId="0" applyFont="1" applyFill="1" applyBorder="1" applyAlignment="1" applyProtection="1">
      <alignment vertical="center"/>
      <protection locked="0" hidden="1"/>
    </xf>
    <xf numFmtId="0" fontId="38" fillId="2" borderId="17" xfId="0" applyFont="1" applyFill="1" applyBorder="1" applyAlignment="1" applyProtection="1">
      <alignment vertical="center"/>
      <protection locked="0" hidden="1"/>
    </xf>
    <xf numFmtId="0" fontId="33" fillId="2" borderId="18" xfId="0" applyFont="1" applyFill="1" applyBorder="1" applyAlignment="1" applyProtection="1">
      <alignment vertical="center"/>
      <protection locked="0" hidden="1"/>
    </xf>
    <xf numFmtId="0" fontId="48" fillId="0" borderId="0" xfId="0" applyFont="1" applyAlignment="1" applyProtection="1">
      <alignment horizontal="center" vertical="center"/>
      <protection locked="0" hidden="1"/>
    </xf>
    <xf numFmtId="0" fontId="33" fillId="0" borderId="0" xfId="0" applyFont="1" applyAlignment="1" applyProtection="1">
      <alignment vertical="center" wrapText="1"/>
      <protection locked="0" hidden="1"/>
    </xf>
    <xf numFmtId="0" fontId="32" fillId="0" borderId="11" xfId="0" applyFont="1" applyBorder="1" applyAlignment="1" applyProtection="1">
      <alignment horizontal="center" vertical="center"/>
      <protection locked="0" hidden="1"/>
    </xf>
    <xf numFmtId="0" fontId="33" fillId="0" borderId="12" xfId="0" applyFont="1" applyBorder="1" applyAlignment="1" applyProtection="1">
      <alignment vertical="center"/>
      <protection locked="0" hidden="1"/>
    </xf>
    <xf numFmtId="0" fontId="33" fillId="0" borderId="13" xfId="0" applyFont="1" applyBorder="1" applyAlignment="1" applyProtection="1">
      <alignment vertical="center"/>
      <protection locked="0" hidden="1"/>
    </xf>
    <xf numFmtId="0" fontId="34" fillId="0" borderId="0" xfId="0" applyFont="1" applyAlignment="1" applyProtection="1">
      <alignment horizontal="center" vertical="center"/>
      <protection locked="0" hidden="1"/>
    </xf>
    <xf numFmtId="0" fontId="33" fillId="0" borderId="15" xfId="0" applyFont="1" applyBorder="1" applyAlignment="1" applyProtection="1">
      <alignment vertical="center"/>
      <protection locked="0" hidden="1"/>
    </xf>
    <xf numFmtId="0" fontId="33" fillId="0" borderId="0" xfId="0" applyFont="1" applyAlignment="1" applyProtection="1">
      <alignment horizontal="left" vertical="center"/>
      <protection locked="0" hidden="1"/>
    </xf>
    <xf numFmtId="172" fontId="33" fillId="0" borderId="0" xfId="0" applyNumberFormat="1" applyFont="1" applyAlignment="1" applyProtection="1">
      <alignment vertical="center"/>
      <protection locked="0" hidden="1"/>
    </xf>
    <xf numFmtId="178" fontId="33" fillId="0" borderId="0" xfId="0" applyNumberFormat="1" applyFont="1" applyAlignment="1" applyProtection="1">
      <alignment vertical="center"/>
      <protection locked="0" hidden="1"/>
    </xf>
    <xf numFmtId="0" fontId="33" fillId="3" borderId="0" xfId="0" applyFont="1" applyFill="1" applyAlignment="1" applyProtection="1">
      <alignment horizontal="left" vertical="center"/>
      <protection locked="0" hidden="1"/>
    </xf>
    <xf numFmtId="172" fontId="33" fillId="3" borderId="0" xfId="0" applyNumberFormat="1" applyFont="1" applyFill="1" applyAlignment="1" applyProtection="1">
      <alignment vertical="center"/>
      <protection locked="0" hidden="1"/>
    </xf>
    <xf numFmtId="178" fontId="33" fillId="3" borderId="0" xfId="0" applyNumberFormat="1" applyFont="1" applyFill="1" applyAlignment="1" applyProtection="1">
      <alignment vertical="center"/>
      <protection locked="0" hidden="1"/>
    </xf>
    <xf numFmtId="175" fontId="33" fillId="3" borderId="0" xfId="0" applyNumberFormat="1" applyFont="1" applyFill="1" applyAlignment="1" applyProtection="1">
      <alignment vertical="center"/>
      <protection locked="0" hidden="1"/>
    </xf>
    <xf numFmtId="179" fontId="33" fillId="3" borderId="0" xfId="0" applyNumberFormat="1" applyFont="1" applyFill="1" applyAlignment="1" applyProtection="1">
      <alignment vertical="center"/>
      <protection locked="0" hidden="1"/>
    </xf>
    <xf numFmtId="175" fontId="33" fillId="0" borderId="0" xfId="0" applyNumberFormat="1" applyFont="1" applyAlignment="1" applyProtection="1">
      <alignment vertical="center"/>
      <protection locked="0" hidden="1"/>
    </xf>
    <xf numFmtId="179" fontId="33" fillId="0" borderId="0" xfId="0" applyNumberFormat="1" applyFont="1" applyAlignment="1" applyProtection="1">
      <alignment vertical="center"/>
      <protection locked="0" hidden="1"/>
    </xf>
    <xf numFmtId="0" fontId="32" fillId="0" borderId="0" xfId="0" applyFont="1" applyAlignment="1" applyProtection="1">
      <alignment horizontal="left" vertical="center"/>
      <protection locked="0" hidden="1"/>
    </xf>
    <xf numFmtId="172" fontId="32" fillId="2" borderId="17" xfId="1" applyNumberFormat="1" applyFont="1" applyFill="1" applyBorder="1" applyAlignment="1" applyProtection="1">
      <alignment horizontal="right" vertical="center"/>
      <protection locked="0" hidden="1"/>
    </xf>
    <xf numFmtId="0" fontId="31" fillId="2" borderId="17" xfId="0" applyFont="1" applyFill="1" applyBorder="1" applyAlignment="1" applyProtection="1">
      <alignment vertical="center"/>
      <protection locked="0" hidden="1"/>
    </xf>
    <xf numFmtId="0" fontId="33" fillId="0" borderId="18" xfId="0" applyFont="1" applyBorder="1" applyAlignment="1" applyProtection="1">
      <alignment vertical="center"/>
      <protection locked="0" hidden="1"/>
    </xf>
    <xf numFmtId="172" fontId="32" fillId="0" borderId="12" xfId="1" applyNumberFormat="1" applyFont="1" applyFill="1" applyBorder="1" applyAlignment="1" applyProtection="1">
      <alignment horizontal="right" vertical="center"/>
      <protection locked="0" hidden="1"/>
    </xf>
    <xf numFmtId="0" fontId="31" fillId="0" borderId="12" xfId="0" applyFont="1" applyBorder="1" applyAlignment="1" applyProtection="1">
      <alignment vertical="center"/>
      <protection locked="0" hidden="1"/>
    </xf>
    <xf numFmtId="0" fontId="32" fillId="0" borderId="0" xfId="0" applyFont="1" applyAlignment="1" applyProtection="1">
      <alignment vertical="center"/>
      <protection locked="0" hidden="1"/>
    </xf>
    <xf numFmtId="0" fontId="31" fillId="7" borderId="0" xfId="0" applyFont="1" applyFill="1" applyAlignment="1" applyProtection="1">
      <alignment vertical="center"/>
      <protection locked="0" hidden="1"/>
    </xf>
    <xf numFmtId="0" fontId="33" fillId="4" borderId="0" xfId="0" applyFont="1" applyFill="1" applyAlignment="1" applyProtection="1">
      <alignment horizontal="left" vertical="center"/>
      <protection locked="0" hidden="1"/>
    </xf>
    <xf numFmtId="0" fontId="33" fillId="0" borderId="0" xfId="0" applyFont="1" applyAlignment="1" applyProtection="1">
      <alignment horizontal="left" vertical="center" indent="2"/>
      <protection locked="0" hidden="1"/>
    </xf>
    <xf numFmtId="0" fontId="33" fillId="4" borderId="0" xfId="0" applyFont="1" applyFill="1" applyAlignment="1" applyProtection="1">
      <alignment vertical="center"/>
      <protection locked="0" hidden="1"/>
    </xf>
    <xf numFmtId="175" fontId="9" fillId="0" borderId="0" xfId="0" applyNumberFormat="1" applyFont="1" applyProtection="1">
      <protection locked="0"/>
    </xf>
    <xf numFmtId="43" fontId="9" fillId="0" borderId="0" xfId="1" applyFont="1" applyProtection="1">
      <protection locked="0"/>
    </xf>
    <xf numFmtId="186" fontId="9" fillId="0" borderId="0" xfId="0" applyNumberFormat="1" applyFont="1" applyProtection="1">
      <protection locked="0"/>
    </xf>
    <xf numFmtId="175" fontId="9" fillId="0" borderId="0" xfId="1" applyNumberFormat="1" applyFont="1" applyFill="1" applyAlignment="1" applyProtection="1">
      <alignment horizontal="right"/>
      <protection locked="0"/>
    </xf>
    <xf numFmtId="43" fontId="9" fillId="0" borderId="0" xfId="1" applyFont="1" applyFill="1" applyProtection="1">
      <protection locked="0"/>
    </xf>
    <xf numFmtId="174" fontId="9" fillId="0" borderId="0" xfId="0" applyNumberFormat="1" applyFont="1" applyProtection="1">
      <protection locked="0"/>
    </xf>
    <xf numFmtId="0" fontId="27" fillId="0" borderId="0" xfId="0" applyFont="1" applyAlignment="1" applyProtection="1">
      <alignment horizontal="left" vertical="center" indent="7"/>
      <protection locked="0" hidden="1"/>
    </xf>
    <xf numFmtId="0" fontId="27" fillId="0" borderId="0" xfId="0" applyFont="1" applyAlignment="1" applyProtection="1">
      <alignment horizontal="left" vertical="center" indent="3"/>
      <protection locked="0" hidden="1"/>
    </xf>
    <xf numFmtId="0" fontId="27" fillId="0" borderId="0" xfId="0" applyFont="1" applyAlignment="1" applyProtection="1">
      <alignment horizontal="left" vertical="center" indent="9"/>
      <protection locked="0" hidden="1"/>
    </xf>
    <xf numFmtId="185" fontId="9" fillId="0" borderId="0" xfId="2" applyNumberFormat="1" applyFont="1" applyFill="1" applyBorder="1" applyAlignment="1" applyProtection="1">
      <alignment horizontal="right"/>
      <protection locked="0"/>
    </xf>
    <xf numFmtId="172" fontId="9" fillId="3" borderId="9" xfId="1" applyNumberFormat="1" applyFont="1" applyFill="1" applyBorder="1" applyProtection="1">
      <protection locked="0"/>
    </xf>
    <xf numFmtId="168" fontId="9" fillId="3" borderId="9" xfId="2" applyNumberFormat="1" applyFont="1" applyFill="1" applyBorder="1" applyAlignment="1" applyProtection="1">
      <alignment horizontal="right"/>
      <protection locked="0"/>
    </xf>
    <xf numFmtId="185" fontId="9" fillId="3" borderId="0" xfId="2" applyNumberFormat="1" applyFont="1" applyFill="1" applyBorder="1" applyAlignment="1" applyProtection="1">
      <alignment horizontal="right"/>
      <protection locked="0"/>
    </xf>
    <xf numFmtId="168" fontId="25" fillId="4" borderId="0" xfId="2" applyNumberFormat="1" applyFont="1" applyFill="1" applyAlignment="1" applyProtection="1">
      <alignment horizontal="right"/>
      <protection locked="0"/>
    </xf>
    <xf numFmtId="168" fontId="25" fillId="4" borderId="0" xfId="2" applyNumberFormat="1" applyFont="1" applyFill="1" applyAlignment="1" applyProtection="1">
      <alignment horizontal="right" vertical="center"/>
      <protection locked="0"/>
    </xf>
    <xf numFmtId="167" fontId="26" fillId="0" borderId="0" xfId="0" applyNumberFormat="1" applyFont="1" applyAlignment="1" applyProtection="1">
      <alignment horizontal="right" vertical="center" wrapText="1"/>
      <protection locked="0"/>
    </xf>
    <xf numFmtId="168" fontId="9" fillId="0" borderId="19" xfId="2" applyNumberFormat="1" applyFont="1" applyFill="1" applyBorder="1" applyAlignment="1" applyProtection="1">
      <alignment horizontal="right"/>
      <protection locked="0"/>
    </xf>
    <xf numFmtId="168" fontId="25" fillId="0" borderId="9" xfId="2" applyNumberFormat="1" applyFont="1" applyFill="1" applyBorder="1" applyAlignment="1" applyProtection="1">
      <alignment horizontal="right" vertical="center"/>
      <protection locked="0"/>
    </xf>
    <xf numFmtId="0" fontId="9" fillId="0" borderId="9" xfId="0" applyFont="1" applyBorder="1" applyAlignment="1" applyProtection="1">
      <alignment horizontal="left" indent="1"/>
      <protection locked="0" hidden="1"/>
    </xf>
    <xf numFmtId="0" fontId="26" fillId="0" borderId="0" xfId="0" applyFont="1" applyAlignment="1" applyProtection="1">
      <alignment horizontal="left" vertical="center" wrapText="1"/>
      <protection locked="0" hidden="1"/>
    </xf>
    <xf numFmtId="0" fontId="26" fillId="3" borderId="9" xfId="0" applyFont="1" applyFill="1" applyBorder="1" applyAlignment="1" applyProtection="1">
      <alignment horizontal="left" vertical="center" wrapText="1"/>
      <protection locked="0" hidden="1"/>
    </xf>
    <xf numFmtId="167" fontId="26" fillId="3" borderId="9" xfId="0" applyNumberFormat="1" applyFont="1" applyFill="1" applyBorder="1" applyAlignment="1" applyProtection="1">
      <alignment horizontal="right" vertical="center" wrapText="1"/>
      <protection locked="0"/>
    </xf>
    <xf numFmtId="167" fontId="26" fillId="3" borderId="0" xfId="0" applyNumberFormat="1" applyFont="1" applyFill="1" applyAlignment="1" applyProtection="1">
      <alignment horizontal="right" vertical="center" wrapText="1"/>
      <protection locked="0"/>
    </xf>
    <xf numFmtId="168" fontId="26" fillId="3" borderId="0" xfId="2" applyNumberFormat="1" applyFont="1" applyFill="1" applyBorder="1" applyAlignment="1" applyProtection="1">
      <alignment horizontal="right" vertical="center" wrapText="1"/>
      <protection locked="0"/>
    </xf>
    <xf numFmtId="187" fontId="25" fillId="0" borderId="10" xfId="0" applyNumberFormat="1" applyFont="1" applyBorder="1" applyAlignment="1" applyProtection="1">
      <alignment horizontal="right" vertical="center" wrapText="1"/>
      <protection locked="0"/>
    </xf>
    <xf numFmtId="187" fontId="25" fillId="3" borderId="0" xfId="0" applyNumberFormat="1" applyFont="1" applyFill="1" applyAlignment="1" applyProtection="1">
      <alignment horizontal="right" vertical="center" wrapText="1"/>
      <protection locked="0"/>
    </xf>
    <xf numFmtId="187" fontId="25" fillId="0" borderId="0" xfId="0" applyNumberFormat="1" applyFont="1" applyAlignment="1" applyProtection="1">
      <alignment horizontal="right" vertical="center" wrapText="1"/>
      <protection locked="0"/>
    </xf>
    <xf numFmtId="168" fontId="25" fillId="0" borderId="10" xfId="2" applyNumberFormat="1" applyFont="1" applyFill="1" applyBorder="1" applyAlignment="1" applyProtection="1">
      <alignment horizontal="right" vertical="center" wrapText="1"/>
      <protection locked="0"/>
    </xf>
    <xf numFmtId="165" fontId="9" fillId="0" borderId="0" xfId="1" applyNumberFormat="1" applyFont="1" applyFill="1" applyBorder="1" applyAlignment="1" applyProtection="1">
      <alignment horizontal="right"/>
      <protection locked="0"/>
    </xf>
    <xf numFmtId="0" fontId="27" fillId="0" borderId="0" xfId="0" applyFont="1" applyAlignment="1" applyProtection="1">
      <alignment horizontal="left" indent="5"/>
      <protection locked="0" hidden="1"/>
    </xf>
    <xf numFmtId="165" fontId="9" fillId="3" borderId="0" xfId="1" applyNumberFormat="1" applyFont="1" applyFill="1" applyAlignment="1" applyProtection="1">
      <alignment horizontal="right"/>
      <protection locked="0"/>
    </xf>
    <xf numFmtId="168" fontId="9" fillId="3" borderId="0" xfId="2" applyNumberFormat="1" applyFont="1" applyFill="1" applyBorder="1" applyAlignment="1" applyProtection="1">
      <alignment horizontal="right" wrapText="1"/>
      <protection locked="0"/>
    </xf>
    <xf numFmtId="0" fontId="54" fillId="0" borderId="9" xfId="11" applyNumberFormat="1" applyFont="1" applyFill="1" applyBorder="1" applyAlignment="1" applyProtection="1">
      <alignment horizontal="left" vertical="center" wrapText="1"/>
      <protection locked="0" hidden="1"/>
    </xf>
    <xf numFmtId="175" fontId="33" fillId="4" borderId="0" xfId="0" applyNumberFormat="1" applyFont="1" applyFill="1" applyAlignment="1" applyProtection="1">
      <alignment vertical="center"/>
      <protection locked="0" hidden="1"/>
    </xf>
    <xf numFmtId="175" fontId="31" fillId="7" borderId="0" xfId="0" applyNumberFormat="1" applyFont="1" applyFill="1" applyAlignment="1" applyProtection="1">
      <alignment vertical="center"/>
      <protection locked="0" hidden="1"/>
    </xf>
    <xf numFmtId="179" fontId="33" fillId="0" borderId="0" xfId="0" applyNumberFormat="1" applyFont="1" applyAlignment="1" applyProtection="1">
      <alignment horizontal="right" vertical="center"/>
      <protection locked="0" hidden="1"/>
    </xf>
    <xf numFmtId="0" fontId="27" fillId="0" borderId="0" xfId="0" applyFont="1" applyAlignment="1" applyProtection="1">
      <alignment horizontal="left" indent="2"/>
      <protection locked="0" hidden="1"/>
    </xf>
    <xf numFmtId="0" fontId="27" fillId="3" borderId="0" xfId="0" applyFont="1" applyFill="1" applyAlignment="1" applyProtection="1">
      <alignment horizontal="left" indent="2"/>
      <protection locked="0" hidden="1"/>
    </xf>
    <xf numFmtId="9" fontId="25" fillId="3" borderId="0" xfId="2" applyFont="1" applyFill="1" applyBorder="1" applyAlignment="1" applyProtection="1">
      <alignment horizontal="right" vertical="center"/>
      <protection locked="0"/>
    </xf>
    <xf numFmtId="185" fontId="57" fillId="0" borderId="10" xfId="0" applyNumberFormat="1" applyFont="1" applyBorder="1" applyAlignment="1" applyProtection="1">
      <alignment horizontal="right" vertical="center"/>
      <protection locked="0"/>
    </xf>
    <xf numFmtId="170" fontId="9" fillId="0" borderId="0" xfId="0" applyNumberFormat="1" applyFont="1" applyProtection="1">
      <protection locked="0"/>
    </xf>
    <xf numFmtId="172" fontId="25" fillId="0" borderId="0" xfId="0" applyNumberFormat="1" applyFont="1" applyAlignment="1" applyProtection="1">
      <alignment horizontal="right" vertical="center" wrapText="1"/>
      <protection locked="0"/>
    </xf>
    <xf numFmtId="172" fontId="25" fillId="3" borderId="9" xfId="0" applyNumberFormat="1" applyFont="1" applyFill="1" applyBorder="1" applyAlignment="1" applyProtection="1">
      <alignment horizontal="right" vertical="center" wrapText="1"/>
      <protection locked="0"/>
    </xf>
    <xf numFmtId="168" fontId="25" fillId="3" borderId="9" xfId="2" applyNumberFormat="1" applyFont="1" applyFill="1" applyBorder="1" applyAlignment="1" applyProtection="1">
      <alignment horizontal="right" vertical="center" wrapText="1"/>
      <protection locked="0"/>
    </xf>
    <xf numFmtId="172" fontId="25" fillId="3" borderId="9" xfId="1" applyNumberFormat="1" applyFont="1" applyFill="1" applyBorder="1" applyAlignment="1" applyProtection="1">
      <alignment vertical="center"/>
      <protection locked="0"/>
    </xf>
    <xf numFmtId="172" fontId="21" fillId="3" borderId="9" xfId="1" applyNumberFormat="1" applyFont="1" applyFill="1" applyBorder="1" applyAlignment="1" applyProtection="1">
      <alignment horizontal="right"/>
      <protection locked="0"/>
    </xf>
    <xf numFmtId="174" fontId="21" fillId="3" borderId="9" xfId="2" applyNumberFormat="1" applyFont="1" applyFill="1" applyBorder="1" applyAlignment="1" applyProtection="1">
      <alignment horizontal="right"/>
      <protection locked="0"/>
    </xf>
    <xf numFmtId="168" fontId="9" fillId="4" borderId="0" xfId="2" applyNumberFormat="1" applyFont="1" applyFill="1" applyAlignment="1" applyProtection="1">
      <alignment horizontal="right"/>
      <protection locked="0"/>
    </xf>
    <xf numFmtId="168" fontId="9" fillId="0" borderId="9" xfId="2" applyNumberFormat="1" applyFont="1" applyFill="1" applyBorder="1" applyAlignment="1" applyProtection="1">
      <alignment horizontal="right" vertical="center" wrapText="1"/>
      <protection locked="0"/>
    </xf>
    <xf numFmtId="180" fontId="25" fillId="3" borderId="0" xfId="2" applyNumberFormat="1" applyFont="1" applyFill="1" applyBorder="1" applyAlignment="1" applyProtection="1">
      <alignment vertical="center"/>
      <protection locked="0"/>
    </xf>
    <xf numFmtId="172" fontId="9" fillId="3" borderId="0" xfId="1" applyNumberFormat="1" applyFont="1" applyFill="1" applyBorder="1" applyAlignment="1" applyProtection="1">
      <alignment horizontal="right" vertical="center"/>
      <protection locked="0"/>
    </xf>
    <xf numFmtId="165" fontId="21" fillId="3" borderId="0" xfId="1" applyNumberFormat="1" applyFont="1" applyFill="1" applyBorder="1" applyAlignment="1" applyProtection="1">
      <alignment horizontal="left" vertical="center" wrapText="1"/>
      <protection locked="0" hidden="1"/>
    </xf>
    <xf numFmtId="183" fontId="25" fillId="3" borderId="9" xfId="2" applyNumberFormat="1" applyFont="1" applyFill="1" applyBorder="1" applyAlignment="1" applyProtection="1">
      <alignment horizontal="right" vertical="center"/>
      <protection locked="0"/>
    </xf>
    <xf numFmtId="183" fontId="25" fillId="3" borderId="0" xfId="2" applyNumberFormat="1" applyFont="1" applyFill="1" applyBorder="1" applyAlignment="1" applyProtection="1">
      <alignment horizontal="right" vertical="center"/>
      <protection locked="0"/>
    </xf>
    <xf numFmtId="175" fontId="9" fillId="3" borderId="0" xfId="1" applyNumberFormat="1" applyFont="1" applyFill="1" applyBorder="1" applyAlignment="1" applyProtection="1">
      <alignment horizontal="right" vertical="center"/>
      <protection locked="0"/>
    </xf>
    <xf numFmtId="0" fontId="9" fillId="3" borderId="0" xfId="0" applyFont="1" applyFill="1" applyAlignment="1" applyProtection="1">
      <alignment horizontal="left" vertical="center" indent="1"/>
      <protection locked="0" hidden="1"/>
    </xf>
    <xf numFmtId="180" fontId="9" fillId="0" borderId="0" xfId="2" applyNumberFormat="1" applyFont="1" applyFill="1" applyBorder="1" applyAlignment="1" applyProtection="1">
      <alignment horizontal="right" vertical="center"/>
      <protection locked="0"/>
    </xf>
    <xf numFmtId="168" fontId="26" fillId="3" borderId="10" xfId="2" applyNumberFormat="1" applyFont="1" applyFill="1" applyBorder="1" applyAlignment="1" applyProtection="1">
      <alignment horizontal="right" vertical="center" wrapText="1"/>
      <protection locked="0"/>
    </xf>
    <xf numFmtId="172" fontId="9" fillId="0" borderId="0" xfId="1" applyNumberFormat="1" applyFont="1" applyProtection="1">
      <protection locked="0"/>
    </xf>
    <xf numFmtId="168" fontId="21" fillId="0" borderId="0" xfId="2" applyNumberFormat="1" applyFont="1" applyFill="1" applyBorder="1" applyProtection="1">
      <protection locked="0"/>
    </xf>
    <xf numFmtId="9" fontId="21" fillId="0" borderId="0" xfId="2" applyFont="1" applyFill="1" applyBorder="1" applyProtection="1">
      <protection locked="0"/>
    </xf>
    <xf numFmtId="172" fontId="25" fillId="0" borderId="0" xfId="2" applyNumberFormat="1" applyFont="1" applyFill="1" applyBorder="1" applyAlignment="1" applyProtection="1">
      <alignment horizontal="right" vertical="center"/>
      <protection locked="0"/>
    </xf>
    <xf numFmtId="185" fontId="57" fillId="0" borderId="0" xfId="0" applyNumberFormat="1" applyFont="1" applyAlignment="1" applyProtection="1">
      <alignment horizontal="right" vertical="center"/>
      <protection locked="0"/>
    </xf>
    <xf numFmtId="165" fontId="25" fillId="0" borderId="0" xfId="1" applyNumberFormat="1" applyFont="1" applyFill="1" applyBorder="1" applyAlignment="1" applyProtection="1">
      <alignment horizontal="left" vertical="center" wrapText="1"/>
      <protection locked="0"/>
    </xf>
    <xf numFmtId="175" fontId="25" fillId="0" borderId="0" xfId="1" applyNumberFormat="1" applyFont="1" applyFill="1" applyBorder="1" applyAlignment="1" applyProtection="1">
      <alignment horizontal="right" vertical="center"/>
      <protection locked="0"/>
    </xf>
    <xf numFmtId="0" fontId="30" fillId="0" borderId="0" xfId="0" applyFont="1" applyAlignment="1" applyProtection="1">
      <alignment horizontal="left" vertical="center" wrapText="1" indent="3"/>
      <protection locked="0" hidden="1"/>
    </xf>
    <xf numFmtId="165" fontId="9" fillId="0" borderId="0" xfId="0" applyNumberFormat="1" applyFont="1" applyProtection="1">
      <protection locked="0"/>
    </xf>
    <xf numFmtId="165" fontId="26" fillId="3" borderId="9" xfId="1" applyNumberFormat="1" applyFont="1" applyFill="1" applyBorder="1" applyAlignment="1" applyProtection="1">
      <alignment horizontal="left" vertical="center" wrapText="1"/>
      <protection locked="0"/>
    </xf>
    <xf numFmtId="185" fontId="51" fillId="3" borderId="0" xfId="0" applyNumberFormat="1" applyFont="1" applyFill="1" applyAlignment="1" applyProtection="1">
      <alignment horizontal="right" vertical="center"/>
      <protection locked="0"/>
    </xf>
    <xf numFmtId="165" fontId="9" fillId="3" borderId="0" xfId="0" applyNumberFormat="1" applyFont="1" applyFill="1" applyProtection="1">
      <protection locked="0"/>
    </xf>
    <xf numFmtId="0" fontId="27" fillId="3" borderId="0" xfId="0" applyFont="1" applyFill="1" applyAlignment="1" applyProtection="1">
      <alignment horizontal="left" indent="5"/>
      <protection locked="0" hidden="1"/>
    </xf>
    <xf numFmtId="185" fontId="57" fillId="3" borderId="10" xfId="0" applyNumberFormat="1" applyFont="1" applyFill="1" applyBorder="1" applyAlignment="1" applyProtection="1">
      <alignment horizontal="right" vertical="center"/>
      <protection locked="0"/>
    </xf>
    <xf numFmtId="165" fontId="9" fillId="0" borderId="0" xfId="1" applyNumberFormat="1" applyFont="1" applyFill="1" applyAlignment="1" applyProtection="1">
      <alignment horizontal="right"/>
      <protection locked="0"/>
    </xf>
    <xf numFmtId="172" fontId="9" fillId="0" borderId="0" xfId="1" applyNumberFormat="1" applyFont="1" applyAlignment="1" applyProtection="1">
      <alignment horizontal="right"/>
      <protection locked="0"/>
    </xf>
    <xf numFmtId="172" fontId="21" fillId="0" borderId="9" xfId="1" applyNumberFormat="1" applyFont="1" applyFill="1" applyBorder="1" applyAlignment="1" applyProtection="1">
      <alignment horizontal="right"/>
      <protection locked="0"/>
    </xf>
    <xf numFmtId="0" fontId="27" fillId="3" borderId="0" xfId="0" applyFont="1" applyFill="1" applyAlignment="1" applyProtection="1">
      <alignment horizontal="left" indent="6"/>
      <protection locked="0" hidden="1"/>
    </xf>
    <xf numFmtId="0" fontId="9" fillId="3" borderId="9" xfId="0" applyFont="1" applyFill="1" applyBorder="1" applyAlignment="1" applyProtection="1">
      <alignment horizontal="left" indent="1"/>
      <protection locked="0" hidden="1"/>
    </xf>
    <xf numFmtId="172" fontId="9" fillId="3" borderId="9" xfId="0" applyNumberFormat="1" applyFont="1" applyFill="1" applyBorder="1" applyProtection="1">
      <protection locked="0"/>
    </xf>
    <xf numFmtId="1" fontId="47" fillId="0" borderId="0" xfId="1" applyNumberFormat="1" applyFont="1" applyFill="1" applyAlignment="1" applyProtection="1">
      <alignment horizontal="center" vertical="center"/>
      <protection locked="0" hidden="1"/>
    </xf>
    <xf numFmtId="0" fontId="27" fillId="0" borderId="0" xfId="0" applyFont="1" applyAlignment="1" applyProtection="1">
      <alignment horizontal="left" vertical="center" wrapText="1" indent="3"/>
      <protection locked="0"/>
    </xf>
    <xf numFmtId="166" fontId="9" fillId="0" borderId="0" xfId="0" applyNumberFormat="1" applyFont="1" applyAlignment="1" applyProtection="1">
      <alignment horizontal="left"/>
      <protection locked="0"/>
    </xf>
    <xf numFmtId="185" fontId="9" fillId="0" borderId="0" xfId="2" applyNumberFormat="1" applyFont="1" applyFill="1" applyBorder="1" applyAlignment="1" applyProtection="1">
      <alignment horizontal="right" vertical="center"/>
      <protection locked="0"/>
    </xf>
    <xf numFmtId="170" fontId="9" fillId="3" borderId="0" xfId="1" applyNumberFormat="1" applyFont="1" applyFill="1" applyBorder="1" applyAlignment="1" applyProtection="1">
      <alignment horizontal="left" vertical="center" wrapText="1" indent="1"/>
      <protection locked="0" hidden="1"/>
    </xf>
    <xf numFmtId="170" fontId="9" fillId="3" borderId="0" xfId="1" applyNumberFormat="1" applyFont="1" applyFill="1" applyBorder="1" applyAlignment="1" applyProtection="1">
      <alignment horizontal="right" vertical="center" wrapText="1"/>
      <protection locked="0"/>
    </xf>
    <xf numFmtId="168" fontId="26" fillId="3" borderId="0" xfId="1" applyNumberFormat="1" applyFont="1" applyFill="1" applyBorder="1" applyAlignment="1" applyProtection="1">
      <alignment horizontal="right" vertical="center" wrapText="1"/>
      <protection locked="0"/>
    </xf>
    <xf numFmtId="0" fontId="10" fillId="9" borderId="0" xfId="11" applyFont="1" applyFill="1" applyBorder="1" applyAlignment="1" applyProtection="1">
      <alignment horizontal="left" vertical="center" wrapText="1"/>
      <protection locked="0" hidden="1"/>
    </xf>
    <xf numFmtId="0" fontId="10" fillId="9" borderId="0" xfId="11" applyFont="1" applyFill="1" applyBorder="1" applyAlignment="1" applyProtection="1">
      <alignment horizontal="left" wrapText="1"/>
      <protection locked="0" hidden="1"/>
    </xf>
    <xf numFmtId="0" fontId="10" fillId="9" borderId="0" xfId="11" applyFont="1" applyFill="1" applyBorder="1" applyAlignment="1" applyProtection="1">
      <alignment horizontal="center" vertical="center" wrapText="1"/>
      <protection locked="0" hidden="1"/>
    </xf>
    <xf numFmtId="0" fontId="12" fillId="9" borderId="0" xfId="11" applyFont="1" applyFill="1" applyBorder="1" applyAlignment="1" applyProtection="1">
      <alignment horizontal="left" vertical="center" wrapText="1"/>
      <protection locked="0" hidden="1"/>
    </xf>
    <xf numFmtId="0" fontId="10" fillId="9" borderId="0" xfId="0" applyFont="1" applyFill="1" applyProtection="1">
      <protection locked="0" hidden="1"/>
    </xf>
    <xf numFmtId="0" fontId="10" fillId="9" borderId="0" xfId="0" applyFont="1" applyFill="1" applyAlignment="1" applyProtection="1">
      <alignment horizontal="center"/>
      <protection locked="0" hidden="1"/>
    </xf>
    <xf numFmtId="0" fontId="15" fillId="9" borderId="0" xfId="0" applyFont="1" applyFill="1" applyAlignment="1" applyProtection="1">
      <alignment horizontal="left" vertical="center" indent="1"/>
      <protection locked="0" hidden="1"/>
    </xf>
    <xf numFmtId="0" fontId="9" fillId="9" borderId="0" xfId="0" applyFont="1" applyFill="1" applyProtection="1">
      <protection locked="0" hidden="1"/>
    </xf>
    <xf numFmtId="0" fontId="9" fillId="9" borderId="0" xfId="0" applyFont="1" applyFill="1" applyAlignment="1" applyProtection="1">
      <alignment horizontal="center"/>
      <protection locked="0" hidden="1"/>
    </xf>
    <xf numFmtId="0" fontId="18" fillId="9" borderId="0" xfId="0" applyFont="1" applyFill="1" applyAlignment="1" applyProtection="1">
      <alignment horizontal="left"/>
      <protection locked="0" hidden="1"/>
    </xf>
    <xf numFmtId="0" fontId="18" fillId="9" borderId="0" xfId="0" applyFont="1" applyFill="1" applyAlignment="1" applyProtection="1">
      <alignment horizontal="center"/>
      <protection locked="0" hidden="1"/>
    </xf>
    <xf numFmtId="0" fontId="20" fillId="9" borderId="0" xfId="0" applyFont="1" applyFill="1" applyAlignment="1" applyProtection="1">
      <alignment vertical="center"/>
      <protection locked="0" hidden="1"/>
    </xf>
    <xf numFmtId="0" fontId="20" fillId="9" borderId="0" xfId="0" applyFont="1" applyFill="1" applyAlignment="1" applyProtection="1">
      <alignment horizontal="center" vertical="center"/>
      <protection locked="0" hidden="1"/>
    </xf>
    <xf numFmtId="49" fontId="11" fillId="9" borderId="0" xfId="0" applyNumberFormat="1" applyFont="1" applyFill="1" applyAlignment="1" applyProtection="1">
      <alignment horizontal="right"/>
      <protection locked="0" hidden="1"/>
    </xf>
    <xf numFmtId="0" fontId="14" fillId="9" borderId="0" xfId="0" applyFont="1" applyFill="1" applyAlignment="1" applyProtection="1">
      <alignment wrapText="1"/>
      <protection locked="0" hidden="1"/>
    </xf>
    <xf numFmtId="0" fontId="13" fillId="9" borderId="0" xfId="0" applyFont="1" applyFill="1" applyAlignment="1" applyProtection="1">
      <alignment horizontal="left" vertical="center" wrapText="1"/>
      <protection locked="0" hidden="1"/>
    </xf>
    <xf numFmtId="0" fontId="14" fillId="9" borderId="0" xfId="0" applyFont="1" applyFill="1" applyAlignment="1" applyProtection="1">
      <alignment horizontal="center" wrapText="1"/>
      <protection locked="0" hidden="1"/>
    </xf>
    <xf numFmtId="0" fontId="14" fillId="9" borderId="0" xfId="0" applyFont="1" applyFill="1" applyAlignment="1" applyProtection="1">
      <alignment horizontal="center" vertical="center" wrapText="1"/>
      <protection locked="0" hidden="1"/>
    </xf>
    <xf numFmtId="0" fontId="12" fillId="9" borderId="0" xfId="0" applyFont="1" applyFill="1" applyProtection="1">
      <protection locked="0" hidden="1"/>
    </xf>
    <xf numFmtId="0" fontId="53" fillId="8" borderId="20" xfId="0" applyFont="1" applyFill="1" applyBorder="1" applyAlignment="1" applyProtection="1">
      <alignment horizontal="center" vertical="center"/>
      <protection locked="0" hidden="1"/>
    </xf>
    <xf numFmtId="0" fontId="58" fillId="9" borderId="0" xfId="0" applyFont="1" applyFill="1" applyAlignment="1" applyProtection="1">
      <alignment horizontal="center" vertical="center"/>
      <protection locked="0" hidden="1"/>
    </xf>
    <xf numFmtId="0" fontId="17" fillId="3" borderId="0" xfId="0" applyFont="1" applyFill="1" applyProtection="1">
      <protection locked="0" hidden="1"/>
    </xf>
    <xf numFmtId="0" fontId="17" fillId="3" borderId="0" xfId="0" applyFont="1" applyFill="1" applyAlignment="1" applyProtection="1">
      <alignment horizontal="center" vertical="center"/>
      <protection locked="0" hidden="1"/>
    </xf>
    <xf numFmtId="49" fontId="11" fillId="9" borderId="0" xfId="0" applyNumberFormat="1" applyFont="1" applyFill="1" applyAlignment="1" applyProtection="1">
      <alignment horizontal="center" vertical="center"/>
      <protection locked="0" hidden="1"/>
    </xf>
    <xf numFmtId="49" fontId="11" fillId="9" borderId="0" xfId="0" applyNumberFormat="1" applyFont="1" applyFill="1" applyAlignment="1" applyProtection="1">
      <alignment horizontal="left" vertical="center"/>
      <protection locked="0" hidden="1"/>
    </xf>
    <xf numFmtId="0" fontId="10" fillId="9" borderId="0" xfId="0" applyFont="1" applyFill="1" applyAlignment="1" applyProtection="1">
      <alignment vertical="center"/>
      <protection locked="0" hidden="1"/>
    </xf>
    <xf numFmtId="0" fontId="10" fillId="9" borderId="0" xfId="0" applyFont="1" applyFill="1" applyAlignment="1" applyProtection="1">
      <alignment horizontal="center" vertical="center"/>
      <protection locked="0" hidden="1"/>
    </xf>
    <xf numFmtId="49" fontId="11" fillId="9" borderId="0" xfId="0" applyNumberFormat="1" applyFont="1" applyFill="1" applyAlignment="1" applyProtection="1">
      <alignment horizontal="right" vertical="center"/>
      <protection locked="0" hidden="1"/>
    </xf>
    <xf numFmtId="0" fontId="59" fillId="9" borderId="0" xfId="11" applyFont="1" applyFill="1" applyBorder="1" applyAlignment="1" applyProtection="1">
      <alignment vertical="center"/>
      <protection locked="0" hidden="1"/>
    </xf>
    <xf numFmtId="0" fontId="0" fillId="10" borderId="0" xfId="0" applyFill="1" applyAlignment="1">
      <alignment vertical="center"/>
    </xf>
    <xf numFmtId="0" fontId="9" fillId="9" borderId="0" xfId="0" applyFont="1" applyFill="1" applyAlignment="1" applyProtection="1">
      <alignment vertical="center"/>
      <protection locked="0" hidden="1"/>
    </xf>
    <xf numFmtId="0" fontId="9" fillId="9" borderId="0" xfId="0" applyFont="1" applyFill="1" applyAlignment="1" applyProtection="1">
      <alignment horizontal="right" vertical="center"/>
      <protection locked="0" hidden="1"/>
    </xf>
    <xf numFmtId="165" fontId="21" fillId="0" borderId="0" xfId="1" applyNumberFormat="1" applyFont="1" applyFill="1" applyBorder="1" applyAlignment="1" applyProtection="1">
      <alignment horizontal="left" vertical="center" wrapText="1"/>
      <protection locked="0" hidden="1"/>
    </xf>
    <xf numFmtId="165" fontId="30" fillId="0" borderId="0" xfId="1" applyNumberFormat="1" applyFont="1" applyFill="1" applyBorder="1" applyAlignment="1" applyProtection="1">
      <alignment horizontal="left" vertical="center" wrapText="1" indent="4"/>
      <protection locked="0" hidden="1"/>
    </xf>
    <xf numFmtId="188" fontId="9" fillId="0" borderId="0" xfId="1" applyNumberFormat="1" applyFont="1" applyFill="1" applyProtection="1">
      <protection locked="0"/>
    </xf>
    <xf numFmtId="168" fontId="26" fillId="3" borderId="9" xfId="2" applyNumberFormat="1" applyFont="1" applyFill="1" applyBorder="1" applyAlignment="1" applyProtection="1">
      <alignment horizontal="right"/>
      <protection locked="0"/>
    </xf>
    <xf numFmtId="0" fontId="30" fillId="3" borderId="0" xfId="0" applyFont="1" applyFill="1" applyAlignment="1" applyProtection="1">
      <alignment horizontal="left" vertical="center" wrapText="1" indent="3"/>
      <protection locked="0" hidden="1"/>
    </xf>
    <xf numFmtId="168" fontId="9" fillId="0" borderId="0" xfId="2" applyNumberFormat="1" applyFont="1" applyBorder="1" applyAlignment="1" applyProtection="1">
      <alignment horizontal="right"/>
      <protection locked="0"/>
    </xf>
    <xf numFmtId="175" fontId="9" fillId="0" borderId="0" xfId="1" applyNumberFormat="1" applyFont="1" applyFill="1" applyBorder="1" applyAlignment="1" applyProtection="1">
      <alignment horizontal="right"/>
      <protection locked="0"/>
    </xf>
    <xf numFmtId="185" fontId="9" fillId="3" borderId="10" xfId="2" applyNumberFormat="1" applyFont="1" applyFill="1" applyBorder="1" applyAlignment="1" applyProtection="1">
      <alignment horizontal="right" vertical="center" wrapText="1"/>
      <protection locked="0"/>
    </xf>
    <xf numFmtId="175" fontId="9" fillId="3" borderId="0" xfId="1" applyNumberFormat="1" applyFont="1" applyFill="1" applyBorder="1" applyAlignment="1" applyProtection="1">
      <alignment horizontal="right"/>
      <protection locked="0"/>
    </xf>
    <xf numFmtId="165" fontId="26" fillId="3" borderId="10" xfId="1" applyNumberFormat="1" applyFont="1" applyFill="1" applyBorder="1" applyAlignment="1" applyProtection="1">
      <alignment horizontal="left" vertical="center" wrapText="1"/>
      <protection locked="0" hidden="1"/>
    </xf>
    <xf numFmtId="168" fontId="26" fillId="3" borderId="10" xfId="2" applyNumberFormat="1" applyFont="1" applyFill="1" applyBorder="1" applyAlignment="1" applyProtection="1">
      <alignment horizontal="right"/>
      <protection locked="0"/>
    </xf>
    <xf numFmtId="0" fontId="44" fillId="0" borderId="0" xfId="0" applyFont="1" applyProtection="1">
      <protection locked="0"/>
    </xf>
    <xf numFmtId="43" fontId="33" fillId="0" borderId="0" xfId="1" applyFont="1" applyFill="1" applyBorder="1" applyAlignment="1" applyProtection="1">
      <alignment horizontal="left" vertical="center" indent="1"/>
      <protection locked="0"/>
    </xf>
    <xf numFmtId="172" fontId="32" fillId="0" borderId="6" xfId="1" applyNumberFormat="1" applyFont="1" applyFill="1" applyBorder="1" applyAlignment="1" applyProtection="1">
      <alignment horizontal="right" vertical="center"/>
      <protection locked="0" hidden="1"/>
    </xf>
    <xf numFmtId="172" fontId="16" fillId="5" borderId="6" xfId="1" applyNumberFormat="1" applyFont="1" applyFill="1" applyBorder="1" applyAlignment="1" applyProtection="1">
      <alignment horizontal="right" vertical="center"/>
      <protection locked="0" hidden="1"/>
    </xf>
    <xf numFmtId="172" fontId="31" fillId="5" borderId="0" xfId="0" applyNumberFormat="1" applyFont="1" applyFill="1" applyAlignment="1" applyProtection="1">
      <alignment vertical="center"/>
      <protection locked="0" hidden="1"/>
    </xf>
    <xf numFmtId="172" fontId="32" fillId="3" borderId="6" xfId="1" applyNumberFormat="1" applyFont="1" applyFill="1" applyBorder="1" applyAlignment="1" applyProtection="1">
      <alignment horizontal="right" vertical="center"/>
      <protection locked="0" hidden="1"/>
    </xf>
    <xf numFmtId="172" fontId="32" fillId="0" borderId="0" xfId="1" applyNumberFormat="1" applyFont="1" applyFill="1" applyBorder="1" applyAlignment="1" applyProtection="1">
      <alignment horizontal="right" vertical="center"/>
      <protection locked="0" hidden="1"/>
    </xf>
    <xf numFmtId="172" fontId="16" fillId="5" borderId="0" xfId="1" applyNumberFormat="1" applyFont="1" applyFill="1" applyBorder="1" applyAlignment="1" applyProtection="1">
      <alignment horizontal="right" vertical="center"/>
      <protection locked="0" hidden="1"/>
    </xf>
    <xf numFmtId="172" fontId="33" fillId="3" borderId="0" xfId="1" applyNumberFormat="1" applyFont="1" applyFill="1" applyAlignment="1" applyProtection="1">
      <alignment vertical="center"/>
      <protection locked="0" hidden="1"/>
    </xf>
    <xf numFmtId="0" fontId="17" fillId="9" borderId="21" xfId="0" applyFont="1" applyFill="1" applyBorder="1" applyAlignment="1" applyProtection="1">
      <alignment vertical="center"/>
      <protection locked="0" hidden="1"/>
    </xf>
    <xf numFmtId="0" fontId="10" fillId="9" borderId="10" xfId="0" applyFont="1" applyFill="1" applyBorder="1" applyProtection="1">
      <protection locked="0" hidden="1"/>
    </xf>
    <xf numFmtId="0" fontId="10" fillId="9" borderId="10" xfId="0" applyFont="1" applyFill="1" applyBorder="1" applyAlignment="1" applyProtection="1">
      <alignment horizontal="center"/>
      <protection locked="0" hidden="1"/>
    </xf>
    <xf numFmtId="0" fontId="10" fillId="9" borderId="22" xfId="0" applyFont="1" applyFill="1" applyBorder="1" applyProtection="1">
      <protection locked="0" hidden="1"/>
    </xf>
    <xf numFmtId="0" fontId="17" fillId="9" borderId="23" xfId="0" applyFont="1" applyFill="1" applyBorder="1" applyAlignment="1" applyProtection="1">
      <alignment vertical="center"/>
      <protection locked="0" hidden="1"/>
    </xf>
    <xf numFmtId="0" fontId="10" fillId="9" borderId="24" xfId="0" applyFont="1" applyFill="1" applyBorder="1" applyProtection="1">
      <protection locked="0" hidden="1"/>
    </xf>
    <xf numFmtId="0" fontId="17" fillId="9" borderId="24" xfId="0" applyFont="1" applyFill="1" applyBorder="1" applyAlignment="1" applyProtection="1">
      <alignment vertical="center"/>
      <protection locked="0" hidden="1"/>
    </xf>
    <xf numFmtId="0" fontId="10" fillId="9" borderId="24" xfId="11" applyFont="1" applyFill="1" applyBorder="1" applyAlignment="1" applyProtection="1">
      <alignment horizontal="left" vertical="center" wrapText="1"/>
      <protection locked="0" hidden="1"/>
    </xf>
    <xf numFmtId="0" fontId="10" fillId="9" borderId="0" xfId="0" applyFont="1" applyFill="1" applyAlignment="1">
      <alignment vertical="center"/>
    </xf>
    <xf numFmtId="0" fontId="9" fillId="9" borderId="24" xfId="0" applyFont="1" applyFill="1" applyBorder="1" applyProtection="1">
      <protection locked="0" hidden="1"/>
    </xf>
    <xf numFmtId="0" fontId="9" fillId="9" borderId="23" xfId="0" applyFont="1" applyFill="1" applyBorder="1" applyProtection="1">
      <protection locked="0" hidden="1"/>
    </xf>
    <xf numFmtId="0" fontId="9" fillId="9" borderId="25" xfId="0" applyFont="1" applyFill="1" applyBorder="1" applyProtection="1">
      <protection locked="0" hidden="1"/>
    </xf>
    <xf numFmtId="0" fontId="9" fillId="9" borderId="19" xfId="0" applyFont="1" applyFill="1" applyBorder="1" applyProtection="1">
      <protection locked="0" hidden="1"/>
    </xf>
    <xf numFmtId="49" fontId="11" fillId="9" borderId="19" xfId="0" applyNumberFormat="1" applyFont="1" applyFill="1" applyBorder="1" applyAlignment="1" applyProtection="1">
      <alignment horizontal="right" vertical="center"/>
      <protection locked="0" hidden="1"/>
    </xf>
    <xf numFmtId="0" fontId="10" fillId="9" borderId="19" xfId="0" applyFont="1" applyFill="1" applyBorder="1" applyAlignment="1">
      <alignment vertical="center"/>
    </xf>
    <xf numFmtId="0" fontId="9" fillId="9" borderId="19" xfId="0" applyFont="1" applyFill="1" applyBorder="1" applyAlignment="1" applyProtection="1">
      <alignment horizontal="center"/>
      <protection locked="0" hidden="1"/>
    </xf>
    <xf numFmtId="0" fontId="9" fillId="9" borderId="26" xfId="0" applyFont="1" applyFill="1" applyBorder="1" applyProtection="1">
      <protection locked="0" hidden="1"/>
    </xf>
    <xf numFmtId="168" fontId="9" fillId="3" borderId="9" xfId="0" applyNumberFormat="1" applyFont="1" applyFill="1" applyBorder="1" applyProtection="1">
      <protection locked="0"/>
    </xf>
    <xf numFmtId="185" fontId="26" fillId="3" borderId="9" xfId="2" applyNumberFormat="1" applyFont="1" applyFill="1" applyBorder="1" applyAlignment="1" applyProtection="1">
      <alignment horizontal="right" vertical="center"/>
      <protection locked="0"/>
    </xf>
    <xf numFmtId="168" fontId="25" fillId="3" borderId="0" xfId="1" applyNumberFormat="1" applyFont="1" applyFill="1" applyBorder="1" applyAlignment="1" applyProtection="1">
      <alignment vertical="center" wrapText="1"/>
      <protection locked="0"/>
    </xf>
    <xf numFmtId="167" fontId="25" fillId="3" borderId="0" xfId="1" applyNumberFormat="1" applyFont="1" applyFill="1" applyBorder="1" applyAlignment="1" applyProtection="1">
      <alignment horizontal="right" vertical="center" wrapText="1"/>
      <protection locked="0"/>
    </xf>
    <xf numFmtId="176" fontId="25" fillId="3" borderId="0" xfId="1" applyNumberFormat="1" applyFont="1" applyFill="1" applyBorder="1" applyAlignment="1" applyProtection="1">
      <alignment vertical="center" wrapText="1"/>
      <protection locked="0"/>
    </xf>
    <xf numFmtId="181" fontId="9" fillId="3" borderId="0" xfId="2" applyNumberFormat="1" applyFont="1" applyFill="1" applyBorder="1" applyAlignment="1" applyProtection="1">
      <alignment horizontal="right" vertical="center"/>
      <protection locked="0"/>
    </xf>
    <xf numFmtId="0" fontId="30" fillId="0" borderId="0" xfId="0" applyFont="1" applyAlignment="1" applyProtection="1">
      <alignment horizontal="left" indent="6"/>
      <protection locked="0" hidden="1"/>
    </xf>
    <xf numFmtId="0" fontId="30" fillId="3" borderId="0" xfId="0" applyFont="1" applyFill="1" applyAlignment="1" applyProtection="1">
      <alignment horizontal="left" indent="6"/>
      <protection locked="0" hidden="1"/>
    </xf>
    <xf numFmtId="189" fontId="9" fillId="0" borderId="0" xfId="1" applyNumberFormat="1" applyFont="1" applyFill="1" applyBorder="1" applyAlignment="1" applyProtection="1">
      <alignment horizontal="right" vertical="center"/>
      <protection locked="0"/>
    </xf>
    <xf numFmtId="0" fontId="27" fillId="0" borderId="0" xfId="0" applyFont="1" applyAlignment="1" applyProtection="1">
      <alignment horizontal="left" indent="6"/>
      <protection locked="0" hidden="1"/>
    </xf>
    <xf numFmtId="185" fontId="21" fillId="0" borderId="0" xfId="2" applyNumberFormat="1" applyFont="1" applyFill="1" applyBorder="1" applyAlignment="1" applyProtection="1">
      <alignment horizontal="right"/>
      <protection locked="0"/>
    </xf>
    <xf numFmtId="190" fontId="25" fillId="0" borderId="9" xfId="1" applyNumberFormat="1" applyFont="1" applyFill="1" applyBorder="1" applyAlignment="1" applyProtection="1">
      <alignment horizontal="right"/>
      <protection locked="0"/>
    </xf>
    <xf numFmtId="190" fontId="25" fillId="0" borderId="0" xfId="1" applyNumberFormat="1" applyFont="1" applyFill="1" applyBorder="1" applyAlignment="1" applyProtection="1">
      <alignment horizontal="right"/>
      <protection locked="0"/>
    </xf>
    <xf numFmtId="190" fontId="9" fillId="0" borderId="0" xfId="1" applyNumberFormat="1" applyFont="1" applyFill="1" applyBorder="1" applyAlignment="1" applyProtection="1">
      <alignment horizontal="right"/>
      <protection locked="0"/>
    </xf>
    <xf numFmtId="168" fontId="21" fillId="3" borderId="0" xfId="2" applyNumberFormat="1" applyFont="1" applyFill="1" applyBorder="1" applyAlignment="1" applyProtection="1">
      <alignment horizontal="right"/>
      <protection locked="0"/>
    </xf>
    <xf numFmtId="185" fontId="21" fillId="3" borderId="0" xfId="2" applyNumberFormat="1" applyFont="1" applyFill="1" applyBorder="1" applyAlignment="1" applyProtection="1">
      <alignment horizontal="right"/>
      <protection locked="0"/>
    </xf>
    <xf numFmtId="190" fontId="25" fillId="3" borderId="0" xfId="1" applyNumberFormat="1" applyFont="1" applyFill="1" applyBorder="1" applyAlignment="1" applyProtection="1">
      <alignment horizontal="right"/>
      <protection locked="0"/>
    </xf>
    <xf numFmtId="190" fontId="9" fillId="3" borderId="0" xfId="1" applyNumberFormat="1" applyFont="1" applyFill="1" applyAlignment="1" applyProtection="1">
      <alignment horizontal="right"/>
      <protection locked="0"/>
    </xf>
    <xf numFmtId="185" fontId="9" fillId="3" borderId="9" xfId="2" applyNumberFormat="1" applyFont="1" applyFill="1" applyBorder="1" applyAlignment="1" applyProtection="1">
      <alignment horizontal="right"/>
      <protection locked="0"/>
    </xf>
    <xf numFmtId="0" fontId="25" fillId="3" borderId="9" xfId="0" applyFont="1" applyFill="1" applyBorder="1" applyAlignment="1" applyProtection="1">
      <alignment horizontal="left" indent="2"/>
      <protection locked="0" hidden="1"/>
    </xf>
    <xf numFmtId="172" fontId="25" fillId="3" borderId="4" xfId="1" applyNumberFormat="1" applyFont="1" applyFill="1" applyBorder="1" applyAlignment="1" applyProtection="1">
      <alignment horizontal="right"/>
      <protection locked="0"/>
    </xf>
    <xf numFmtId="165" fontId="21" fillId="0" borderId="0" xfId="1" applyNumberFormat="1" applyFont="1" applyAlignment="1" applyProtection="1">
      <alignment horizontal="right" vertical="center"/>
      <protection locked="0"/>
    </xf>
    <xf numFmtId="165" fontId="26" fillId="0" borderId="0" xfId="1" applyNumberFormat="1" applyFont="1" applyAlignment="1" applyProtection="1">
      <alignment vertical="center" wrapText="1"/>
      <protection locked="0"/>
    </xf>
    <xf numFmtId="170" fontId="9" fillId="0" borderId="0" xfId="1" applyNumberFormat="1" applyFont="1" applyAlignment="1" applyProtection="1">
      <alignment horizontal="right" vertical="center" wrapText="1"/>
      <protection locked="0"/>
    </xf>
    <xf numFmtId="170" fontId="9" fillId="0" borderId="0" xfId="1" applyNumberFormat="1" applyFont="1" applyAlignment="1" applyProtection="1">
      <alignment horizontal="right" wrapText="1"/>
      <protection locked="0"/>
    </xf>
    <xf numFmtId="172" fontId="9" fillId="0" borderId="0" xfId="1" applyNumberFormat="1" applyFont="1" applyAlignment="1" applyProtection="1">
      <alignment horizontal="right" wrapText="1"/>
      <protection locked="0"/>
    </xf>
    <xf numFmtId="165" fontId="9" fillId="4" borderId="0" xfId="1" applyNumberFormat="1" applyFont="1" applyFill="1" applyAlignment="1" applyProtection="1">
      <alignment horizontal="right" vertical="center" wrapText="1"/>
      <protection locked="0"/>
    </xf>
    <xf numFmtId="174" fontId="9" fillId="0" borderId="0" xfId="2" applyNumberFormat="1" applyFont="1" applyAlignment="1" applyProtection="1">
      <alignment horizontal="right" wrapText="1"/>
      <protection locked="0"/>
    </xf>
    <xf numFmtId="172" fontId="9" fillId="0" borderId="10" xfId="1" applyNumberFormat="1" applyFont="1" applyBorder="1" applyAlignment="1" applyProtection="1">
      <alignment horizontal="right" wrapText="1"/>
      <protection locked="0"/>
    </xf>
    <xf numFmtId="165" fontId="35" fillId="0" borderId="0" xfId="1" applyNumberFormat="1" applyFont="1" applyAlignment="1" applyProtection="1">
      <alignment horizontal="center" vertical="center"/>
      <protection locked="0" hidden="1"/>
    </xf>
    <xf numFmtId="177" fontId="9" fillId="3" borderId="4" xfId="1" applyNumberFormat="1" applyFont="1" applyFill="1" applyBorder="1" applyAlignment="1" applyProtection="1">
      <alignment horizontal="right" vertical="center"/>
      <protection locked="0"/>
    </xf>
    <xf numFmtId="9" fontId="9" fillId="0" borderId="0" xfId="2" applyFont="1" applyAlignment="1" applyProtection="1">
      <alignment horizontal="right"/>
      <protection locked="0"/>
    </xf>
    <xf numFmtId="166" fontId="21" fillId="0" borderId="9" xfId="0" applyNumberFormat="1" applyFont="1" applyBorder="1" applyProtection="1">
      <protection locked="0"/>
    </xf>
    <xf numFmtId="166" fontId="21" fillId="0" borderId="0" xfId="0" applyNumberFormat="1" applyFont="1" applyProtection="1">
      <protection locked="0"/>
    </xf>
    <xf numFmtId="168" fontId="21" fillId="0" borderId="9" xfId="0" applyNumberFormat="1" applyFont="1" applyBorder="1" applyProtection="1">
      <protection locked="0"/>
    </xf>
    <xf numFmtId="173" fontId="9" fillId="0" borderId="0" xfId="0" applyNumberFormat="1" applyFont="1" applyProtection="1">
      <protection locked="0"/>
    </xf>
    <xf numFmtId="0" fontId="25" fillId="0" borderId="0" xfId="0" applyFont="1" applyAlignment="1" applyProtection="1">
      <alignment horizontal="left"/>
      <protection locked="0" hidden="1"/>
    </xf>
    <xf numFmtId="0" fontId="0" fillId="11" borderId="0" xfId="0" applyFill="1" applyAlignment="1">
      <alignment vertical="center"/>
    </xf>
    <xf numFmtId="0" fontId="30" fillId="0" borderId="0" xfId="0" applyFont="1" applyAlignment="1" applyProtection="1">
      <alignment horizontal="left" vertical="center" wrapText="1" indent="6"/>
      <protection locked="0" hidden="1"/>
    </xf>
    <xf numFmtId="0" fontId="30" fillId="3" borderId="0" xfId="0" applyFont="1" applyFill="1" applyAlignment="1" applyProtection="1">
      <alignment horizontal="left" vertical="center" wrapText="1" indent="6"/>
      <protection locked="0" hidden="1"/>
    </xf>
    <xf numFmtId="191" fontId="21" fillId="3" borderId="10" xfId="0" applyNumberFormat="1" applyFont="1" applyFill="1" applyBorder="1" applyAlignment="1" applyProtection="1">
      <alignment horizontal="right"/>
      <protection locked="0"/>
    </xf>
    <xf numFmtId="168" fontId="9" fillId="3" borderId="10" xfId="2" applyNumberFormat="1" applyFont="1" applyFill="1" applyBorder="1" applyAlignment="1" applyProtection="1">
      <alignment horizontal="right"/>
      <protection locked="0"/>
    </xf>
    <xf numFmtId="168" fontId="9" fillId="0" borderId="10" xfId="2" applyNumberFormat="1" applyFont="1" applyFill="1" applyBorder="1" applyAlignment="1" applyProtection="1">
      <alignment horizontal="right"/>
      <protection locked="0"/>
    </xf>
    <xf numFmtId="191" fontId="21" fillId="0" borderId="10" xfId="0" applyNumberFormat="1" applyFont="1" applyBorder="1" applyAlignment="1" applyProtection="1">
      <alignment horizontal="right"/>
      <protection locked="0"/>
    </xf>
    <xf numFmtId="0" fontId="26" fillId="3" borderId="0" xfId="0" applyFont="1" applyFill="1" applyAlignment="1" applyProtection="1">
      <alignment horizontal="left" indent="1"/>
      <protection locked="0" hidden="1"/>
    </xf>
    <xf numFmtId="192" fontId="21" fillId="3" borderId="0" xfId="0" applyNumberFormat="1" applyFont="1" applyFill="1" applyAlignment="1" applyProtection="1">
      <alignment horizontal="right"/>
      <protection locked="0"/>
    </xf>
    <xf numFmtId="192" fontId="21" fillId="0" borderId="0" xfId="0" applyNumberFormat="1" applyFont="1" applyAlignment="1" applyProtection="1">
      <alignment horizontal="right"/>
      <protection locked="0"/>
    </xf>
    <xf numFmtId="172" fontId="9" fillId="0" borderId="9" xfId="1" applyNumberFormat="1" applyFont="1" applyFill="1" applyBorder="1" applyAlignment="1" applyProtection="1">
      <alignment horizontal="right"/>
      <protection locked="0"/>
    </xf>
    <xf numFmtId="168" fontId="9" fillId="0" borderId="9" xfId="2" applyNumberFormat="1" applyFont="1" applyFill="1" applyBorder="1" applyAlignment="1" applyProtection="1">
      <alignment horizontal="right"/>
      <protection locked="0"/>
    </xf>
    <xf numFmtId="0" fontId="21" fillId="0" borderId="0" xfId="0" applyFont="1" applyAlignment="1" applyProtection="1">
      <alignment horizontal="left" indent="1"/>
      <protection locked="0" hidden="1"/>
    </xf>
    <xf numFmtId="172" fontId="21" fillId="3" borderId="0" xfId="1" applyNumberFormat="1" applyFont="1" applyFill="1" applyBorder="1" applyAlignment="1" applyProtection="1">
      <alignment horizontal="right"/>
      <protection locked="0"/>
    </xf>
    <xf numFmtId="0" fontId="25" fillId="2" borderId="0" xfId="0" applyFont="1" applyFill="1" applyAlignment="1" applyProtection="1">
      <alignment horizontal="left" indent="1"/>
      <protection locked="0" hidden="1"/>
    </xf>
    <xf numFmtId="175" fontId="9" fillId="2" borderId="0" xfId="1" applyNumberFormat="1" applyFont="1" applyFill="1" applyBorder="1" applyAlignment="1" applyProtection="1">
      <alignment horizontal="right"/>
      <protection locked="0"/>
    </xf>
    <xf numFmtId="168" fontId="9" fillId="2" borderId="0" xfId="2" applyNumberFormat="1" applyFont="1" applyFill="1" applyBorder="1" applyAlignment="1" applyProtection="1">
      <alignment horizontal="right"/>
      <protection locked="0"/>
    </xf>
    <xf numFmtId="185" fontId="9" fillId="2" borderId="0" xfId="2" applyNumberFormat="1" applyFont="1" applyFill="1" applyBorder="1" applyAlignment="1" applyProtection="1">
      <alignment horizontal="right" vertical="center" wrapText="1"/>
      <protection locked="0"/>
    </xf>
    <xf numFmtId="168" fontId="9" fillId="2" borderId="0" xfId="2" applyNumberFormat="1" applyFont="1" applyFill="1" applyBorder="1" applyAlignment="1" applyProtection="1">
      <alignment horizontal="right" vertical="center" wrapText="1"/>
      <protection locked="0"/>
    </xf>
    <xf numFmtId="172" fontId="26" fillId="3" borderId="9" xfId="1" applyNumberFormat="1" applyFont="1" applyFill="1" applyBorder="1" applyAlignment="1" applyProtection="1">
      <alignment horizontal="right"/>
      <protection locked="0"/>
    </xf>
    <xf numFmtId="0" fontId="26" fillId="3" borderId="9" xfId="0" applyFont="1" applyFill="1" applyBorder="1" applyAlignment="1" applyProtection="1">
      <alignment horizontal="left" indent="1"/>
      <protection locked="0" hidden="1"/>
    </xf>
    <xf numFmtId="171" fontId="9" fillId="0" borderId="0" xfId="0" applyNumberFormat="1" applyFont="1" applyProtection="1">
      <protection locked="0"/>
    </xf>
    <xf numFmtId="0" fontId="25" fillId="2" borderId="0" xfId="0" applyFont="1" applyFill="1" applyAlignment="1" applyProtection="1">
      <alignment horizontal="left" vertical="center" indent="1"/>
      <protection locked="0" hidden="1"/>
    </xf>
    <xf numFmtId="0" fontId="27" fillId="2" borderId="0" xfId="0" applyFont="1" applyFill="1" applyAlignment="1" applyProtection="1">
      <alignment horizontal="left" vertical="center" indent="2"/>
      <protection locked="0" hidden="1"/>
    </xf>
    <xf numFmtId="1" fontId="25" fillId="3" borderId="0" xfId="2" applyNumberFormat="1" applyFont="1" applyFill="1" applyBorder="1" applyAlignment="1" applyProtection="1">
      <alignment horizontal="right" vertical="center"/>
      <protection locked="0"/>
    </xf>
    <xf numFmtId="43" fontId="25" fillId="3" borderId="0" xfId="1" applyFont="1" applyFill="1" applyBorder="1" applyAlignment="1" applyProtection="1">
      <alignment horizontal="right"/>
      <protection locked="0"/>
    </xf>
    <xf numFmtId="0" fontId="25" fillId="2" borderId="0" xfId="0" applyFont="1" applyFill="1" applyAlignment="1" applyProtection="1">
      <alignment vertical="center"/>
      <protection locked="0"/>
    </xf>
    <xf numFmtId="172" fontId="25" fillId="2" borderId="0" xfId="1" applyNumberFormat="1" applyFont="1" applyFill="1" applyBorder="1" applyAlignment="1" applyProtection="1">
      <alignment horizontal="right" vertical="center"/>
      <protection locked="0"/>
    </xf>
    <xf numFmtId="183" fontId="25" fillId="2" borderId="0" xfId="2" applyNumberFormat="1" applyFont="1" applyFill="1" applyBorder="1" applyAlignment="1" applyProtection="1">
      <alignment vertical="center"/>
      <protection locked="0"/>
    </xf>
    <xf numFmtId="0" fontId="9" fillId="2" borderId="0" xfId="0" applyFont="1" applyFill="1" applyAlignment="1" applyProtection="1">
      <alignment horizontal="right" vertical="center"/>
      <protection locked="0"/>
    </xf>
    <xf numFmtId="0" fontId="9" fillId="2" borderId="0" xfId="0" applyFont="1" applyFill="1" applyAlignment="1" applyProtection="1">
      <alignment vertical="center"/>
      <protection locked="0"/>
    </xf>
    <xf numFmtId="172" fontId="26" fillId="2" borderId="0" xfId="1" applyNumberFormat="1" applyFont="1" applyFill="1" applyBorder="1" applyAlignment="1" applyProtection="1">
      <alignment horizontal="right" vertical="center"/>
      <protection locked="0"/>
    </xf>
    <xf numFmtId="0" fontId="25" fillId="2" borderId="0" xfId="0" applyFont="1" applyFill="1" applyAlignment="1" applyProtection="1">
      <alignment horizontal="left" vertical="center"/>
      <protection locked="0"/>
    </xf>
    <xf numFmtId="0" fontId="9" fillId="2" borderId="9" xfId="0" applyFont="1" applyFill="1" applyBorder="1" applyAlignment="1" applyProtection="1">
      <alignment horizontal="left" vertical="center" indent="1"/>
      <protection locked="0" hidden="1"/>
    </xf>
    <xf numFmtId="175" fontId="25" fillId="2" borderId="9" xfId="1" applyNumberFormat="1" applyFont="1" applyFill="1" applyBorder="1" applyAlignment="1" applyProtection="1">
      <alignment vertical="center"/>
      <protection locked="0"/>
    </xf>
    <xf numFmtId="175" fontId="25" fillId="2" borderId="0" xfId="1" applyNumberFormat="1" applyFont="1" applyFill="1" applyBorder="1" applyAlignment="1" applyProtection="1">
      <alignment vertical="center"/>
      <protection locked="0"/>
    </xf>
    <xf numFmtId="183" fontId="25" fillId="2" borderId="9" xfId="2" applyNumberFormat="1" applyFont="1" applyFill="1" applyBorder="1" applyAlignment="1" applyProtection="1">
      <alignment vertical="center"/>
      <protection locked="0"/>
    </xf>
    <xf numFmtId="183" fontId="25" fillId="2" borderId="9" xfId="2" applyNumberFormat="1" applyFont="1" applyFill="1" applyBorder="1" applyAlignment="1" applyProtection="1">
      <alignment horizontal="right" vertical="center"/>
      <protection locked="0"/>
    </xf>
    <xf numFmtId="183" fontId="25" fillId="2" borderId="0" xfId="2" applyNumberFormat="1" applyFont="1" applyFill="1" applyBorder="1" applyAlignment="1" applyProtection="1">
      <alignment horizontal="right" vertical="center"/>
      <protection locked="0"/>
    </xf>
    <xf numFmtId="43" fontId="9" fillId="2" borderId="0" xfId="2" applyNumberFormat="1" applyFont="1" applyFill="1" applyBorder="1" applyAlignment="1" applyProtection="1">
      <alignment vertical="center"/>
      <protection locked="0"/>
    </xf>
    <xf numFmtId="172" fontId="25" fillId="2" borderId="0" xfId="1" applyNumberFormat="1" applyFont="1" applyFill="1" applyBorder="1" applyAlignment="1" applyProtection="1">
      <alignment vertical="center"/>
      <protection locked="0"/>
    </xf>
    <xf numFmtId="180" fontId="25" fillId="2" borderId="0" xfId="2" applyNumberFormat="1" applyFont="1" applyFill="1" applyBorder="1" applyAlignment="1" applyProtection="1">
      <alignment horizontal="right" vertical="center"/>
      <protection locked="0"/>
    </xf>
    <xf numFmtId="0" fontId="26" fillId="2" borderId="0" xfId="0" applyFont="1" applyFill="1" applyAlignment="1" applyProtection="1">
      <alignment horizontal="left" vertical="center"/>
      <protection locked="0" hidden="1"/>
    </xf>
    <xf numFmtId="180" fontId="9" fillId="2" borderId="0" xfId="2" applyNumberFormat="1" applyFont="1" applyFill="1" applyBorder="1" applyAlignment="1" applyProtection="1">
      <alignment horizontal="right" vertical="center"/>
      <protection locked="0"/>
    </xf>
    <xf numFmtId="172" fontId="21" fillId="2" borderId="0" xfId="1" applyNumberFormat="1" applyFont="1" applyFill="1" applyBorder="1" applyAlignment="1" applyProtection="1">
      <alignment horizontal="right" vertical="center"/>
      <protection locked="0"/>
    </xf>
    <xf numFmtId="165" fontId="25" fillId="2" borderId="9" xfId="1" applyNumberFormat="1" applyFont="1" applyFill="1" applyBorder="1" applyAlignment="1" applyProtection="1">
      <alignment horizontal="left" vertical="center" wrapText="1" indent="1"/>
      <protection locked="0" hidden="1"/>
    </xf>
    <xf numFmtId="168" fontId="25" fillId="2" borderId="9" xfId="2" applyNumberFormat="1" applyFont="1" applyFill="1" applyBorder="1" applyAlignment="1" applyProtection="1">
      <alignment vertical="center"/>
      <protection locked="0"/>
    </xf>
    <xf numFmtId="168" fontId="25" fillId="2" borderId="0" xfId="2" applyNumberFormat="1" applyFont="1" applyFill="1" applyBorder="1" applyAlignment="1" applyProtection="1">
      <alignment vertical="center"/>
      <protection locked="0"/>
    </xf>
    <xf numFmtId="182" fontId="25" fillId="2" borderId="9" xfId="2" applyNumberFormat="1" applyFont="1" applyFill="1" applyBorder="1" applyAlignment="1" applyProtection="1">
      <alignment vertical="center"/>
      <protection locked="0"/>
    </xf>
    <xf numFmtId="182" fontId="25" fillId="2" borderId="9" xfId="2" applyNumberFormat="1" applyFont="1" applyFill="1" applyBorder="1" applyAlignment="1" applyProtection="1">
      <alignment horizontal="right" vertical="center"/>
      <protection locked="0"/>
    </xf>
    <xf numFmtId="0" fontId="9" fillId="2" borderId="0" xfId="0" applyFont="1" applyFill="1" applyAlignment="1" applyProtection="1">
      <alignment horizontal="left" vertical="center" indent="1"/>
      <protection locked="0" hidden="1"/>
    </xf>
    <xf numFmtId="182" fontId="25" fillId="2" borderId="0" xfId="2" applyNumberFormat="1" applyFont="1" applyFill="1" applyBorder="1" applyAlignment="1" applyProtection="1">
      <alignment vertical="center"/>
      <protection locked="0"/>
    </xf>
    <xf numFmtId="182" fontId="25" fillId="2" borderId="0" xfId="2" applyNumberFormat="1" applyFont="1" applyFill="1" applyBorder="1" applyAlignment="1" applyProtection="1">
      <alignment horizontal="right" vertical="center"/>
      <protection locked="0"/>
    </xf>
    <xf numFmtId="168" fontId="9" fillId="2" borderId="0" xfId="2" applyNumberFormat="1" applyFont="1" applyFill="1" applyBorder="1" applyAlignment="1" applyProtection="1">
      <alignment vertical="center"/>
      <protection locked="0"/>
    </xf>
    <xf numFmtId="168" fontId="9" fillId="2" borderId="0" xfId="2" applyNumberFormat="1" applyFont="1" applyFill="1" applyBorder="1" applyAlignment="1" applyProtection="1">
      <alignment horizontal="right" vertical="center"/>
      <protection locked="0"/>
    </xf>
    <xf numFmtId="0" fontId="25" fillId="3" borderId="0" xfId="0" applyFont="1" applyFill="1" applyAlignment="1" applyProtection="1">
      <alignment horizontal="left" vertical="center" indent="5"/>
      <protection locked="0" hidden="1"/>
    </xf>
    <xf numFmtId="168" fontId="25" fillId="3" borderId="9" xfId="2" applyNumberFormat="1" applyFont="1" applyFill="1" applyBorder="1" applyAlignment="1" applyProtection="1">
      <alignment vertical="center"/>
      <protection locked="0"/>
    </xf>
    <xf numFmtId="182" fontId="25" fillId="3" borderId="10" xfId="2" applyNumberFormat="1" applyFont="1" applyFill="1" applyBorder="1" applyAlignment="1" applyProtection="1">
      <alignment vertical="center"/>
      <protection locked="0"/>
    </xf>
    <xf numFmtId="182" fontId="25" fillId="3" borderId="10" xfId="2" applyNumberFormat="1" applyFont="1" applyFill="1" applyBorder="1" applyAlignment="1" applyProtection="1">
      <alignment horizontal="right" vertical="center"/>
      <protection locked="0"/>
    </xf>
    <xf numFmtId="0" fontId="27" fillId="2" borderId="0" xfId="0" applyFont="1" applyFill="1" applyAlignment="1" applyProtection="1">
      <alignment horizontal="left" vertical="center" indent="3"/>
      <protection locked="0" hidden="1"/>
    </xf>
    <xf numFmtId="0" fontId="19" fillId="9" borderId="0" xfId="0" applyFont="1" applyFill="1" applyAlignment="1" applyProtection="1">
      <alignment horizontal="center" vertical="center"/>
      <protection locked="0" hidden="1"/>
    </xf>
    <xf numFmtId="0" fontId="9" fillId="0" borderId="0" xfId="0" applyFont="1" applyAlignment="1" applyProtection="1">
      <alignment horizontal="left" wrapText="1"/>
      <protection locked="0" hidden="1"/>
    </xf>
    <xf numFmtId="0" fontId="9" fillId="0" borderId="0" xfId="0" applyFont="1" applyAlignment="1" applyProtection="1">
      <alignment horizontal="left" wrapText="1"/>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center" vertical="center"/>
      <protection locked="0"/>
    </xf>
    <xf numFmtId="0" fontId="49" fillId="2" borderId="0" xfId="0" applyFont="1" applyFill="1" applyAlignment="1" applyProtection="1">
      <alignment horizontal="center" vertical="center"/>
      <protection locked="0" hidden="1"/>
    </xf>
    <xf numFmtId="0" fontId="9" fillId="2" borderId="0" xfId="0" applyFont="1" applyFill="1" applyAlignment="1" applyProtection="1">
      <alignment horizontal="left" vertical="top" wrapText="1"/>
      <protection locked="0" hidden="1"/>
    </xf>
    <xf numFmtId="0" fontId="9" fillId="2" borderId="15" xfId="0" applyFont="1" applyFill="1" applyBorder="1" applyAlignment="1" applyProtection="1">
      <alignment horizontal="left" vertical="top" wrapText="1"/>
      <protection locked="0" hidden="1"/>
    </xf>
    <xf numFmtId="0" fontId="33" fillId="3" borderId="0" xfId="0" applyFont="1" applyFill="1" applyAlignment="1" applyProtection="1">
      <alignment horizontal="center" vertical="center" wrapText="1"/>
      <protection locked="0" hidden="1"/>
    </xf>
    <xf numFmtId="0" fontId="37" fillId="0" borderId="12" xfId="0" applyFont="1" applyBorder="1" applyAlignment="1" applyProtection="1">
      <alignment horizontal="center" vertical="center"/>
      <protection locked="0" hidden="1"/>
    </xf>
    <xf numFmtId="0" fontId="33" fillId="2" borderId="0" xfId="0" applyFont="1" applyFill="1" applyAlignment="1" applyProtection="1">
      <alignment horizontal="left" wrapText="1"/>
      <protection locked="0" hidden="1"/>
    </xf>
    <xf numFmtId="0" fontId="33" fillId="2" borderId="15" xfId="0" applyFont="1" applyFill="1" applyBorder="1" applyAlignment="1" applyProtection="1">
      <alignment horizontal="left" wrapText="1"/>
      <protection locked="0" hidden="1"/>
    </xf>
  </cellXfs>
  <cellStyles count="12">
    <cellStyle name="Comma" xfId="1" builtinId="3"/>
    <cellStyle name="Estilo 2" xfId="8" xr:uid="{00000000-0005-0000-0000-000000000000}"/>
    <cellStyle name="Hyperlink" xfId="11" builtinId="8"/>
    <cellStyle name="Normal" xfId="0" builtinId="0"/>
    <cellStyle name="Normal 11" xfId="5" xr:uid="{00000000-0005-0000-0000-000002000000}"/>
    <cellStyle name="Normal 2" xfId="9" xr:uid="{00000000-0005-0000-0000-000003000000}"/>
    <cellStyle name="Normal 22" xfId="10" xr:uid="{2EEDC521-205B-2040-ACE3-A03EF593B3D5}"/>
    <cellStyle name="Normal 6 2 2" xfId="4" xr:uid="{00000000-0005-0000-0000-000004000000}"/>
    <cellStyle name="Percent" xfId="2" builtinId="5"/>
    <cellStyle name="Vírgula 3" xfId="7" xr:uid="{00000000-0005-0000-0000-000007000000}"/>
    <cellStyle name="Vírgula 4" xfId="3" xr:uid="{00000000-0005-0000-0000-000008000000}"/>
    <cellStyle name="Vírgula 7" xfId="6" xr:uid="{00000000-0005-0000-0000-000009000000}"/>
  </cellStyles>
  <dxfs count="0"/>
  <tableStyles count="0" defaultTableStyle="TableStyleMedium2" defaultPivotStyle="PivotStyleLight16"/>
  <colors>
    <mruColors>
      <color rgb="FFEC7100"/>
      <color rgb="FFFF8700"/>
      <color rgb="FFD9D9D9"/>
      <color rgb="FFFFF2E6"/>
      <color rgb="FFFFE9D0"/>
      <color rgb="FFF7CAB0"/>
      <color rgb="FFF2F2F2"/>
      <color rgb="FFE1E2E1"/>
      <color rgb="FFFBE6CB"/>
      <color rgb="FF7235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1.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8.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9.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0.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1.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Summary | Sum&#225;rio'!A1"/><Relationship Id="rId1" Type="http://schemas.openxmlformats.org/officeDocument/2006/relationships/image" Target="../media/image5.jpeg"/><Relationship Id="rId4" Type="http://schemas.openxmlformats.org/officeDocument/2006/relationships/image" Target="../media/image4.svg"/></Relationships>
</file>

<file path=xl/drawings/_rels/drawing29.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8.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9.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drawing1.xml><?xml version="1.0" encoding="utf-8"?>
<xdr:wsDr xmlns:xdr="http://schemas.openxmlformats.org/drawingml/2006/spreadsheetDrawing" xmlns:a="http://schemas.openxmlformats.org/drawingml/2006/main">
  <xdr:twoCellAnchor>
    <xdr:from>
      <xdr:col>4</xdr:col>
      <xdr:colOff>1239024</xdr:colOff>
      <xdr:row>7</xdr:row>
      <xdr:rowOff>139391</xdr:rowOff>
    </xdr:from>
    <xdr:to>
      <xdr:col>7</xdr:col>
      <xdr:colOff>3199340</xdr:colOff>
      <xdr:row>7</xdr:row>
      <xdr:rowOff>596591</xdr:rowOff>
    </xdr:to>
    <xdr:sp macro="" textlink="">
      <xdr:nvSpPr>
        <xdr:cNvPr id="7" name="Rounded Rectangle 5">
          <a:extLst>
            <a:ext uri="{FF2B5EF4-FFF2-40B4-BE49-F238E27FC236}">
              <a16:creationId xmlns:a16="http://schemas.microsoft.com/office/drawing/2014/main" id="{00000000-0008-0000-0100-000007000000}"/>
            </a:ext>
          </a:extLst>
        </xdr:cNvPr>
        <xdr:cNvSpPr/>
      </xdr:nvSpPr>
      <xdr:spPr>
        <a:xfrm>
          <a:off x="5171927" y="1627886"/>
          <a:ext cx="3803865" cy="457200"/>
        </a:xfrm>
        <a:prstGeom prst="roundRect">
          <a:avLst>
            <a:gd name="adj" fmla="val 26105"/>
          </a:avLst>
        </a:prstGeom>
        <a:solidFill>
          <a:srgbClr val="EA71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chemeClr val="bg1"/>
              </a:solidFill>
              <a:latin typeface="Calibri" panose="020F0502020204030204" pitchFamily="34" charset="0"/>
              <a:cs typeface="Calibri" panose="020F0502020204030204" pitchFamily="34" charset="0"/>
            </a:rPr>
            <a:t>Inter&amp;Co</a:t>
          </a:r>
        </a:p>
      </xdr:txBody>
    </xdr:sp>
    <xdr:clientData/>
  </xdr:twoCellAnchor>
  <xdr:twoCellAnchor>
    <xdr:from>
      <xdr:col>8</xdr:col>
      <xdr:colOff>30976</xdr:colOff>
      <xdr:row>7</xdr:row>
      <xdr:rowOff>156323</xdr:rowOff>
    </xdr:from>
    <xdr:to>
      <xdr:col>10</xdr:col>
      <xdr:colOff>3447685</xdr:colOff>
      <xdr:row>8</xdr:row>
      <xdr:rowOff>20856</xdr:rowOff>
    </xdr:to>
    <xdr:sp macro="" textlink="Names!I52">
      <xdr:nvSpPr>
        <xdr:cNvPr id="8" name="Rounded Rectangle 6">
          <a:extLst>
            <a:ext uri="{FF2B5EF4-FFF2-40B4-BE49-F238E27FC236}">
              <a16:creationId xmlns:a16="http://schemas.microsoft.com/office/drawing/2014/main" id="{00000000-0008-0000-0100-000008000000}"/>
            </a:ext>
          </a:extLst>
        </xdr:cNvPr>
        <xdr:cNvSpPr/>
      </xdr:nvSpPr>
      <xdr:spPr>
        <a:xfrm>
          <a:off x="9259643" y="1697256"/>
          <a:ext cx="3789242" cy="457200"/>
        </a:xfrm>
        <a:prstGeom prst="roundRect">
          <a:avLst>
            <a:gd name="adj" fmla="val 32079"/>
          </a:avLst>
        </a:prstGeom>
        <a:solidFill>
          <a:srgbClr val="FFCA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2B4FD5E2-8C78-9147-9838-8C6A83BF706B}" type="TxLink">
            <a:rPr lang="en-US" sz="2000" b="1" i="0" u="none" strike="noStrike">
              <a:solidFill>
                <a:srgbClr val="000000"/>
              </a:solidFill>
              <a:latin typeface="Calibri"/>
              <a:cs typeface="Calibri"/>
            </a:rPr>
            <a:pPr algn="ctr"/>
            <a:t>Operational Data</a:t>
          </a:fld>
          <a:endParaRPr lang="en-US" sz="2000" b="1">
            <a:solidFill>
              <a:schemeClr val="tx1"/>
            </a:solidFill>
            <a:latin typeface="Calibri" panose="020F0502020204030204" pitchFamily="34" charset="0"/>
            <a:cs typeface="Calibri" panose="020F0502020204030204" pitchFamily="34" charset="0"/>
          </a:endParaRPr>
        </a:p>
      </xdr:txBody>
    </xdr:sp>
    <xdr:clientData/>
  </xdr:twoCellAnchor>
  <xdr:twoCellAnchor>
    <xdr:from>
      <xdr:col>8</xdr:col>
      <xdr:colOff>61804</xdr:colOff>
      <xdr:row>19</xdr:row>
      <xdr:rowOff>177122</xdr:rowOff>
    </xdr:from>
    <xdr:to>
      <xdr:col>10</xdr:col>
      <xdr:colOff>3478513</xdr:colOff>
      <xdr:row>21</xdr:row>
      <xdr:rowOff>231639</xdr:rowOff>
    </xdr:to>
    <xdr:sp macro="" textlink="Names!I53">
      <xdr:nvSpPr>
        <xdr:cNvPr id="4" name="Rounded Rectangle 6">
          <a:extLst>
            <a:ext uri="{FF2B5EF4-FFF2-40B4-BE49-F238E27FC236}">
              <a16:creationId xmlns:a16="http://schemas.microsoft.com/office/drawing/2014/main" id="{00000000-0008-0000-0100-000004000000}"/>
            </a:ext>
          </a:extLst>
        </xdr:cNvPr>
        <xdr:cNvSpPr/>
      </xdr:nvSpPr>
      <xdr:spPr>
        <a:xfrm>
          <a:off x="9293202" y="4683574"/>
          <a:ext cx="3799074" cy="450538"/>
        </a:xfrm>
        <a:prstGeom prst="roundRect">
          <a:avLst>
            <a:gd name="adj" fmla="val 34845"/>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90567AA-CF6B-664B-B3B8-8E7A9D45AFBF}" type="TxLink">
            <a:rPr lang="en-US" sz="2000" b="1" i="0" u="none" strike="noStrike">
              <a:solidFill>
                <a:srgbClr val="000000"/>
              </a:solidFill>
              <a:latin typeface="Calibri"/>
              <a:cs typeface="Calibri"/>
            </a:rPr>
            <a:pPr algn="ctr"/>
            <a:t>Others</a:t>
          </a:fld>
          <a:endParaRPr lang="en-US" sz="2000" b="1">
            <a:solidFill>
              <a:schemeClr val="tx1"/>
            </a:solidFill>
            <a:latin typeface="Calibri" panose="020F0502020204030204" pitchFamily="34" charset="0"/>
            <a:cs typeface="Calibri" panose="020F0502020204030204" pitchFamily="34" charset="0"/>
          </a:endParaRPr>
        </a:p>
      </xdr:txBody>
    </xdr:sp>
    <xdr:clientData/>
  </xdr:twoCellAnchor>
  <xdr:twoCellAnchor editAs="oneCell">
    <xdr:from>
      <xdr:col>7</xdr:col>
      <xdr:colOff>2131483</xdr:colOff>
      <xdr:row>2</xdr:row>
      <xdr:rowOff>88439</xdr:rowOff>
    </xdr:from>
    <xdr:to>
      <xdr:col>10</xdr:col>
      <xdr:colOff>1085547</xdr:colOff>
      <xdr:row>4</xdr:row>
      <xdr:rowOff>59267</xdr:rowOff>
    </xdr:to>
    <xdr:pic>
      <xdr:nvPicPr>
        <xdr:cNvPr id="24" name="Picture 23">
          <a:extLst>
            <a:ext uri="{FF2B5EF4-FFF2-40B4-BE49-F238E27FC236}">
              <a16:creationId xmlns:a16="http://schemas.microsoft.com/office/drawing/2014/main" id="{F3E7C130-12D5-8789-A5E1-7B11D162228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867" b="-10072"/>
        <a:stretch/>
      </xdr:blipFill>
      <xdr:spPr>
        <a:xfrm>
          <a:off x="7905750" y="359372"/>
          <a:ext cx="2780997" cy="563495"/>
        </a:xfrm>
        <a:prstGeom prst="rect">
          <a:avLst/>
        </a:prstGeom>
      </xdr:spPr>
    </xdr:pic>
    <xdr:clientData/>
  </xdr:twoCellAnchor>
  <xdr:twoCellAnchor editAs="oneCell">
    <xdr:from>
      <xdr:col>2</xdr:col>
      <xdr:colOff>92347</xdr:colOff>
      <xdr:row>7</xdr:row>
      <xdr:rowOff>336290</xdr:rowOff>
    </xdr:from>
    <xdr:to>
      <xdr:col>4</xdr:col>
      <xdr:colOff>443714</xdr:colOff>
      <xdr:row>44</xdr:row>
      <xdr:rowOff>52656</xdr:rowOff>
    </xdr:to>
    <xdr:pic>
      <xdr:nvPicPr>
        <xdr:cNvPr id="11" name="Picture 10">
          <a:extLst>
            <a:ext uri="{FF2B5EF4-FFF2-40B4-BE49-F238E27FC236}">
              <a16:creationId xmlns:a16="http://schemas.microsoft.com/office/drawing/2014/main" id="{0DA8E6C1-ACDA-01C7-C0FC-DB5D7FFF7F7D}"/>
            </a:ext>
          </a:extLst>
        </xdr:cNvPr>
        <xdr:cNvPicPr>
          <a:picLocks noChangeAspect="1"/>
        </xdr:cNvPicPr>
      </xdr:nvPicPr>
      <xdr:blipFill>
        <a:blip xmlns:r="http://schemas.openxmlformats.org/officeDocument/2006/relationships" r:embed="rId2"/>
        <a:stretch>
          <a:fillRect/>
        </a:stretch>
      </xdr:blipFill>
      <xdr:spPr>
        <a:xfrm>
          <a:off x="600347" y="1877223"/>
          <a:ext cx="3771900" cy="7962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32</xdr:col>
      <xdr:colOff>0</xdr:colOff>
      <xdr:row>1</xdr:row>
      <xdr:rowOff>0</xdr:rowOff>
    </xdr:from>
    <xdr:to>
      <xdr:col>34</xdr:col>
      <xdr:colOff>46892</xdr:colOff>
      <xdr:row>2</xdr:row>
      <xdr:rowOff>120853</xdr:rowOff>
    </xdr:to>
    <xdr:grpSp>
      <xdr:nvGrpSpPr>
        <xdr:cNvPr id="2" name="Group 1">
          <a:extLst>
            <a:ext uri="{FF2B5EF4-FFF2-40B4-BE49-F238E27FC236}">
              <a16:creationId xmlns:a16="http://schemas.microsoft.com/office/drawing/2014/main" id="{B128EDB0-2E1A-EE4B-ACD0-50A644CF96F8}"/>
            </a:ext>
          </a:extLst>
        </xdr:cNvPr>
        <xdr:cNvGrpSpPr/>
      </xdr:nvGrpSpPr>
      <xdr:grpSpPr>
        <a:xfrm>
          <a:off x="29235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B3EDA946-89A3-A330-25ED-84BE21521C61}"/>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E5D1F1E6-2D69-A13B-02C2-A354DB910D2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32</xdr:col>
      <xdr:colOff>0</xdr:colOff>
      <xdr:row>1</xdr:row>
      <xdr:rowOff>0</xdr:rowOff>
    </xdr:from>
    <xdr:to>
      <xdr:col>34</xdr:col>
      <xdr:colOff>46892</xdr:colOff>
      <xdr:row>2</xdr:row>
      <xdr:rowOff>120853</xdr:rowOff>
    </xdr:to>
    <xdr:grpSp>
      <xdr:nvGrpSpPr>
        <xdr:cNvPr id="2" name="Group 1">
          <a:extLst>
            <a:ext uri="{FF2B5EF4-FFF2-40B4-BE49-F238E27FC236}">
              <a16:creationId xmlns:a16="http://schemas.microsoft.com/office/drawing/2014/main" id="{C54FA78A-7764-1C4C-82A0-742324F97262}"/>
            </a:ext>
          </a:extLst>
        </xdr:cNvPr>
        <xdr:cNvGrpSpPr/>
      </xdr:nvGrpSpPr>
      <xdr:grpSpPr>
        <a:xfrm>
          <a:off x="29235400" y="165100"/>
          <a:ext cx="1697892" cy="285953"/>
          <a:chOff x="178689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8AD38E3F-76F8-A234-DDA2-D1120C49C900}"/>
              </a:ext>
            </a:extLst>
          </xdr:cNvPr>
          <xdr:cNvSpPr/>
        </xdr:nvSpPr>
        <xdr:spPr>
          <a:xfrm>
            <a:off x="178689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6AEE3D95-3B90-9604-EC21-9FBF8B32867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958126" y="165100"/>
            <a:ext cx="258937" cy="264917"/>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32</xdr:col>
      <xdr:colOff>0</xdr:colOff>
      <xdr:row>1</xdr:row>
      <xdr:rowOff>0</xdr:rowOff>
    </xdr:from>
    <xdr:to>
      <xdr:col>34</xdr:col>
      <xdr:colOff>46892</xdr:colOff>
      <xdr:row>2</xdr:row>
      <xdr:rowOff>120853</xdr:rowOff>
    </xdr:to>
    <xdr:grpSp>
      <xdr:nvGrpSpPr>
        <xdr:cNvPr id="2" name="Group 1">
          <a:extLst>
            <a:ext uri="{FF2B5EF4-FFF2-40B4-BE49-F238E27FC236}">
              <a16:creationId xmlns:a16="http://schemas.microsoft.com/office/drawing/2014/main" id="{F2B29785-F52A-0842-8A37-E94F09CD09CA}"/>
            </a:ext>
          </a:extLst>
        </xdr:cNvPr>
        <xdr:cNvGrpSpPr/>
      </xdr:nvGrpSpPr>
      <xdr:grpSpPr>
        <a:xfrm>
          <a:off x="29235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561AB627-93B2-6ED3-607B-6B4B9D6CF84B}"/>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714A4F98-E431-0E02-29A5-8CA494E58F9E}"/>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32</xdr:col>
      <xdr:colOff>0</xdr:colOff>
      <xdr:row>1</xdr:row>
      <xdr:rowOff>0</xdr:rowOff>
    </xdr:from>
    <xdr:to>
      <xdr:col>34</xdr:col>
      <xdr:colOff>46892</xdr:colOff>
      <xdr:row>2</xdr:row>
      <xdr:rowOff>120853</xdr:rowOff>
    </xdr:to>
    <xdr:grpSp>
      <xdr:nvGrpSpPr>
        <xdr:cNvPr id="2" name="Group 1">
          <a:extLst>
            <a:ext uri="{FF2B5EF4-FFF2-40B4-BE49-F238E27FC236}">
              <a16:creationId xmlns:a16="http://schemas.microsoft.com/office/drawing/2014/main" id="{7A8337DE-9F57-AB4D-80E0-CB56FFA8DEC2}"/>
            </a:ext>
          </a:extLst>
        </xdr:cNvPr>
        <xdr:cNvGrpSpPr/>
      </xdr:nvGrpSpPr>
      <xdr:grpSpPr>
        <a:xfrm>
          <a:off x="29235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D2DF78B7-C273-E46D-D694-BA5A6334E8B1}"/>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830BCDB9-F00A-2B54-849D-A5B84AE1F94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32</xdr:col>
      <xdr:colOff>0</xdr:colOff>
      <xdr:row>1</xdr:row>
      <xdr:rowOff>0</xdr:rowOff>
    </xdr:from>
    <xdr:to>
      <xdr:col>34</xdr:col>
      <xdr:colOff>46892</xdr:colOff>
      <xdr:row>2</xdr:row>
      <xdr:rowOff>120853</xdr:rowOff>
    </xdr:to>
    <xdr:grpSp>
      <xdr:nvGrpSpPr>
        <xdr:cNvPr id="2" name="Group 1">
          <a:extLst>
            <a:ext uri="{FF2B5EF4-FFF2-40B4-BE49-F238E27FC236}">
              <a16:creationId xmlns:a16="http://schemas.microsoft.com/office/drawing/2014/main" id="{F15D35D1-E3F3-974D-B196-3861547A1856}"/>
            </a:ext>
          </a:extLst>
        </xdr:cNvPr>
        <xdr:cNvGrpSpPr/>
      </xdr:nvGrpSpPr>
      <xdr:grpSpPr>
        <a:xfrm>
          <a:off x="29235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8F6E5FD0-1906-9B4B-6B64-46D0B95C74F5}"/>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FB06FF2C-9570-6833-9481-39180319A457}"/>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32</xdr:col>
      <xdr:colOff>0</xdr:colOff>
      <xdr:row>1</xdr:row>
      <xdr:rowOff>0</xdr:rowOff>
    </xdr:from>
    <xdr:to>
      <xdr:col>34</xdr:col>
      <xdr:colOff>46892</xdr:colOff>
      <xdr:row>2</xdr:row>
      <xdr:rowOff>120853</xdr:rowOff>
    </xdr:to>
    <xdr:grpSp>
      <xdr:nvGrpSpPr>
        <xdr:cNvPr id="2" name="Group 1">
          <a:extLst>
            <a:ext uri="{FF2B5EF4-FFF2-40B4-BE49-F238E27FC236}">
              <a16:creationId xmlns:a16="http://schemas.microsoft.com/office/drawing/2014/main" id="{FB87C279-C437-0647-A40B-1F6B42C1B40A}"/>
            </a:ext>
          </a:extLst>
        </xdr:cNvPr>
        <xdr:cNvGrpSpPr/>
      </xdr:nvGrpSpPr>
      <xdr:grpSpPr>
        <a:xfrm>
          <a:off x="293116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799AFA6B-4B86-C6EA-5DBD-5DF0997AED2C}"/>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1B81187F-B765-C60B-AB9E-9A6F0B8ADC8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32</xdr:col>
      <xdr:colOff>0</xdr:colOff>
      <xdr:row>1</xdr:row>
      <xdr:rowOff>0</xdr:rowOff>
    </xdr:from>
    <xdr:to>
      <xdr:col>34</xdr:col>
      <xdr:colOff>46892</xdr:colOff>
      <xdr:row>2</xdr:row>
      <xdr:rowOff>120853</xdr:rowOff>
    </xdr:to>
    <xdr:grpSp>
      <xdr:nvGrpSpPr>
        <xdr:cNvPr id="2" name="Group 1">
          <a:extLst>
            <a:ext uri="{FF2B5EF4-FFF2-40B4-BE49-F238E27FC236}">
              <a16:creationId xmlns:a16="http://schemas.microsoft.com/office/drawing/2014/main" id="{F4415D9D-71D2-D54E-B6F7-2FB4FD188D52}"/>
            </a:ext>
          </a:extLst>
        </xdr:cNvPr>
        <xdr:cNvGrpSpPr/>
      </xdr:nvGrpSpPr>
      <xdr:grpSpPr>
        <a:xfrm>
          <a:off x="29311600" y="165100"/>
          <a:ext cx="24852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8499E809-2B88-82D2-2940-E888FC190A0B}"/>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D30A9E47-536E-D95A-F034-FFB55127F436}"/>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32</xdr:col>
      <xdr:colOff>0</xdr:colOff>
      <xdr:row>1</xdr:row>
      <xdr:rowOff>689</xdr:rowOff>
    </xdr:from>
    <xdr:to>
      <xdr:col>34</xdr:col>
      <xdr:colOff>46892</xdr:colOff>
      <xdr:row>2</xdr:row>
      <xdr:rowOff>120853</xdr:rowOff>
    </xdr:to>
    <xdr:sp macro="" textlink="Names!BQ2">
      <xdr:nvSpPr>
        <xdr:cNvPr id="2" name="Rounded Rectangle 1">
          <a:hlinkClick xmlns:r="http://schemas.openxmlformats.org/officeDocument/2006/relationships" r:id="rId1"/>
          <a:extLst>
            <a:ext uri="{FF2B5EF4-FFF2-40B4-BE49-F238E27FC236}">
              <a16:creationId xmlns:a16="http://schemas.microsoft.com/office/drawing/2014/main" id="{F50BE0C3-F8DF-144B-BA42-A8058CCC364E}"/>
            </a:ext>
          </a:extLst>
        </xdr:cNvPr>
        <xdr:cNvSpPr/>
      </xdr:nvSpPr>
      <xdr:spPr>
        <a:xfrm>
          <a:off x="275844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clientData/>
  </xdr:twoCellAnchor>
  <xdr:twoCellAnchor>
    <xdr:from>
      <xdr:col>32</xdr:col>
      <xdr:colOff>89226</xdr:colOff>
      <xdr:row>1</xdr:row>
      <xdr:rowOff>0</xdr:rowOff>
    </xdr:from>
    <xdr:to>
      <xdr:col>32</xdr:col>
      <xdr:colOff>348163</xdr:colOff>
      <xdr:row>2</xdr:row>
      <xdr:rowOff>99817</xdr:rowOff>
    </xdr:to>
    <xdr:pic>
      <xdr:nvPicPr>
        <xdr:cNvPr id="3"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6D1A7185-5823-BA4F-BA8A-5CFC154D171B}"/>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7673626" y="165100"/>
          <a:ext cx="258937" cy="26491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32</xdr:col>
      <xdr:colOff>0</xdr:colOff>
      <xdr:row>1</xdr:row>
      <xdr:rowOff>0</xdr:rowOff>
    </xdr:from>
    <xdr:to>
      <xdr:col>34</xdr:col>
      <xdr:colOff>46892</xdr:colOff>
      <xdr:row>2</xdr:row>
      <xdr:rowOff>120853</xdr:rowOff>
    </xdr:to>
    <xdr:grpSp>
      <xdr:nvGrpSpPr>
        <xdr:cNvPr id="2" name="Group 1">
          <a:extLst>
            <a:ext uri="{FF2B5EF4-FFF2-40B4-BE49-F238E27FC236}">
              <a16:creationId xmlns:a16="http://schemas.microsoft.com/office/drawing/2014/main" id="{8BDEFC71-F9C2-C648-99F5-EC57A3714CD0}"/>
            </a:ext>
          </a:extLst>
        </xdr:cNvPr>
        <xdr:cNvGrpSpPr/>
      </xdr:nvGrpSpPr>
      <xdr:grpSpPr>
        <a:xfrm>
          <a:off x="29235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767C3C26-38D5-E36F-87FA-9714A4D3231C}"/>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25A088E8-0179-A517-562A-F631B6C358B5}"/>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32</xdr:col>
      <xdr:colOff>0</xdr:colOff>
      <xdr:row>1</xdr:row>
      <xdr:rowOff>0</xdr:rowOff>
    </xdr:from>
    <xdr:to>
      <xdr:col>34</xdr:col>
      <xdr:colOff>46892</xdr:colOff>
      <xdr:row>2</xdr:row>
      <xdr:rowOff>120853</xdr:rowOff>
    </xdr:to>
    <xdr:grpSp>
      <xdr:nvGrpSpPr>
        <xdr:cNvPr id="2" name="Group 1">
          <a:extLst>
            <a:ext uri="{FF2B5EF4-FFF2-40B4-BE49-F238E27FC236}">
              <a16:creationId xmlns:a16="http://schemas.microsoft.com/office/drawing/2014/main" id="{D287CBF5-6460-F44C-B4BC-47042C7D8292}"/>
            </a:ext>
          </a:extLst>
        </xdr:cNvPr>
        <xdr:cNvGrpSpPr/>
      </xdr:nvGrpSpPr>
      <xdr:grpSpPr>
        <a:xfrm>
          <a:off x="29235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A2B733A0-9002-36CA-20B1-D7832B3AD581}"/>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B52C688A-0A39-456F-D8C2-AE3F1DA31EE6}"/>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266700</xdr:colOff>
      <xdr:row>0</xdr:row>
      <xdr:rowOff>88900</xdr:rowOff>
    </xdr:from>
    <xdr:to>
      <xdr:col>18</xdr:col>
      <xdr:colOff>313592</xdr:colOff>
      <xdr:row>2</xdr:row>
      <xdr:rowOff>44653</xdr:rowOff>
    </xdr:to>
    <xdr:grpSp>
      <xdr:nvGrpSpPr>
        <xdr:cNvPr id="2" name="Group 1">
          <a:extLst>
            <a:ext uri="{FF2B5EF4-FFF2-40B4-BE49-F238E27FC236}">
              <a16:creationId xmlns:a16="http://schemas.microsoft.com/office/drawing/2014/main" id="{948A8473-6824-E811-D85A-9A548DAFA38C}"/>
            </a:ext>
          </a:extLst>
        </xdr:cNvPr>
        <xdr:cNvGrpSpPr/>
      </xdr:nvGrpSpPr>
      <xdr:grpSpPr>
        <a:xfrm>
          <a:off x="16827500" y="88900"/>
          <a:ext cx="1697892" cy="285953"/>
          <a:chOff x="13982700" y="88900"/>
          <a:chExt cx="1697892" cy="285953"/>
        </a:xfrm>
      </xdr:grpSpPr>
      <xdr:sp macro="" textlink="Names!BQ2">
        <xdr:nvSpPr>
          <xdr:cNvPr id="4" name="Rounded Rectangle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13982700" y="895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5"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4071926" y="88900"/>
            <a:ext cx="258937" cy="264917"/>
          </a:xfrm>
          <a:prstGeom prst="rect">
            <a:avLst/>
          </a:prstGeom>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32</xdr:col>
      <xdr:colOff>0</xdr:colOff>
      <xdr:row>1</xdr:row>
      <xdr:rowOff>0</xdr:rowOff>
    </xdr:from>
    <xdr:to>
      <xdr:col>34</xdr:col>
      <xdr:colOff>46892</xdr:colOff>
      <xdr:row>2</xdr:row>
      <xdr:rowOff>120853</xdr:rowOff>
    </xdr:to>
    <xdr:grpSp>
      <xdr:nvGrpSpPr>
        <xdr:cNvPr id="2" name="Group 1">
          <a:extLst>
            <a:ext uri="{FF2B5EF4-FFF2-40B4-BE49-F238E27FC236}">
              <a16:creationId xmlns:a16="http://schemas.microsoft.com/office/drawing/2014/main" id="{3F3FC7E7-49DF-8943-A82D-10C299AEBB9E}"/>
            </a:ext>
          </a:extLst>
        </xdr:cNvPr>
        <xdr:cNvGrpSpPr/>
      </xdr:nvGrpSpPr>
      <xdr:grpSpPr>
        <a:xfrm>
          <a:off x="29235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F0BC99D5-26F0-9B01-CFD9-79A003EA04E1}"/>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D772D29D-6386-50BE-2E88-EDDD12AE4B4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27</xdr:col>
      <xdr:colOff>0</xdr:colOff>
      <xdr:row>1</xdr:row>
      <xdr:rowOff>0</xdr:rowOff>
    </xdr:from>
    <xdr:to>
      <xdr:col>29</xdr:col>
      <xdr:colOff>46892</xdr:colOff>
      <xdr:row>2</xdr:row>
      <xdr:rowOff>120853</xdr:rowOff>
    </xdr:to>
    <xdr:grpSp>
      <xdr:nvGrpSpPr>
        <xdr:cNvPr id="2" name="Group 1">
          <a:extLst>
            <a:ext uri="{FF2B5EF4-FFF2-40B4-BE49-F238E27FC236}">
              <a16:creationId xmlns:a16="http://schemas.microsoft.com/office/drawing/2014/main" id="{6F735581-E643-7F4F-8E7C-CBAF8B09F93F}"/>
            </a:ext>
          </a:extLst>
        </xdr:cNvPr>
        <xdr:cNvGrpSpPr/>
      </xdr:nvGrpSpPr>
      <xdr:grpSpPr>
        <a:xfrm>
          <a:off x="25730200" y="165100"/>
          <a:ext cx="1697892" cy="285953"/>
          <a:chOff x="178562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82E324A7-D696-07CD-3CF4-8C00C36417FF}"/>
              </a:ext>
            </a:extLst>
          </xdr:cNvPr>
          <xdr:cNvSpPr/>
        </xdr:nvSpPr>
        <xdr:spPr>
          <a:xfrm>
            <a:off x="178562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573DB952-F0EE-39D9-E7E1-72C710906B57}"/>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945426" y="165100"/>
            <a:ext cx="258937" cy="264917"/>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27</xdr:col>
      <xdr:colOff>0</xdr:colOff>
      <xdr:row>1</xdr:row>
      <xdr:rowOff>0</xdr:rowOff>
    </xdr:from>
    <xdr:to>
      <xdr:col>29</xdr:col>
      <xdr:colOff>46892</xdr:colOff>
      <xdr:row>2</xdr:row>
      <xdr:rowOff>120853</xdr:rowOff>
    </xdr:to>
    <xdr:grpSp>
      <xdr:nvGrpSpPr>
        <xdr:cNvPr id="2" name="Group 1">
          <a:extLst>
            <a:ext uri="{FF2B5EF4-FFF2-40B4-BE49-F238E27FC236}">
              <a16:creationId xmlns:a16="http://schemas.microsoft.com/office/drawing/2014/main" id="{2F8B015C-F935-B241-A758-75CCD57EF8D4}"/>
            </a:ext>
          </a:extLst>
        </xdr:cNvPr>
        <xdr:cNvGrpSpPr/>
      </xdr:nvGrpSpPr>
      <xdr:grpSpPr>
        <a:xfrm>
          <a:off x="25717500" y="165100"/>
          <a:ext cx="1697892" cy="285953"/>
          <a:chOff x="178435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E5CF9922-A304-A5FC-1887-B70AA0A044BE}"/>
              </a:ext>
            </a:extLst>
          </xdr:cNvPr>
          <xdr:cNvSpPr/>
        </xdr:nvSpPr>
        <xdr:spPr>
          <a:xfrm>
            <a:off x="178435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74E43132-2A30-7152-840C-558B33E80F4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932726" y="165100"/>
            <a:ext cx="258937" cy="264917"/>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xdr:from>
      <xdr:col>26</xdr:col>
      <xdr:colOff>0</xdr:colOff>
      <xdr:row>1</xdr:row>
      <xdr:rowOff>0</xdr:rowOff>
    </xdr:from>
    <xdr:to>
      <xdr:col>28</xdr:col>
      <xdr:colOff>46892</xdr:colOff>
      <xdr:row>2</xdr:row>
      <xdr:rowOff>120853</xdr:rowOff>
    </xdr:to>
    <xdr:grpSp>
      <xdr:nvGrpSpPr>
        <xdr:cNvPr id="2" name="Group 1">
          <a:extLst>
            <a:ext uri="{FF2B5EF4-FFF2-40B4-BE49-F238E27FC236}">
              <a16:creationId xmlns:a16="http://schemas.microsoft.com/office/drawing/2014/main" id="{BD3D9B96-5812-1448-AA6D-AA1ADEA519AF}"/>
            </a:ext>
          </a:extLst>
        </xdr:cNvPr>
        <xdr:cNvGrpSpPr/>
      </xdr:nvGrpSpPr>
      <xdr:grpSpPr>
        <a:xfrm>
          <a:off x="24892000" y="165100"/>
          <a:ext cx="1697892" cy="285953"/>
          <a:chOff x="17018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7805692F-49D0-2136-A7DF-8189E320429C}"/>
              </a:ext>
            </a:extLst>
          </xdr:cNvPr>
          <xdr:cNvSpPr/>
        </xdr:nvSpPr>
        <xdr:spPr>
          <a:xfrm>
            <a:off x="17018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2FC00DCA-1B9C-F691-C32B-0F3555517FAF}"/>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107226" y="165100"/>
            <a:ext cx="258937" cy="264917"/>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27</xdr:col>
      <xdr:colOff>0</xdr:colOff>
      <xdr:row>1</xdr:row>
      <xdr:rowOff>689</xdr:rowOff>
    </xdr:from>
    <xdr:to>
      <xdr:col>29</xdr:col>
      <xdr:colOff>46892</xdr:colOff>
      <xdr:row>2</xdr:row>
      <xdr:rowOff>120853</xdr:rowOff>
    </xdr:to>
    <xdr:sp macro="" textlink="Names!BQ2">
      <xdr:nvSpPr>
        <xdr:cNvPr id="2" name="Rounded Rectangle 1">
          <a:hlinkClick xmlns:r="http://schemas.openxmlformats.org/officeDocument/2006/relationships" r:id="rId1"/>
          <a:extLst>
            <a:ext uri="{FF2B5EF4-FFF2-40B4-BE49-F238E27FC236}">
              <a16:creationId xmlns:a16="http://schemas.microsoft.com/office/drawing/2014/main" id="{5186A3D0-AB1E-2540-9FAB-156E38263BF4}"/>
            </a:ext>
          </a:extLst>
        </xdr:cNvPr>
        <xdr:cNvSpPr/>
      </xdr:nvSpPr>
      <xdr:spPr>
        <a:xfrm>
          <a:off x="240665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clientData/>
  </xdr:twoCellAnchor>
  <xdr:twoCellAnchor>
    <xdr:from>
      <xdr:col>27</xdr:col>
      <xdr:colOff>89226</xdr:colOff>
      <xdr:row>1</xdr:row>
      <xdr:rowOff>0</xdr:rowOff>
    </xdr:from>
    <xdr:to>
      <xdr:col>27</xdr:col>
      <xdr:colOff>348163</xdr:colOff>
      <xdr:row>2</xdr:row>
      <xdr:rowOff>99817</xdr:rowOff>
    </xdr:to>
    <xdr:pic>
      <xdr:nvPicPr>
        <xdr:cNvPr id="3"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1DEBA9FF-0985-1943-94E0-0ED29A28DFD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4155726" y="165100"/>
          <a:ext cx="258937" cy="26491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27</xdr:col>
      <xdr:colOff>0</xdr:colOff>
      <xdr:row>1</xdr:row>
      <xdr:rowOff>0</xdr:rowOff>
    </xdr:from>
    <xdr:to>
      <xdr:col>29</xdr:col>
      <xdr:colOff>46892</xdr:colOff>
      <xdr:row>2</xdr:row>
      <xdr:rowOff>120853</xdr:rowOff>
    </xdr:to>
    <xdr:grpSp>
      <xdr:nvGrpSpPr>
        <xdr:cNvPr id="2" name="Group 1">
          <a:extLst>
            <a:ext uri="{FF2B5EF4-FFF2-40B4-BE49-F238E27FC236}">
              <a16:creationId xmlns:a16="http://schemas.microsoft.com/office/drawing/2014/main" id="{7E3042B5-67BD-B44A-A67E-B05845260AD7}"/>
            </a:ext>
          </a:extLst>
        </xdr:cNvPr>
        <xdr:cNvGrpSpPr/>
      </xdr:nvGrpSpPr>
      <xdr:grpSpPr>
        <a:xfrm>
          <a:off x="25717500" y="165100"/>
          <a:ext cx="1697892" cy="285953"/>
          <a:chOff x="178435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592A64D4-9F8E-6228-0017-07CD94A903CA}"/>
              </a:ext>
            </a:extLst>
          </xdr:cNvPr>
          <xdr:cNvSpPr/>
        </xdr:nvSpPr>
        <xdr:spPr>
          <a:xfrm>
            <a:off x="178435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44E93E50-F11C-BB41-66B7-5BD2894CE632}"/>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932726" y="165100"/>
            <a:ext cx="258937" cy="264917"/>
          </a:xfrm>
          <a:prstGeom prst="rect">
            <a:avLst/>
          </a:prstGeom>
        </xdr:spPr>
      </xdr:pic>
    </xdr:grpSp>
    <xdr:clientData/>
  </xdr:twoCellAnchor>
</xdr:wsDr>
</file>

<file path=xl/drawings/drawing26.xml><?xml version="1.0" encoding="utf-8"?>
<xdr:wsDr xmlns:xdr="http://schemas.openxmlformats.org/drawingml/2006/spreadsheetDrawing" xmlns:a="http://schemas.openxmlformats.org/drawingml/2006/main">
  <xdr:twoCellAnchor>
    <xdr:from>
      <xdr:col>26</xdr:col>
      <xdr:colOff>0</xdr:colOff>
      <xdr:row>1</xdr:row>
      <xdr:rowOff>0</xdr:rowOff>
    </xdr:from>
    <xdr:to>
      <xdr:col>28</xdr:col>
      <xdr:colOff>46892</xdr:colOff>
      <xdr:row>2</xdr:row>
      <xdr:rowOff>120853</xdr:rowOff>
    </xdr:to>
    <xdr:grpSp>
      <xdr:nvGrpSpPr>
        <xdr:cNvPr id="2" name="Group 1">
          <a:extLst>
            <a:ext uri="{FF2B5EF4-FFF2-40B4-BE49-F238E27FC236}">
              <a16:creationId xmlns:a16="http://schemas.microsoft.com/office/drawing/2014/main" id="{14BF3CFA-F63F-D243-BCFB-4ACEDBFEFD66}"/>
            </a:ext>
          </a:extLst>
        </xdr:cNvPr>
        <xdr:cNvGrpSpPr/>
      </xdr:nvGrpSpPr>
      <xdr:grpSpPr>
        <a:xfrm>
          <a:off x="33566100" y="165100"/>
          <a:ext cx="1697892" cy="285953"/>
          <a:chOff x="178435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876514F6-E457-2A12-FD02-F4A86E21EAE5}"/>
              </a:ext>
            </a:extLst>
          </xdr:cNvPr>
          <xdr:cNvSpPr/>
        </xdr:nvSpPr>
        <xdr:spPr>
          <a:xfrm>
            <a:off x="178435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A5F06A07-5F0C-F478-8A07-DD027350915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932726" y="165100"/>
            <a:ext cx="258937" cy="264917"/>
          </a:xfrm>
          <a:prstGeom prst="rect">
            <a:avLst/>
          </a:prstGeom>
        </xdr:spPr>
      </xdr:pic>
    </xdr:grp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571471</xdr:colOff>
      <xdr:row>69</xdr:row>
      <xdr:rowOff>131773</xdr:rowOff>
    </xdr:from>
    <xdr:to>
      <xdr:col>15</xdr:col>
      <xdr:colOff>0</xdr:colOff>
      <xdr:row>127</xdr:row>
      <xdr:rowOff>20393</xdr:rowOff>
    </xdr:to>
    <xdr:sp macro="" textlink="">
      <xdr:nvSpPr>
        <xdr:cNvPr id="2" name="Rounded Rectangle 1">
          <a:extLst>
            <a:ext uri="{FF2B5EF4-FFF2-40B4-BE49-F238E27FC236}">
              <a16:creationId xmlns:a16="http://schemas.microsoft.com/office/drawing/2014/main" id="{00000000-0008-0000-1400-000002000000}"/>
            </a:ext>
          </a:extLst>
        </xdr:cNvPr>
        <xdr:cNvSpPr/>
      </xdr:nvSpPr>
      <xdr:spPr>
        <a:xfrm>
          <a:off x="1083262" y="9912669"/>
          <a:ext cx="10514526" cy="9783246"/>
        </a:xfrm>
        <a:prstGeom prst="roundRect">
          <a:avLst>
            <a:gd name="adj" fmla="val 2191"/>
          </a:avLst>
        </a:prstGeom>
        <a:noFill/>
        <a:ln w="31750">
          <a:solidFill>
            <a:srgbClr val="FF79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546686</xdr:colOff>
      <xdr:row>2</xdr:row>
      <xdr:rowOff>112751</xdr:rowOff>
    </xdr:from>
    <xdr:to>
      <xdr:col>20</xdr:col>
      <xdr:colOff>53559</xdr:colOff>
      <xdr:row>4</xdr:row>
      <xdr:rowOff>20740</xdr:rowOff>
    </xdr:to>
    <xdr:grpSp>
      <xdr:nvGrpSpPr>
        <xdr:cNvPr id="3" name="Group 2">
          <a:extLst>
            <a:ext uri="{FF2B5EF4-FFF2-40B4-BE49-F238E27FC236}">
              <a16:creationId xmlns:a16="http://schemas.microsoft.com/office/drawing/2014/main" id="{AAB57A62-6309-807B-193E-157CC383DF28}"/>
            </a:ext>
          </a:extLst>
        </xdr:cNvPr>
        <xdr:cNvGrpSpPr/>
      </xdr:nvGrpSpPr>
      <xdr:grpSpPr>
        <a:xfrm>
          <a:off x="0" y="407391"/>
          <a:ext cx="0" cy="294069"/>
          <a:chOff x="20616333" y="342900"/>
          <a:chExt cx="1816426" cy="290187"/>
        </a:xfrm>
      </xdr:grpSpPr>
      <xdr:sp macro="" textlink="Names!BQ2">
        <xdr:nvSpPr>
          <xdr:cNvPr id="21" name="Rounded Rectangle 20">
            <a:hlinkClick xmlns:r="http://schemas.openxmlformats.org/officeDocument/2006/relationships" r:id="rId1"/>
            <a:extLst>
              <a:ext uri="{FF2B5EF4-FFF2-40B4-BE49-F238E27FC236}">
                <a16:creationId xmlns:a16="http://schemas.microsoft.com/office/drawing/2014/main" id="{00000000-0008-0000-1400-000015000000}"/>
              </a:ext>
            </a:extLst>
          </xdr:cNvPr>
          <xdr:cNvSpPr/>
        </xdr:nvSpPr>
        <xdr:spPr>
          <a:xfrm>
            <a:off x="20616333" y="343599"/>
            <a:ext cx="1816426" cy="289488"/>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22"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00000000-0008-0000-1400-000016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711788" y="342900"/>
            <a:ext cx="277014" cy="268840"/>
          </a:xfrm>
          <a:prstGeom prst="rect">
            <a:avLst/>
          </a:prstGeom>
        </xdr:spPr>
      </xdr:pic>
    </xdr:grpSp>
    <xdr:clientData/>
  </xdr:twoCellAnchor>
</xdr:wsDr>
</file>

<file path=xl/drawings/drawing28.xml><?xml version="1.0" encoding="utf-8"?>
<xdr:wsDr xmlns:xdr="http://schemas.openxmlformats.org/drawingml/2006/spreadsheetDrawing" xmlns:a="http://schemas.openxmlformats.org/drawingml/2006/main">
  <xdr:twoCellAnchor>
    <xdr:from>
      <xdr:col>6</xdr:col>
      <xdr:colOff>35109</xdr:colOff>
      <xdr:row>3</xdr:row>
      <xdr:rowOff>127000</xdr:rowOff>
    </xdr:from>
    <xdr:to>
      <xdr:col>14</xdr:col>
      <xdr:colOff>749300</xdr:colOff>
      <xdr:row>33</xdr:row>
      <xdr:rowOff>101600</xdr:rowOff>
    </xdr:to>
    <xdr:sp macro="" textlink="">
      <xdr:nvSpPr>
        <xdr:cNvPr id="2" name="CaixaDeTexto 6">
          <a:extLst>
            <a:ext uri="{FF2B5EF4-FFF2-40B4-BE49-F238E27FC236}">
              <a16:creationId xmlns:a16="http://schemas.microsoft.com/office/drawing/2014/main" id="{00000000-0008-0000-1500-000002000000}"/>
            </a:ext>
          </a:extLst>
        </xdr:cNvPr>
        <xdr:cNvSpPr txBox="1"/>
      </xdr:nvSpPr>
      <xdr:spPr>
        <a:xfrm>
          <a:off x="4988109" y="698500"/>
          <a:ext cx="7318191" cy="5588000"/>
        </a:xfrm>
        <a:prstGeom prst="rect">
          <a:avLst/>
        </a:prstGeom>
        <a:noFill/>
      </xdr:spPr>
      <xdr:txBody>
        <a:bodyPr wrap="square" rtlCol="0">
          <a:noAutofit/>
        </a:bodyPr>
        <a:lstStyle>
          <a:defPPr lvl="0">
            <a:defRPr lang="pt-BR"/>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algn="just"/>
          <a:r>
            <a:rPr lang="pt-BR" sz="1100" dirty="0">
              <a:latin typeface="Arial" panose="020B0604020202020204" pitchFamily="34" charset="0"/>
              <a:ea typeface="Inter Light BETA" panose="020B0402030000000004" pitchFamily="34" charset="0"/>
              <a:cs typeface="Arial" panose="020B0604020202020204" pitchFamily="34" charset="0"/>
            </a:rPr>
            <a:t>Os números de nossas principais métricas (Unit </a:t>
          </a:r>
          <a:r>
            <a:rPr lang="pt-BR" sz="1100" dirty="0" err="1">
              <a:latin typeface="Arial" panose="020B0604020202020204" pitchFamily="34" charset="0"/>
              <a:ea typeface="Inter Light BETA" panose="020B0402030000000004" pitchFamily="34" charset="0"/>
              <a:cs typeface="Arial" panose="020B0604020202020204" pitchFamily="34" charset="0"/>
            </a:rPr>
            <a:t>Economics</a:t>
          </a:r>
          <a:r>
            <a:rPr lang="pt-BR" sz="1100" dirty="0">
              <a:latin typeface="Arial" panose="020B0604020202020204" pitchFamily="34" charset="0"/>
              <a:ea typeface="Inter Light BETA" panose="020B0402030000000004" pitchFamily="34" charset="0"/>
              <a:cs typeface="Arial" panose="020B0604020202020204" pitchFamily="34" charset="0"/>
            </a:rPr>
            <a:t>), que incluem usuários ativos, como receita média por cliente ativo (ARPAC) e custo para servir (CTS), são calculados usando os dados internos da Inter. Embora acreditemos que essas métricas sejam baseadas em estimativas razoáveis, existem desafios inerentes à medição do uso de nossos negócios. Além disso, buscamos continuamente melhorar nossas estimativas, que podem mudar devido a melhorias ou mudanças na metodologia, nos processos de cálculo dessas métricas e, de tempos em tempos, podemos descobrir imprecisões e fazer ajustes para melhorar a precisão, incluindo ajustes que podem resultar no recálculo de nossas métricas históricas. </a:t>
          </a:r>
        </a:p>
        <a:p>
          <a:pPr algn="just"/>
          <a:endParaRPr lang="pt-BR" sz="1100" dirty="0">
            <a:latin typeface="Arial" panose="020B0604020202020204" pitchFamily="34" charset="0"/>
            <a:ea typeface="Inter Light BETA" panose="020B0402030000000004" pitchFamily="34" charset="0"/>
            <a:cs typeface="Arial" panose="020B0604020202020204" pitchFamily="34" charset="0"/>
          </a:endParaRPr>
        </a:p>
        <a:p>
          <a:pPr algn="just"/>
          <a:endParaRPr lang="pt-BR" sz="1100" dirty="0">
            <a:latin typeface="Arial" panose="020B0604020202020204" pitchFamily="34" charset="0"/>
            <a:ea typeface="Inter Light BETA" panose="020B0402030000000004" pitchFamily="34" charset="0"/>
            <a:cs typeface="Arial" panose="020B0604020202020204" pitchFamily="34" charset="0"/>
          </a:endParaRPr>
        </a:p>
        <a:p>
          <a:pPr algn="just"/>
          <a:r>
            <a:rPr lang="pt-BR" sz="1100" b="1" dirty="0">
              <a:solidFill>
                <a:srgbClr val="FF7A00"/>
              </a:solidFill>
              <a:latin typeface="Arial" panose="020B0604020202020204" pitchFamily="34" charset="0"/>
              <a:ea typeface="Inter Light BETA" panose="020B0402030000000004" pitchFamily="34" charset="0"/>
              <a:cs typeface="Arial" panose="020B0604020202020204" pitchFamily="34" charset="0"/>
            </a:rPr>
            <a:t>Sobre Medidas Financeiras Não-IFRS </a:t>
          </a:r>
        </a:p>
        <a:p>
          <a:pPr algn="just"/>
          <a:r>
            <a:rPr lang="pt-BR" sz="1100" b="1" dirty="0">
              <a:latin typeface="Arial" panose="020B0604020202020204" pitchFamily="34" charset="0"/>
              <a:ea typeface="Inter Light BETA" panose="020B0402030000000004" pitchFamily="34" charset="0"/>
              <a:cs typeface="Arial" panose="020B0604020202020204" pitchFamily="34" charset="0"/>
            </a:rPr>
            <a:t> </a:t>
          </a:r>
          <a:endParaRPr lang="pt-BR" sz="1100" dirty="0">
            <a:latin typeface="Arial" panose="020B0604020202020204" pitchFamily="34" charset="0"/>
            <a:ea typeface="Inter Light BETA" panose="020B0402030000000004" pitchFamily="34" charset="0"/>
            <a:cs typeface="Arial" panose="020B0604020202020204" pitchFamily="34" charset="0"/>
          </a:endParaRPr>
        </a:p>
        <a:p>
          <a:pPr algn="just"/>
          <a:r>
            <a:rPr lang="pt-BR" sz="1100" dirty="0">
              <a:latin typeface="Arial" panose="020B0604020202020204" pitchFamily="34" charset="0"/>
              <a:ea typeface="Inter Light BETA" panose="020B0402030000000004" pitchFamily="34" charset="0"/>
              <a:cs typeface="Arial" panose="020B0604020202020204" pitchFamily="34" charset="0"/>
            </a:rPr>
            <a:t>Para complementar as medidas financeiras apresentadas neste comunicado de imprensa e na teleconferência, apresentação ou webcast relacionados de acordo com o IFRS, a </a:t>
          </a:r>
          <a:r>
            <a:rPr lang="pt-BR" sz="1100" dirty="0" err="1">
              <a:latin typeface="Arial" panose="020B0604020202020204" pitchFamily="34" charset="0"/>
              <a:ea typeface="Inter Light BETA" panose="020B0402030000000004" pitchFamily="34" charset="0"/>
              <a:cs typeface="Arial" panose="020B0604020202020204" pitchFamily="34" charset="0"/>
            </a:rPr>
            <a:t>Inter&amp;Co</a:t>
          </a:r>
          <a:r>
            <a:rPr lang="pt-BR" sz="1100" dirty="0">
              <a:latin typeface="Arial" panose="020B0604020202020204" pitchFamily="34" charset="0"/>
              <a:ea typeface="Inter Light BETA" panose="020B0402030000000004" pitchFamily="34" charset="0"/>
              <a:cs typeface="Arial" panose="020B0604020202020204" pitchFamily="34" charset="0"/>
            </a:rPr>
            <a:t> também apresenta medidas não IFRS de desempenho financeiro, conforme destacado ao longo dos documentos. As Medidas Financeiras não IFRS incluem, entre outras: Resultado Líquido Ajustado, Custo de Serviço, Custo de </a:t>
          </a:r>
          <a:r>
            <a:rPr lang="pt-BR" sz="1100" dirty="0" err="1">
              <a:latin typeface="Arial" panose="020B0604020202020204" pitchFamily="34" charset="0"/>
              <a:ea typeface="Inter Light BETA" panose="020B0402030000000004" pitchFamily="34" charset="0"/>
              <a:cs typeface="Arial" panose="020B0604020202020204" pitchFamily="34" charset="0"/>
            </a:rPr>
            <a:t>Funding</a:t>
          </a:r>
          <a:r>
            <a:rPr lang="pt-BR" sz="1100" dirty="0">
              <a:latin typeface="Arial" panose="020B0604020202020204" pitchFamily="34" charset="0"/>
              <a:ea typeface="Inter Light BETA" panose="020B0402030000000004" pitchFamily="34" charset="0"/>
              <a:cs typeface="Arial" panose="020B0604020202020204" pitchFamily="34" charset="0"/>
            </a:rPr>
            <a:t>, Índice de Eficiência, Originação, NPL &gt; 90 dias, NPL 15 a 90 dias, NPL e Formação da Fase 3, </a:t>
          </a:r>
          <a:r>
            <a:rPr lang="pt-BR" sz="1100" dirty="0" err="1">
              <a:latin typeface="Arial" panose="020B0604020202020204" pitchFamily="34" charset="0"/>
              <a:ea typeface="Inter Light BETA" panose="020B0402030000000004" pitchFamily="34" charset="0"/>
              <a:cs typeface="Arial" panose="020B0604020202020204" pitchFamily="34" charset="0"/>
            </a:rPr>
            <a:t>Cost</a:t>
          </a:r>
          <a:r>
            <a:rPr lang="pt-BR" sz="1100" dirty="0">
              <a:latin typeface="Arial" panose="020B0604020202020204" pitchFamily="34" charset="0"/>
              <a:ea typeface="Inter Light BETA" panose="020B0402030000000004" pitchFamily="34" charset="0"/>
              <a:cs typeface="Arial" panose="020B0604020202020204" pitchFamily="34" charset="0"/>
            </a:rPr>
            <a:t> </a:t>
          </a:r>
          <a:r>
            <a:rPr lang="pt-BR" sz="1100" dirty="0" err="1">
              <a:latin typeface="Arial" panose="020B0604020202020204" pitchFamily="34" charset="0"/>
              <a:ea typeface="Inter Light BETA" panose="020B0402030000000004" pitchFamily="34" charset="0"/>
              <a:cs typeface="Arial" panose="020B0604020202020204" pitchFamily="34" charset="0"/>
            </a:rPr>
            <a:t>of</a:t>
          </a:r>
          <a:r>
            <a:rPr lang="pt-BR" sz="1100" dirty="0">
              <a:latin typeface="Arial" panose="020B0604020202020204" pitchFamily="34" charset="0"/>
              <a:ea typeface="Inter Light BETA" panose="020B0402030000000004" pitchFamily="34" charset="0"/>
              <a:cs typeface="Arial" panose="020B0604020202020204" pitchFamily="34" charset="0"/>
            </a:rPr>
            <a:t> Risk, índice de Cobertura, </a:t>
          </a:r>
          <a:r>
            <a:rPr lang="pt-BR" sz="1100" dirty="0" err="1">
              <a:latin typeface="Arial" panose="020B0604020202020204" pitchFamily="34" charset="0"/>
              <a:ea typeface="Inter Light BETA" panose="020B0402030000000004" pitchFamily="34" charset="0"/>
              <a:cs typeface="Arial" panose="020B0604020202020204" pitchFamily="34" charset="0"/>
            </a:rPr>
            <a:t>Funding</a:t>
          </a:r>
          <a:r>
            <a:rPr lang="pt-BR" sz="1100" dirty="0">
              <a:latin typeface="Arial" panose="020B0604020202020204" pitchFamily="34" charset="0"/>
              <a:ea typeface="Inter Light BETA" panose="020B0402030000000004" pitchFamily="34" charset="0"/>
              <a:cs typeface="Arial" panose="020B0604020202020204" pitchFamily="34" charset="0"/>
            </a:rPr>
            <a:t>, Custo de </a:t>
          </a:r>
          <a:r>
            <a:rPr lang="pt-BR" sz="1100" dirty="0" err="1">
              <a:latin typeface="Arial" panose="020B0604020202020204" pitchFamily="34" charset="0"/>
              <a:ea typeface="Inter Light BETA" panose="020B0402030000000004" pitchFamily="34" charset="0"/>
              <a:cs typeface="Arial" panose="020B0604020202020204" pitchFamily="34" charset="0"/>
            </a:rPr>
            <a:t>Funding</a:t>
          </a:r>
          <a:r>
            <a:rPr lang="pt-BR" sz="1100" dirty="0">
              <a:latin typeface="Arial" panose="020B0604020202020204" pitchFamily="34" charset="0"/>
              <a:ea typeface="Inter Light BETA" panose="020B0402030000000004" pitchFamily="34" charset="0"/>
              <a:cs typeface="Arial" panose="020B0604020202020204" pitchFamily="34" charset="0"/>
            </a:rPr>
            <a:t>, Volume Bruto de Mercadorias (GMV), Prêmios, Entradas Líquidas, Depósitos e Investimentos de Serviços Globais, </a:t>
          </a:r>
          <a:r>
            <a:rPr lang="pt-BR" sz="1100" dirty="0" err="1">
              <a:latin typeface="Arial" panose="020B0604020202020204" pitchFamily="34" charset="0"/>
              <a:ea typeface="Inter Light BETA" panose="020B0402030000000004" pitchFamily="34" charset="0"/>
              <a:cs typeface="Arial" panose="020B0604020202020204" pitchFamily="34" charset="0"/>
            </a:rPr>
            <a:t>Fee</a:t>
          </a:r>
          <a:r>
            <a:rPr lang="pt-BR" sz="1100" dirty="0">
              <a:latin typeface="Arial" panose="020B0604020202020204" pitchFamily="34" charset="0"/>
              <a:ea typeface="Inter Light BETA" panose="020B0402030000000004" pitchFamily="34" charset="0"/>
              <a:cs typeface="Arial" panose="020B0604020202020204" pitchFamily="34" charset="0"/>
            </a:rPr>
            <a:t> Income </a:t>
          </a:r>
          <a:r>
            <a:rPr lang="pt-BR" sz="1100" dirty="0" err="1">
              <a:latin typeface="Arial" panose="020B0604020202020204" pitchFamily="34" charset="0"/>
              <a:ea typeface="Inter Light BETA" panose="020B0402030000000004" pitchFamily="34" charset="0"/>
              <a:cs typeface="Arial" panose="020B0604020202020204" pitchFamily="34" charset="0"/>
            </a:rPr>
            <a:t>Ratio</a:t>
          </a:r>
          <a:r>
            <a:rPr lang="pt-BR" sz="1100" dirty="0">
              <a:latin typeface="Arial" panose="020B0604020202020204" pitchFamily="34" charset="0"/>
              <a:ea typeface="Inter Light BETA" panose="020B0402030000000004" pitchFamily="34" charset="0"/>
              <a:cs typeface="Arial" panose="020B0604020202020204" pitchFamily="34" charset="0"/>
            </a:rPr>
            <a:t>,  Custo de Aquisição de Clientes, Cartões + PIX TPV, ARPAC Bruto, ARPAC Líquido, NIM Marginal 1.0, NIM Marginal 2.0, Margem de Juros Líquida IEP + Non-int. CC Recebíveis (1.0), Margem Líquida de Juros IEP (2.0), </a:t>
          </a:r>
          <a:r>
            <a:rPr lang="pt-BR" sz="1100" dirty="0" err="1">
              <a:latin typeface="Arial" panose="020B0604020202020204" pitchFamily="34" charset="0"/>
              <a:ea typeface="Inter Light BETA" panose="020B0402030000000004" pitchFamily="34" charset="0"/>
              <a:cs typeface="Arial" panose="020B0604020202020204" pitchFamily="34" charset="0"/>
            </a:rPr>
            <a:t>Custo</a:t>
          </a:r>
          <a:r>
            <a:rPr lang="pt-BR" sz="1100" baseline="0" dirty="0" err="1">
              <a:latin typeface="Arial" panose="020B0604020202020204" pitchFamily="34" charset="0"/>
              <a:ea typeface="Inter Light BETA" panose="020B0402030000000004" pitchFamily="34" charset="0"/>
              <a:cs typeface="Arial" panose="020B0604020202020204" pitchFamily="34" charset="0"/>
            </a:rPr>
            <a:t> de Servir. </a:t>
          </a:r>
        </a:p>
        <a:p>
          <a:pPr algn="just"/>
          <a:endParaRPr lang="pt-BR" sz="1100" dirty="0">
            <a:latin typeface="Arial" panose="020B0604020202020204" pitchFamily="34" charset="0"/>
            <a:ea typeface="Inter Light BETA" panose="020B0402030000000004" pitchFamily="34" charset="0"/>
            <a:cs typeface="Arial" panose="020B0604020202020204" pitchFamily="34" charset="0"/>
          </a:endParaRPr>
        </a:p>
        <a:p>
          <a:pPr algn="just"/>
          <a:r>
            <a:rPr lang="pt-BR" sz="1100" dirty="0">
              <a:latin typeface="Arial" panose="020B0604020202020204" pitchFamily="34" charset="0"/>
              <a:ea typeface="Inter Light BETA" panose="020B0402030000000004" pitchFamily="34" charset="0"/>
              <a:cs typeface="Arial" panose="020B0604020202020204" pitchFamily="34" charset="0"/>
            </a:rPr>
            <a:t>Uma "medida financeira não IFRS" refere-se a uma medida numérica da posição histórica ou financeira da </a:t>
          </a:r>
          <a:r>
            <a:rPr lang="pt-BR" sz="1100" dirty="0" err="1">
              <a:latin typeface="Arial" panose="020B0604020202020204" pitchFamily="34" charset="0"/>
              <a:ea typeface="Inter Light BETA" panose="020B0402030000000004" pitchFamily="34" charset="0"/>
              <a:cs typeface="Arial" panose="020B0604020202020204" pitchFamily="34" charset="0"/>
            </a:rPr>
            <a:t>Inter&amp;Co</a:t>
          </a:r>
          <a:r>
            <a:rPr lang="pt-BR" sz="1100" dirty="0">
              <a:latin typeface="Arial" panose="020B0604020202020204" pitchFamily="34" charset="0"/>
              <a:ea typeface="Inter Light BETA" panose="020B0402030000000004" pitchFamily="34" charset="0"/>
              <a:cs typeface="Arial" panose="020B0604020202020204" pitchFamily="34" charset="0"/>
            </a:rPr>
            <a:t> que exclui ou inclui montantes que normalmente não são excluídos ou incluídos na medida mais diretamente comparável calculada e apresentada de acordo com o IFRS nas demonstrações financeiras da </a:t>
          </a:r>
          <a:r>
            <a:rPr lang="pt-BR" sz="1100" dirty="0" err="1">
              <a:latin typeface="Arial" panose="020B0604020202020204" pitchFamily="34" charset="0"/>
              <a:ea typeface="Inter Light BETA" panose="020B0402030000000004" pitchFamily="34" charset="0"/>
              <a:cs typeface="Arial" panose="020B0604020202020204" pitchFamily="34" charset="0"/>
            </a:rPr>
            <a:t>Inter&amp;Co</a:t>
          </a:r>
          <a:r>
            <a:rPr lang="pt-BR" sz="1100" dirty="0">
              <a:latin typeface="Arial" panose="020B0604020202020204" pitchFamily="34" charset="0"/>
              <a:ea typeface="Inter Light BETA" panose="020B0402030000000004" pitchFamily="34" charset="0"/>
              <a:cs typeface="Arial" panose="020B0604020202020204" pitchFamily="34" charset="0"/>
            </a:rPr>
            <a:t>. </a:t>
          </a:r>
        </a:p>
        <a:p>
          <a:pPr algn="just"/>
          <a:endParaRPr lang="pt-BR" sz="1100" dirty="0">
            <a:latin typeface="Arial" panose="020B0604020202020204" pitchFamily="34" charset="0"/>
            <a:ea typeface="Inter Light BETA" panose="020B0402030000000004" pitchFamily="34" charset="0"/>
            <a:cs typeface="Arial" panose="020B0604020202020204" pitchFamily="34" charset="0"/>
          </a:endParaRPr>
        </a:p>
        <a:p>
          <a:pPr algn="just"/>
          <a:r>
            <a:rPr lang="pt-BR" sz="1100" dirty="0">
              <a:latin typeface="Arial" panose="020B0604020202020204" pitchFamily="34" charset="0"/>
              <a:ea typeface="Inter Light BETA" panose="020B0402030000000004" pitchFamily="34" charset="0"/>
              <a:cs typeface="Arial" panose="020B0604020202020204" pitchFamily="34" charset="0"/>
            </a:rPr>
            <a:t>A </a:t>
          </a:r>
          <a:r>
            <a:rPr lang="pt-BR" sz="1100" dirty="0" err="1">
              <a:latin typeface="Arial" panose="020B0604020202020204" pitchFamily="34" charset="0"/>
              <a:ea typeface="Inter Light BETA" panose="020B0402030000000004" pitchFamily="34" charset="0"/>
              <a:cs typeface="Arial" panose="020B0604020202020204" pitchFamily="34" charset="0"/>
            </a:rPr>
            <a:t>Inter&amp;Co</a:t>
          </a:r>
          <a:r>
            <a:rPr lang="pt-BR" sz="1100" dirty="0">
              <a:latin typeface="Arial" panose="020B0604020202020204" pitchFamily="34" charset="0"/>
              <a:ea typeface="Inter Light BETA" panose="020B0402030000000004" pitchFamily="34" charset="0"/>
              <a:cs typeface="Arial" panose="020B0604020202020204" pitchFamily="34" charset="0"/>
            </a:rPr>
            <a:t> fornece certas medidas não-IFRS como informações adicionais relacionadas aos seus resultados operacionais como complemento aos resultados fornecidos de acordo com o IFRS. As informações financeiras não IFRS aqui apresentadas devem ser consideradas em conjunto com, e não como um substituto ou superior a, as informações financeiras apresentadas de acordo com o IFRS. Existem limitações significativas associadas ao uso de medidas financeiras não IFRS. Além disso, estas medidas podem diferir das informações não IFRS, mesmo quando com títulos semelhantes, utilizadas por outras empresas e, por conseguinte, não devem ser utilizadas para comparar o desempenho da </a:t>
          </a:r>
          <a:r>
            <a:rPr lang="pt-BR" sz="1100" dirty="0" err="1">
              <a:latin typeface="Arial" panose="020B0604020202020204" pitchFamily="34" charset="0"/>
              <a:ea typeface="Inter Light BETA" panose="020B0402030000000004" pitchFamily="34" charset="0"/>
              <a:cs typeface="Arial" panose="020B0604020202020204" pitchFamily="34" charset="0"/>
            </a:rPr>
            <a:t>Inter&amp;Co</a:t>
          </a:r>
          <a:r>
            <a:rPr lang="pt-BR" sz="1100" dirty="0">
              <a:latin typeface="Arial" panose="020B0604020202020204" pitchFamily="34" charset="0"/>
              <a:ea typeface="Inter Light BETA" panose="020B0402030000000004" pitchFamily="34" charset="0"/>
              <a:cs typeface="Arial" panose="020B0604020202020204" pitchFamily="34" charset="0"/>
            </a:rPr>
            <a:t> com o de outras empresas.</a:t>
          </a: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Arial" panose="020B0604020202020204" pitchFamily="34" charset="0"/>
            <a:ea typeface="Inter Light BETA" panose="020B04020300000000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Arial" panose="020B0604020202020204" pitchFamily="34" charset="0"/>
            <a:ea typeface="Inter Light BETA" panose="020B04020300000000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Arial" panose="020B0604020202020204" pitchFamily="34" charset="0"/>
            <a:ea typeface="Inter Light BETA" panose="020B0402030000000004" pitchFamily="34" charset="0"/>
            <a:cs typeface="Arial" panose="020B0604020202020204" pitchFamily="34" charset="0"/>
          </a:endParaRPr>
        </a:p>
      </xdr:txBody>
    </xdr:sp>
    <xdr:clientData/>
  </xdr:twoCellAnchor>
  <xdr:twoCellAnchor>
    <xdr:from>
      <xdr:col>0</xdr:col>
      <xdr:colOff>0</xdr:colOff>
      <xdr:row>1</xdr:row>
      <xdr:rowOff>120601</xdr:rowOff>
    </xdr:from>
    <xdr:to>
      <xdr:col>5</xdr:col>
      <xdr:colOff>375697</xdr:colOff>
      <xdr:row>4</xdr:row>
      <xdr:rowOff>180882</xdr:rowOff>
    </xdr:to>
    <xdr:sp macro="" textlink="">
      <xdr:nvSpPr>
        <xdr:cNvPr id="3" name="Rounded Rectangle 2">
          <a:extLst>
            <a:ext uri="{FF2B5EF4-FFF2-40B4-BE49-F238E27FC236}">
              <a16:creationId xmlns:a16="http://schemas.microsoft.com/office/drawing/2014/main" id="{00000000-0008-0000-1500-000003000000}"/>
            </a:ext>
          </a:extLst>
        </xdr:cNvPr>
        <xdr:cNvSpPr/>
      </xdr:nvSpPr>
      <xdr:spPr>
        <a:xfrm>
          <a:off x="0" y="311101"/>
          <a:ext cx="4503197" cy="631781"/>
        </a:xfrm>
        <a:prstGeom prst="round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lvl="0">
            <a:defRPr lang="pt-BR"/>
          </a:defPPr>
          <a:lvl1pPr marL="0" lvl="0" algn="l" defTabSz="914400" rtl="0" eaLnBrk="1" latinLnBrk="0" hangingPunct="1">
            <a:defRPr sz="1800" kern="1200">
              <a:solidFill>
                <a:schemeClr val="lt1"/>
              </a:solidFill>
              <a:latin typeface="+mn-lt"/>
              <a:ea typeface="+mn-ea"/>
              <a:cs typeface="+mn-cs"/>
            </a:defRPr>
          </a:lvl1pPr>
          <a:lvl2pPr marL="457200" lvl="1" algn="l" defTabSz="914400" rtl="0" eaLnBrk="1" latinLnBrk="0" hangingPunct="1">
            <a:defRPr sz="1800" kern="1200">
              <a:solidFill>
                <a:schemeClr val="lt1"/>
              </a:solidFill>
              <a:latin typeface="+mn-lt"/>
              <a:ea typeface="+mn-ea"/>
              <a:cs typeface="+mn-cs"/>
            </a:defRPr>
          </a:lvl2pPr>
          <a:lvl3pPr marL="914400" lvl="2" algn="l" defTabSz="914400" rtl="0" eaLnBrk="1" latinLnBrk="0" hangingPunct="1">
            <a:defRPr sz="1800" kern="1200">
              <a:solidFill>
                <a:schemeClr val="lt1"/>
              </a:solidFill>
              <a:latin typeface="+mn-lt"/>
              <a:ea typeface="+mn-ea"/>
              <a:cs typeface="+mn-cs"/>
            </a:defRPr>
          </a:lvl3pPr>
          <a:lvl4pPr marL="1371600" lvl="3" algn="l" defTabSz="914400" rtl="0" eaLnBrk="1" latinLnBrk="0" hangingPunct="1">
            <a:defRPr sz="1800" kern="1200">
              <a:solidFill>
                <a:schemeClr val="lt1"/>
              </a:solidFill>
              <a:latin typeface="+mn-lt"/>
              <a:ea typeface="+mn-ea"/>
              <a:cs typeface="+mn-cs"/>
            </a:defRPr>
          </a:lvl4pPr>
          <a:lvl5pPr marL="1828800" lvl="4" algn="l" defTabSz="914400" rtl="0" eaLnBrk="1" latinLnBrk="0" hangingPunct="1">
            <a:defRPr sz="1800" kern="1200">
              <a:solidFill>
                <a:schemeClr val="lt1"/>
              </a:solidFill>
              <a:latin typeface="+mn-lt"/>
              <a:ea typeface="+mn-ea"/>
              <a:cs typeface="+mn-cs"/>
            </a:defRPr>
          </a:lvl5pPr>
          <a:lvl6pPr marL="2286000" lvl="5" algn="l" defTabSz="914400" rtl="0" eaLnBrk="1" latinLnBrk="0" hangingPunct="1">
            <a:defRPr sz="1800" kern="1200">
              <a:solidFill>
                <a:schemeClr val="lt1"/>
              </a:solidFill>
              <a:latin typeface="+mn-lt"/>
              <a:ea typeface="+mn-ea"/>
              <a:cs typeface="+mn-cs"/>
            </a:defRPr>
          </a:lvl6pPr>
          <a:lvl7pPr marL="2743200" lvl="6" algn="l" defTabSz="914400" rtl="0" eaLnBrk="1" latinLnBrk="0" hangingPunct="1">
            <a:defRPr sz="1800" kern="1200">
              <a:solidFill>
                <a:schemeClr val="lt1"/>
              </a:solidFill>
              <a:latin typeface="+mn-lt"/>
              <a:ea typeface="+mn-ea"/>
              <a:cs typeface="+mn-cs"/>
            </a:defRPr>
          </a:lvl7pPr>
          <a:lvl8pPr marL="3200400" lvl="7" algn="l" defTabSz="914400" rtl="0" eaLnBrk="1" latinLnBrk="0" hangingPunct="1">
            <a:defRPr sz="1800" kern="1200">
              <a:solidFill>
                <a:schemeClr val="lt1"/>
              </a:solidFill>
              <a:latin typeface="+mn-lt"/>
              <a:ea typeface="+mn-ea"/>
              <a:cs typeface="+mn-cs"/>
            </a:defRPr>
          </a:lvl8pPr>
          <a:lvl9pPr marL="3657600" lvl="8" algn="l" defTabSz="914400" rtl="0" eaLnBrk="1" latinLnBrk="0" hangingPunct="1">
            <a:defRPr sz="1800" kern="1200">
              <a:solidFill>
                <a:schemeClr val="lt1"/>
              </a:solidFill>
              <a:latin typeface="+mn-lt"/>
              <a:ea typeface="+mn-ea"/>
              <a:cs typeface="+mn-cs"/>
            </a:defRPr>
          </a:lvl9pPr>
        </a:lstStyle>
        <a:p>
          <a:pPr algn="r"/>
          <a:r>
            <a:rPr lang="en-US" sz="4000" b="1">
              <a:solidFill>
                <a:srgbClr val="FF7A00"/>
              </a:solidFill>
              <a:latin typeface="Calibri" panose="020F0502020204030204" pitchFamily="34" charset="0"/>
              <a:cs typeface="Calibri" panose="020F0502020204030204" pitchFamily="34" charset="0"/>
            </a:rPr>
            <a:t>Disclaimer</a:t>
          </a:r>
        </a:p>
      </xdr:txBody>
    </xdr:sp>
    <xdr:clientData/>
  </xdr:twoCellAnchor>
  <xdr:twoCellAnchor editAs="oneCell">
    <xdr:from>
      <xdr:col>0</xdr:col>
      <xdr:colOff>180112</xdr:colOff>
      <xdr:row>6</xdr:row>
      <xdr:rowOff>55393</xdr:rowOff>
    </xdr:from>
    <xdr:to>
      <xdr:col>5</xdr:col>
      <xdr:colOff>476688</xdr:colOff>
      <xdr:row>31</xdr:row>
      <xdr:rowOff>36164</xdr:rowOff>
    </xdr:to>
    <xdr:pic>
      <xdr:nvPicPr>
        <xdr:cNvPr id="4" name="Picture 3" descr="A person sitting on an orange chair with a computer&#10;&#10;Description automatically generated with medium confidence">
          <a:extLst>
            <a:ext uri="{FF2B5EF4-FFF2-40B4-BE49-F238E27FC236}">
              <a16:creationId xmlns:a16="http://schemas.microsoft.com/office/drawing/2014/main" id="{00000000-0008-0000-1500-000004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80112" y="1198393"/>
          <a:ext cx="4424076" cy="4743271"/>
        </a:xfrm>
        <a:prstGeom prst="roundRect">
          <a:avLst/>
        </a:prstGeom>
      </xdr:spPr>
    </xdr:pic>
    <xdr:clientData/>
  </xdr:twoCellAnchor>
  <xdr:twoCellAnchor>
    <xdr:from>
      <xdr:col>21</xdr:col>
      <xdr:colOff>502140</xdr:colOff>
      <xdr:row>4</xdr:row>
      <xdr:rowOff>18689</xdr:rowOff>
    </xdr:from>
    <xdr:to>
      <xdr:col>30</xdr:col>
      <xdr:colOff>446138</xdr:colOff>
      <xdr:row>34</xdr:row>
      <xdr:rowOff>76043</xdr:rowOff>
    </xdr:to>
    <xdr:sp macro="" textlink="">
      <xdr:nvSpPr>
        <xdr:cNvPr id="5" name="CaixaDeTexto 6">
          <a:extLst>
            <a:ext uri="{FF2B5EF4-FFF2-40B4-BE49-F238E27FC236}">
              <a16:creationId xmlns:a16="http://schemas.microsoft.com/office/drawing/2014/main" id="{00000000-0008-0000-1500-000005000000}"/>
            </a:ext>
          </a:extLst>
        </xdr:cNvPr>
        <xdr:cNvSpPr txBox="1"/>
      </xdr:nvSpPr>
      <xdr:spPr>
        <a:xfrm>
          <a:off x="17708592" y="756108"/>
          <a:ext cx="7318191" cy="5588000"/>
        </a:xfrm>
        <a:prstGeom prst="rect">
          <a:avLst/>
        </a:prstGeom>
        <a:noFill/>
      </xdr:spPr>
      <xdr:txBody>
        <a:bodyPr wrap="square" rtlCol="0">
          <a:noAutofit/>
        </a:bodyPr>
        <a:lstStyle>
          <a:defPPr lvl="0">
            <a:defRPr lang="pt-BR"/>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rPr>
            <a:t>The numbers for our key metrics (Unit Economics), which include active users, as average revenue per active client (ARPAC), cost to serve (CTS), are calculated using Inter’s internal data. Although we believe these metrics are based on reasonable estimates, there are challenges inherent in measuring the use of our business. In addition, we continually seek to improve our estimates, which may change due to improvements or changes in methodology, in processes for calculating these metrics and, from time to time, we may discover inaccuracies and make adjustments to improve accuracy, including adjustments that may result in recalculating our historical metrics. </a:t>
          </a: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en-US" sz="1600" b="1" i="0" u="none" strike="noStrike" kern="1200" cap="none" spc="0" normalizeH="0" baseline="0">
              <a:ln>
                <a:noFill/>
              </a:ln>
              <a:solidFill>
                <a:srgbClr val="FF7A00"/>
              </a:solidFill>
              <a:effectLst/>
              <a:uLnTx/>
              <a:uFillTx/>
              <a:latin typeface="Calibri" panose="020F0502020204030204" pitchFamily="34" charset="0"/>
              <a:ea typeface="Inter Light BETA" panose="020B0402030000000004" pitchFamily="34" charset="0"/>
              <a:cs typeface="Calibri" panose="020F0502020204030204" pitchFamily="34" charset="0"/>
            </a:rPr>
            <a:t>About Non-IFRS Financial Measures </a:t>
          </a: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rPr>
            <a:t>To supplement the financial measures presented in this press release and related conference call, presentation, or webcast in accordance with IFRS, Inter&amp;Co also presents non-IFRS measures of financial performance, as highlighted throughout the documents. The non-IFRS Financial Measures include, among others: Adjusted Net Income, Cost to Serve, Cost of Funding, Efficiency Ratio, Underwriting, NPL &gt; 90 days, NPL 15 to 90 days, NPL and Stage 3 Formation, Cost of Risk, Coverage Ratio, Funding, All-in Cost of Funding, Gross Merchandise Volume (GMV), Premiums, Net Inflows, Global Services Deposits and Investments, Fee Income Ratio, Client Acquisition Cost, Cards+PIX TPV, Gross ARPAC, Net ARPAC, Marginal NIM 1.0, Marginal NIM 2.0, Net Interest Margin IEP + Non-int. CC Receivables (1.0), Net Interest Margin IEP (2.0), Cost-to-Serve.</a:t>
          </a: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rPr>
            <a:t>A “non-IFRS financial measure” refers to a numerical measure of Inter&amp;Co’s historical or financial position that either excludes or includes amounts that are not normally excluded or included in the most directly comparable measure calculated and presented in accordance with IFRS in Inter&amp;Co’s financial statements. </a:t>
          </a: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rPr>
            <a:t>Inter&amp;Co provides certain non-IFRS measures as additional information relating to its operating results as a complement to results provided in accordance with IFRS. The non-IFRS financial information presented herein should be considered together with, and not as a substitute for or superior to, the financial information presented in accordance with IFRS. There are significant limitations associated with the use of non-IFRS financial measures. Further, these measures may differ from the non-IFRS information, even where similarly titled, used by other companies and therefore should not be used to compare Inter&amp;Co’s performance to that of other companies. </a:t>
          </a: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xdr:txBody>
    </xdr:sp>
    <xdr:clientData/>
  </xdr:twoCellAnchor>
  <xdr:twoCellAnchor>
    <xdr:from>
      <xdr:col>15</xdr:col>
      <xdr:colOff>430160</xdr:colOff>
      <xdr:row>2</xdr:row>
      <xdr:rowOff>-1</xdr:rowOff>
    </xdr:from>
    <xdr:to>
      <xdr:col>21</xdr:col>
      <xdr:colOff>17228</xdr:colOff>
      <xdr:row>5</xdr:row>
      <xdr:rowOff>78716</xdr:rowOff>
    </xdr:to>
    <xdr:sp macro="" textlink="">
      <xdr:nvSpPr>
        <xdr:cNvPr id="6" name="Rounded Rectangle 5">
          <a:extLst>
            <a:ext uri="{FF2B5EF4-FFF2-40B4-BE49-F238E27FC236}">
              <a16:creationId xmlns:a16="http://schemas.microsoft.com/office/drawing/2014/main" id="{00000000-0008-0000-1500-000006000000}"/>
            </a:ext>
          </a:extLst>
        </xdr:cNvPr>
        <xdr:cNvSpPr/>
      </xdr:nvSpPr>
      <xdr:spPr>
        <a:xfrm>
          <a:off x="12720483" y="368709"/>
          <a:ext cx="4503197" cy="631781"/>
        </a:xfrm>
        <a:prstGeom prst="round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lvl="0">
            <a:defRPr lang="pt-BR"/>
          </a:defPPr>
          <a:lvl1pPr marL="0" lvl="0" algn="l" defTabSz="914400" rtl="0" eaLnBrk="1" latinLnBrk="0" hangingPunct="1">
            <a:defRPr sz="1800" kern="1200">
              <a:solidFill>
                <a:schemeClr val="lt1"/>
              </a:solidFill>
              <a:latin typeface="+mn-lt"/>
              <a:ea typeface="+mn-ea"/>
              <a:cs typeface="+mn-cs"/>
            </a:defRPr>
          </a:lvl1pPr>
          <a:lvl2pPr marL="457200" lvl="1" algn="l" defTabSz="914400" rtl="0" eaLnBrk="1" latinLnBrk="0" hangingPunct="1">
            <a:defRPr sz="1800" kern="1200">
              <a:solidFill>
                <a:schemeClr val="lt1"/>
              </a:solidFill>
              <a:latin typeface="+mn-lt"/>
              <a:ea typeface="+mn-ea"/>
              <a:cs typeface="+mn-cs"/>
            </a:defRPr>
          </a:lvl2pPr>
          <a:lvl3pPr marL="914400" lvl="2" algn="l" defTabSz="914400" rtl="0" eaLnBrk="1" latinLnBrk="0" hangingPunct="1">
            <a:defRPr sz="1800" kern="1200">
              <a:solidFill>
                <a:schemeClr val="lt1"/>
              </a:solidFill>
              <a:latin typeface="+mn-lt"/>
              <a:ea typeface="+mn-ea"/>
              <a:cs typeface="+mn-cs"/>
            </a:defRPr>
          </a:lvl3pPr>
          <a:lvl4pPr marL="1371600" lvl="3" algn="l" defTabSz="914400" rtl="0" eaLnBrk="1" latinLnBrk="0" hangingPunct="1">
            <a:defRPr sz="1800" kern="1200">
              <a:solidFill>
                <a:schemeClr val="lt1"/>
              </a:solidFill>
              <a:latin typeface="+mn-lt"/>
              <a:ea typeface="+mn-ea"/>
              <a:cs typeface="+mn-cs"/>
            </a:defRPr>
          </a:lvl4pPr>
          <a:lvl5pPr marL="1828800" lvl="4" algn="l" defTabSz="914400" rtl="0" eaLnBrk="1" latinLnBrk="0" hangingPunct="1">
            <a:defRPr sz="1800" kern="1200">
              <a:solidFill>
                <a:schemeClr val="lt1"/>
              </a:solidFill>
              <a:latin typeface="+mn-lt"/>
              <a:ea typeface="+mn-ea"/>
              <a:cs typeface="+mn-cs"/>
            </a:defRPr>
          </a:lvl5pPr>
          <a:lvl6pPr marL="2286000" lvl="5" algn="l" defTabSz="914400" rtl="0" eaLnBrk="1" latinLnBrk="0" hangingPunct="1">
            <a:defRPr sz="1800" kern="1200">
              <a:solidFill>
                <a:schemeClr val="lt1"/>
              </a:solidFill>
              <a:latin typeface="+mn-lt"/>
              <a:ea typeface="+mn-ea"/>
              <a:cs typeface="+mn-cs"/>
            </a:defRPr>
          </a:lvl6pPr>
          <a:lvl7pPr marL="2743200" lvl="6" algn="l" defTabSz="914400" rtl="0" eaLnBrk="1" latinLnBrk="0" hangingPunct="1">
            <a:defRPr sz="1800" kern="1200">
              <a:solidFill>
                <a:schemeClr val="lt1"/>
              </a:solidFill>
              <a:latin typeface="+mn-lt"/>
              <a:ea typeface="+mn-ea"/>
              <a:cs typeface="+mn-cs"/>
            </a:defRPr>
          </a:lvl7pPr>
          <a:lvl8pPr marL="3200400" lvl="7" algn="l" defTabSz="914400" rtl="0" eaLnBrk="1" latinLnBrk="0" hangingPunct="1">
            <a:defRPr sz="1800" kern="1200">
              <a:solidFill>
                <a:schemeClr val="lt1"/>
              </a:solidFill>
              <a:latin typeface="+mn-lt"/>
              <a:ea typeface="+mn-ea"/>
              <a:cs typeface="+mn-cs"/>
            </a:defRPr>
          </a:lvl8pPr>
          <a:lvl9pPr marL="3657600" lvl="8" algn="l" defTabSz="914400" rtl="0" eaLnBrk="1" latinLnBrk="0" hangingPunct="1">
            <a:defRPr sz="1800" kern="1200">
              <a:solidFill>
                <a:schemeClr val="lt1"/>
              </a:solidFill>
              <a:latin typeface="+mn-lt"/>
              <a:ea typeface="+mn-ea"/>
              <a:cs typeface="+mn-cs"/>
            </a:defRPr>
          </a:lvl9pPr>
        </a:lstStyle>
        <a:p>
          <a:pPr algn="r"/>
          <a:r>
            <a:rPr lang="en-US" sz="4000" b="1">
              <a:solidFill>
                <a:srgbClr val="FF7A00"/>
              </a:solidFill>
              <a:latin typeface="Calibri" panose="020F0502020204030204" pitchFamily="34" charset="0"/>
              <a:cs typeface="Calibri" panose="020F0502020204030204" pitchFamily="34" charset="0"/>
            </a:rPr>
            <a:t>Disclaimer</a:t>
          </a:r>
        </a:p>
      </xdr:txBody>
    </xdr:sp>
    <xdr:clientData/>
  </xdr:twoCellAnchor>
  <xdr:twoCellAnchor editAs="oneCell">
    <xdr:from>
      <xdr:col>15</xdr:col>
      <xdr:colOff>610272</xdr:colOff>
      <xdr:row>6</xdr:row>
      <xdr:rowOff>149872</xdr:rowOff>
    </xdr:from>
    <xdr:to>
      <xdr:col>21</xdr:col>
      <xdr:colOff>118219</xdr:colOff>
      <xdr:row>32</xdr:row>
      <xdr:rowOff>99917</xdr:rowOff>
    </xdr:to>
    <xdr:pic>
      <xdr:nvPicPr>
        <xdr:cNvPr id="7" name="Picture 6" descr="A person sitting on an orange chair with a computer&#10;&#10;Description automatically generated with medium confidence">
          <a:extLst>
            <a:ext uri="{FF2B5EF4-FFF2-40B4-BE49-F238E27FC236}">
              <a16:creationId xmlns:a16="http://schemas.microsoft.com/office/drawing/2014/main" id="{00000000-0008-0000-1500-000007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2900595" y="1256001"/>
          <a:ext cx="4424076" cy="4743271"/>
        </a:xfrm>
        <a:prstGeom prst="roundRect">
          <a:avLst/>
        </a:prstGeom>
      </xdr:spPr>
    </xdr:pic>
    <xdr:clientData/>
  </xdr:twoCellAnchor>
  <xdr:twoCellAnchor>
    <xdr:from>
      <xdr:col>31</xdr:col>
      <xdr:colOff>0</xdr:colOff>
      <xdr:row>1</xdr:row>
      <xdr:rowOff>0</xdr:rowOff>
    </xdr:from>
    <xdr:to>
      <xdr:col>33</xdr:col>
      <xdr:colOff>46892</xdr:colOff>
      <xdr:row>2</xdr:row>
      <xdr:rowOff>140108</xdr:rowOff>
    </xdr:to>
    <xdr:grpSp>
      <xdr:nvGrpSpPr>
        <xdr:cNvPr id="8" name="Group 7">
          <a:extLst>
            <a:ext uri="{FF2B5EF4-FFF2-40B4-BE49-F238E27FC236}">
              <a16:creationId xmlns:a16="http://schemas.microsoft.com/office/drawing/2014/main" id="{00000000-0008-0000-1500-000008000000}"/>
            </a:ext>
          </a:extLst>
        </xdr:cNvPr>
        <xdr:cNvGrpSpPr/>
      </xdr:nvGrpSpPr>
      <xdr:grpSpPr>
        <a:xfrm>
          <a:off x="25590500" y="190500"/>
          <a:ext cx="1697892" cy="330608"/>
          <a:chOff x="9503508" y="419387"/>
          <a:chExt cx="1697892" cy="285953"/>
        </a:xfrm>
      </xdr:grpSpPr>
      <xdr:sp macro="" textlink="Names!BQ2">
        <xdr:nvSpPr>
          <xdr:cNvPr id="9" name="Rounded Rectangle 8">
            <a:hlinkClick xmlns:r="http://schemas.openxmlformats.org/officeDocument/2006/relationships" r:id="rId2"/>
            <a:extLst>
              <a:ext uri="{FF2B5EF4-FFF2-40B4-BE49-F238E27FC236}">
                <a16:creationId xmlns:a16="http://schemas.microsoft.com/office/drawing/2014/main" id="{00000000-0008-0000-1500-000009000000}"/>
              </a:ext>
            </a:extLst>
          </xdr:cNvPr>
          <xdr:cNvSpPr/>
        </xdr:nvSpPr>
        <xdr:spPr>
          <a:xfrm>
            <a:off x="9503508" y="420076"/>
            <a:ext cx="1697892" cy="285264"/>
          </a:xfrm>
          <a:prstGeom prst="roundRect">
            <a:avLst/>
          </a:prstGeom>
          <a:solidFill>
            <a:srgbClr val="FE78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10" name="Gráfico 4" descr="Seta de linha: retorno na horizontal com preenchimento sólido">
            <a:hlinkClick xmlns:r="http://schemas.openxmlformats.org/officeDocument/2006/relationships" r:id="rId2"/>
            <a:extLst>
              <a:ext uri="{FF2B5EF4-FFF2-40B4-BE49-F238E27FC236}">
                <a16:creationId xmlns:a16="http://schemas.microsoft.com/office/drawing/2014/main" id="{00000000-0008-0000-1500-00000A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 uri="{96DAC541-7B7A-43D3-8B79-37D633B846F1}">
                <asvg:svgBlip xmlns:asvg="http://schemas.microsoft.com/office/drawing/2016/SVG/main" r:embed="rId4"/>
              </a:ext>
            </a:extLst>
          </a:blip>
          <a:stretch>
            <a:fillRect/>
          </a:stretch>
        </xdr:blipFill>
        <xdr:spPr>
          <a:xfrm>
            <a:off x="9592734" y="419387"/>
            <a:ext cx="258937" cy="264917"/>
          </a:xfrm>
          <a:prstGeom prst="rect">
            <a:avLst/>
          </a:prstGeom>
        </xdr:spPr>
      </xdr:pic>
    </xdr:grp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177800</xdr:colOff>
      <xdr:row>0</xdr:row>
      <xdr:rowOff>50800</xdr:rowOff>
    </xdr:from>
    <xdr:to>
      <xdr:col>6</xdr:col>
      <xdr:colOff>780505</xdr:colOff>
      <xdr:row>2</xdr:row>
      <xdr:rowOff>78712</xdr:rowOff>
    </xdr:to>
    <xdr:sp macro="" textlink="">
      <xdr:nvSpPr>
        <xdr:cNvPr id="11" name="Content Placeholder 1">
          <a:extLst>
            <a:ext uri="{FF2B5EF4-FFF2-40B4-BE49-F238E27FC236}">
              <a16:creationId xmlns:a16="http://schemas.microsoft.com/office/drawing/2014/main" id="{00000000-0008-0000-1600-00000B000000}"/>
            </a:ext>
          </a:extLst>
        </xdr:cNvPr>
        <xdr:cNvSpPr txBox="1">
          <a:spLocks/>
        </xdr:cNvSpPr>
      </xdr:nvSpPr>
      <xdr:spPr>
        <a:xfrm>
          <a:off x="177800" y="50800"/>
          <a:ext cx="5631905" cy="434312"/>
        </a:xfrm>
        <a:prstGeom prst="rect">
          <a:avLst/>
        </a:prstGeom>
      </xdr:spPr>
      <xdr:txBody>
        <a:bodyPr vert="horz" wrap="square" lIns="0" tIns="0" rIns="0" bIns="0" rtlCol="0" anchor="ctr">
          <a:noAutofit/>
        </a:bodyPr>
        <a:lstStyle>
          <a:defPPr lvl="0">
            <a:defRPr lang="pt-BR"/>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90000"/>
            </a:lnSpc>
            <a:spcBef>
              <a:spcPts val="1000"/>
            </a:spcBef>
            <a:spcAft>
              <a:spcPts val="0"/>
            </a:spcAft>
            <a:buClrTx/>
            <a:buSzTx/>
            <a:buFont typeface="Arial" panose="020B0604020202020204" pitchFamily="34" charset="0"/>
            <a:buNone/>
            <a:tabLst/>
            <a:defRPr/>
          </a:pPr>
          <a:r>
            <a:rPr lang="pt-BR" sz="2200">
              <a:solidFill>
                <a:srgbClr val="FF7B02"/>
              </a:solidFill>
              <a:latin typeface="Calibri" panose="020F0502020204030204" pitchFamily="34" charset="0"/>
              <a:cs typeface="Calibri" panose="020F0502020204030204" pitchFamily="34" charset="0"/>
            </a:rPr>
            <a:t>Glossary</a:t>
          </a:r>
          <a:r>
            <a:rPr kumimoji="0" lang="pt-BR" sz="2400" b="1" i="0" u="none" strike="noStrike" kern="0" cap="none" spc="0" normalizeH="0" baseline="0">
              <a:ln>
                <a:noFill/>
              </a:ln>
              <a:solidFill>
                <a:srgbClr val="FF7A00"/>
              </a:solidFill>
              <a:effectLst/>
              <a:uLnTx/>
              <a:uFillTx/>
              <a:latin typeface="Calibri" panose="020F0502020204030204" pitchFamily="34" charset="0"/>
              <a:ea typeface="+mn-ea"/>
              <a:cs typeface="Calibri" panose="020F0502020204030204" pitchFamily="34" charset="0"/>
            </a:rPr>
            <a:t> </a:t>
          </a:r>
          <a:r>
            <a:rPr lang="pt-BR" sz="2200" b="0">
              <a:solidFill>
                <a:srgbClr val="000000"/>
              </a:solidFill>
              <a:latin typeface="Calibri" panose="020F0502020204030204" pitchFamily="34" charset="0"/>
              <a:cs typeface="Calibri" panose="020F0502020204030204" pitchFamily="34" charset="0"/>
            </a:rPr>
            <a:t>of operational definitions</a:t>
          </a:r>
        </a:p>
      </xdr:txBody>
    </xdr:sp>
    <xdr:clientData/>
  </xdr:twoCellAnchor>
  <xdr:twoCellAnchor>
    <xdr:from>
      <xdr:col>0</xdr:col>
      <xdr:colOff>177800</xdr:colOff>
      <xdr:row>48</xdr:row>
      <xdr:rowOff>187926</xdr:rowOff>
    </xdr:from>
    <xdr:to>
      <xdr:col>9</xdr:col>
      <xdr:colOff>152762</xdr:colOff>
      <xdr:row>51</xdr:row>
      <xdr:rowOff>12638</xdr:rowOff>
    </xdr:to>
    <xdr:sp macro="" textlink="">
      <xdr:nvSpPr>
        <xdr:cNvPr id="13" name="Content Placeholder 1">
          <a:extLst>
            <a:ext uri="{FF2B5EF4-FFF2-40B4-BE49-F238E27FC236}">
              <a16:creationId xmlns:a16="http://schemas.microsoft.com/office/drawing/2014/main" id="{00000000-0008-0000-1600-00000D000000}"/>
            </a:ext>
          </a:extLst>
        </xdr:cNvPr>
        <xdr:cNvSpPr txBox="1">
          <a:spLocks/>
        </xdr:cNvSpPr>
      </xdr:nvSpPr>
      <xdr:spPr>
        <a:xfrm>
          <a:off x="177800" y="6893526"/>
          <a:ext cx="7518762" cy="434312"/>
        </a:xfrm>
        <a:prstGeom prst="rect">
          <a:avLst/>
        </a:prstGeom>
      </xdr:spPr>
      <xdr:txBody>
        <a:bodyPr vert="horz" wrap="square" lIns="0" tIns="0" rIns="0" bIns="0" rtlCol="0" anchor="ctr">
          <a:noAutofit/>
        </a:bodyPr>
        <a:lstStyle>
          <a:defPPr lvl="0">
            <a:defRPr lang="pt-BR"/>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90000"/>
            </a:lnSpc>
            <a:spcBef>
              <a:spcPts val="1000"/>
            </a:spcBef>
            <a:spcAft>
              <a:spcPts val="0"/>
            </a:spcAft>
            <a:buClrTx/>
            <a:buSzTx/>
            <a:buFont typeface="Arial" panose="020B0604020202020204" pitchFamily="34" charset="0"/>
            <a:buNone/>
            <a:tabLst/>
            <a:defRPr/>
          </a:pPr>
          <a:r>
            <a:rPr lang="pt-BR" sz="2200">
              <a:solidFill>
                <a:srgbClr val="FF7B02"/>
              </a:solidFill>
              <a:latin typeface="Calibri" panose="020F0502020204030204" pitchFamily="34" charset="0"/>
              <a:cs typeface="Calibri" panose="020F0502020204030204" pitchFamily="34" charset="0"/>
            </a:rPr>
            <a:t>Glossary</a:t>
          </a:r>
          <a:r>
            <a:rPr kumimoji="0" lang="pt-BR" sz="2400" b="1" i="0" u="none" strike="noStrike" kern="0" cap="none" spc="0" normalizeH="0" baseline="0">
              <a:ln>
                <a:noFill/>
              </a:ln>
              <a:solidFill>
                <a:srgbClr val="FF7A00"/>
              </a:solidFill>
              <a:effectLst/>
              <a:uLnTx/>
              <a:uFillTx/>
              <a:latin typeface="Calibri" panose="020F0502020204030204" pitchFamily="34" charset="0"/>
              <a:ea typeface="+mn-ea"/>
              <a:cs typeface="Calibri" panose="020F0502020204030204" pitchFamily="34" charset="0"/>
            </a:rPr>
            <a:t> </a:t>
          </a:r>
          <a:r>
            <a:rPr lang="pt-BR" sz="2200" b="0">
              <a:solidFill>
                <a:srgbClr val="000000"/>
              </a:solidFill>
              <a:latin typeface="Calibri" panose="020F0502020204030204" pitchFamily="34" charset="0"/>
              <a:cs typeface="Calibri" panose="020F0502020204030204" pitchFamily="34" charset="0"/>
            </a:rPr>
            <a:t>of financial measures reconciliation</a:t>
          </a:r>
        </a:p>
      </xdr:txBody>
    </xdr:sp>
    <xdr:clientData/>
  </xdr:twoCellAnchor>
  <xdr:twoCellAnchor>
    <xdr:from>
      <xdr:col>8</xdr:col>
      <xdr:colOff>189154</xdr:colOff>
      <xdr:row>0</xdr:row>
      <xdr:rowOff>92364</xdr:rowOff>
    </xdr:from>
    <xdr:to>
      <xdr:col>15</xdr:col>
      <xdr:colOff>309259</xdr:colOff>
      <xdr:row>2</xdr:row>
      <xdr:rowOff>94876</xdr:rowOff>
    </xdr:to>
    <xdr:sp macro="" textlink="">
      <xdr:nvSpPr>
        <xdr:cNvPr id="16" name="Content Placeholder 1">
          <a:extLst>
            <a:ext uri="{FF2B5EF4-FFF2-40B4-BE49-F238E27FC236}">
              <a16:creationId xmlns:a16="http://schemas.microsoft.com/office/drawing/2014/main" id="{00000000-0008-0000-1600-000010000000}"/>
            </a:ext>
          </a:extLst>
        </xdr:cNvPr>
        <xdr:cNvSpPr txBox="1">
          <a:spLocks/>
        </xdr:cNvSpPr>
      </xdr:nvSpPr>
      <xdr:spPr>
        <a:xfrm>
          <a:off x="6885518" y="92364"/>
          <a:ext cx="5979423" cy="406603"/>
        </a:xfrm>
        <a:prstGeom prst="rect">
          <a:avLst/>
        </a:prstGeom>
      </xdr:spPr>
      <xdr:txBody>
        <a:bodyPr vert="horz" wrap="square" lIns="0" tIns="0" rIns="0" bIns="0" rtlCol="0" anchor="ctr">
          <a:noAutofit/>
        </a:bodyPr>
        <a:lstStyle>
          <a:defPPr lvl="0">
            <a:defRPr lang="pt-BR"/>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90000"/>
            </a:lnSpc>
            <a:spcBef>
              <a:spcPts val="1000"/>
            </a:spcBef>
            <a:spcAft>
              <a:spcPts val="0"/>
            </a:spcAft>
            <a:buClrTx/>
            <a:buSzTx/>
            <a:buFont typeface="Arial" panose="020B0604020202020204" pitchFamily="34" charset="0"/>
            <a:buNone/>
            <a:tabLst/>
            <a:defRPr/>
          </a:pPr>
          <a:r>
            <a:rPr lang="pt-BR" sz="2200">
              <a:solidFill>
                <a:srgbClr val="FF7B02"/>
              </a:solidFill>
              <a:latin typeface="Calibri" panose="020F0502020204030204" pitchFamily="34" charset="0"/>
              <a:cs typeface="Calibri" panose="020F0502020204030204" pitchFamily="34" charset="0"/>
            </a:rPr>
            <a:t>Glossário</a:t>
          </a:r>
          <a:r>
            <a:rPr kumimoji="0" lang="pt-BR" sz="2400" b="1" i="0" u="none" strike="noStrike" kern="0" cap="none" spc="0" normalizeH="0" baseline="0">
              <a:ln>
                <a:noFill/>
              </a:ln>
              <a:solidFill>
                <a:srgbClr val="FF7A00"/>
              </a:solidFill>
              <a:effectLst/>
              <a:uLnTx/>
              <a:uFillTx/>
              <a:latin typeface="Calibri" panose="020F0502020204030204" pitchFamily="34" charset="0"/>
              <a:ea typeface="+mn-ea"/>
              <a:cs typeface="Calibri" panose="020F0502020204030204" pitchFamily="34" charset="0"/>
            </a:rPr>
            <a:t> </a:t>
          </a:r>
          <a:r>
            <a:rPr lang="pt-BR" sz="2200" b="0">
              <a:solidFill>
                <a:srgbClr val="000000"/>
              </a:solidFill>
              <a:latin typeface="Calibri" panose="020F0502020204030204" pitchFamily="34" charset="0"/>
              <a:cs typeface="Calibri" panose="020F0502020204030204" pitchFamily="34" charset="0"/>
            </a:rPr>
            <a:t>de definições operacionais </a:t>
          </a:r>
        </a:p>
      </xdr:txBody>
    </xdr:sp>
    <xdr:clientData/>
  </xdr:twoCellAnchor>
  <xdr:twoCellAnchor>
    <xdr:from>
      <xdr:col>8</xdr:col>
      <xdr:colOff>189154</xdr:colOff>
      <xdr:row>48</xdr:row>
      <xdr:rowOff>187927</xdr:rowOff>
    </xdr:from>
    <xdr:to>
      <xdr:col>17</xdr:col>
      <xdr:colOff>820458</xdr:colOff>
      <xdr:row>50</xdr:row>
      <xdr:rowOff>190438</xdr:rowOff>
    </xdr:to>
    <xdr:sp macro="" textlink="">
      <xdr:nvSpPr>
        <xdr:cNvPr id="18" name="Content Placeholder 1">
          <a:extLst>
            <a:ext uri="{FF2B5EF4-FFF2-40B4-BE49-F238E27FC236}">
              <a16:creationId xmlns:a16="http://schemas.microsoft.com/office/drawing/2014/main" id="{00000000-0008-0000-1600-000012000000}"/>
            </a:ext>
          </a:extLst>
        </xdr:cNvPr>
        <xdr:cNvSpPr txBox="1">
          <a:spLocks/>
        </xdr:cNvSpPr>
      </xdr:nvSpPr>
      <xdr:spPr>
        <a:xfrm>
          <a:off x="6885518" y="9886109"/>
          <a:ext cx="8164713" cy="406602"/>
        </a:xfrm>
        <a:prstGeom prst="rect">
          <a:avLst/>
        </a:prstGeom>
      </xdr:spPr>
      <xdr:txBody>
        <a:bodyPr vert="horz" wrap="square" lIns="0" tIns="0" rIns="0" bIns="0" rtlCol="0" anchor="ctr">
          <a:noAutofit/>
        </a:bodyPr>
        <a:lstStyle>
          <a:defPPr lvl="0">
            <a:defRPr lang="pt-BR"/>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90000"/>
            </a:lnSpc>
            <a:spcBef>
              <a:spcPts val="1000"/>
            </a:spcBef>
            <a:spcAft>
              <a:spcPts val="0"/>
            </a:spcAft>
            <a:buClrTx/>
            <a:buSzTx/>
            <a:buFont typeface="Arial" panose="020B0604020202020204" pitchFamily="34" charset="0"/>
            <a:buNone/>
            <a:tabLst/>
            <a:defRPr/>
          </a:pPr>
          <a:r>
            <a:rPr lang="pt-BR" sz="2200">
              <a:solidFill>
                <a:srgbClr val="FF7B02"/>
              </a:solidFill>
              <a:latin typeface="Calibri" panose="020F0502020204030204" pitchFamily="34" charset="0"/>
              <a:cs typeface="Calibri" panose="020F0502020204030204" pitchFamily="34" charset="0"/>
            </a:rPr>
            <a:t>Glossário</a:t>
          </a:r>
          <a:r>
            <a:rPr kumimoji="0" lang="pt-BR" sz="2400" b="1" i="0" u="none" strike="noStrike" kern="0" cap="none" spc="0" normalizeH="0" baseline="0">
              <a:ln>
                <a:noFill/>
              </a:ln>
              <a:solidFill>
                <a:srgbClr val="FF7A00"/>
              </a:solidFill>
              <a:effectLst/>
              <a:uLnTx/>
              <a:uFillTx/>
              <a:latin typeface="Calibri" panose="020F0502020204030204" pitchFamily="34" charset="0"/>
              <a:ea typeface="+mn-ea"/>
              <a:cs typeface="Calibri" panose="020F0502020204030204" pitchFamily="34" charset="0"/>
            </a:rPr>
            <a:t> </a:t>
          </a:r>
          <a:r>
            <a:rPr lang="pt-BR" sz="2200" b="0">
              <a:solidFill>
                <a:srgbClr val="000000"/>
              </a:solidFill>
              <a:latin typeface="Calibri" panose="020F0502020204030204" pitchFamily="34" charset="0"/>
              <a:cs typeface="Calibri" panose="020F0502020204030204" pitchFamily="34" charset="0"/>
            </a:rPr>
            <a:t>de conciliação de indicadores financeiros</a:t>
          </a:r>
        </a:p>
      </xdr:txBody>
    </xdr:sp>
    <xdr:clientData/>
  </xdr:twoCellAnchor>
  <xdr:twoCellAnchor>
    <xdr:from>
      <xdr:col>16</xdr:col>
      <xdr:colOff>36946</xdr:colOff>
      <xdr:row>0</xdr:row>
      <xdr:rowOff>118918</xdr:rowOff>
    </xdr:from>
    <xdr:to>
      <xdr:col>18</xdr:col>
      <xdr:colOff>83838</xdr:colOff>
      <xdr:row>2</xdr:row>
      <xdr:rowOff>56684</xdr:rowOff>
    </xdr:to>
    <xdr:grpSp>
      <xdr:nvGrpSpPr>
        <xdr:cNvPr id="32" name="Group 31">
          <a:extLst>
            <a:ext uri="{FF2B5EF4-FFF2-40B4-BE49-F238E27FC236}">
              <a16:creationId xmlns:a16="http://schemas.microsoft.com/office/drawing/2014/main" id="{00000000-0008-0000-1600-000020000000}"/>
            </a:ext>
          </a:extLst>
        </xdr:cNvPr>
        <xdr:cNvGrpSpPr/>
      </xdr:nvGrpSpPr>
      <xdr:grpSpPr>
        <a:xfrm>
          <a:off x="13244946" y="118918"/>
          <a:ext cx="1697892" cy="318766"/>
          <a:chOff x="9503508" y="419387"/>
          <a:chExt cx="1697892" cy="285953"/>
        </a:xfrm>
      </xdr:grpSpPr>
      <xdr:sp macro="" textlink="Names!BQ2">
        <xdr:nvSpPr>
          <xdr:cNvPr id="33" name="Rounded Rectangle 32">
            <a:hlinkClick xmlns:r="http://schemas.openxmlformats.org/officeDocument/2006/relationships" r:id="rId1"/>
            <a:extLst>
              <a:ext uri="{FF2B5EF4-FFF2-40B4-BE49-F238E27FC236}">
                <a16:creationId xmlns:a16="http://schemas.microsoft.com/office/drawing/2014/main" id="{00000000-0008-0000-1600-000021000000}"/>
              </a:ext>
            </a:extLst>
          </xdr:cNvPr>
          <xdr:cNvSpPr/>
        </xdr:nvSpPr>
        <xdr:spPr>
          <a:xfrm>
            <a:off x="9503508" y="420076"/>
            <a:ext cx="1697892" cy="285264"/>
          </a:xfrm>
          <a:prstGeom prst="roundRect">
            <a:avLst/>
          </a:prstGeom>
          <a:solidFill>
            <a:srgbClr val="FE78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3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00000000-0008-0000-1600-000022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9592734" y="419387"/>
            <a:ext cx="258937" cy="264917"/>
          </a:xfrm>
          <a:prstGeom prst="rect">
            <a:avLst/>
          </a:prstGeom>
        </xdr:spPr>
      </xdr:pic>
    </xdr:grpSp>
    <xdr:clientData/>
  </xdr:twoCellAnchor>
  <xdr:twoCellAnchor>
    <xdr:from>
      <xdr:col>0</xdr:col>
      <xdr:colOff>188149</xdr:colOff>
      <xdr:row>4</xdr:row>
      <xdr:rowOff>0</xdr:rowOff>
    </xdr:from>
    <xdr:to>
      <xdr:col>7</xdr:col>
      <xdr:colOff>76483</xdr:colOff>
      <xdr:row>29</xdr:row>
      <xdr:rowOff>65128</xdr:rowOff>
    </xdr:to>
    <mc:AlternateContent xmlns:mc="http://schemas.openxmlformats.org/markup-compatibility/2006" xmlns:a14="http://schemas.microsoft.com/office/drawing/2010/main">
      <mc:Choice Requires="a14">
        <xdr:sp macro="" textlink="">
          <xdr:nvSpPr>
            <xdr:cNvPr id="12" name="Retângulo 4">
              <a:extLst>
                <a:ext uri="{FF2B5EF4-FFF2-40B4-BE49-F238E27FC236}">
                  <a16:creationId xmlns:a16="http://schemas.microsoft.com/office/drawing/2014/main" id="{00000000-0008-0000-1600-00000C000000}"/>
                </a:ext>
              </a:extLst>
            </xdr:cNvPr>
            <xdr:cNvSpPr/>
          </xdr:nvSpPr>
          <xdr:spPr>
            <a:xfrm>
              <a:off x="188149" y="781538"/>
              <a:ext cx="5587052" cy="4949744"/>
            </a:xfrm>
            <a:prstGeom prst="rect">
              <a:avLst/>
            </a:prstGeom>
          </xdr:spPr>
          <xdr:txBody>
            <a:bodyPr wrap="square">
              <a:no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Activation Rate:</a:t>
              </a:r>
            </a:p>
            <a:p>
              <a:endParaRPr lang="en-US" sz="9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900" i="1">
                            <a:solidFill>
                              <a:schemeClr val="tx1"/>
                            </a:solidFill>
                            <a:latin typeface="Cambria Math" panose="02040503050406030204" pitchFamily="18" charset="0"/>
                            <a:cs typeface="Sora" pitchFamily="2" charset="0"/>
                          </a:rPr>
                        </m:ctrlPr>
                      </m:fPr>
                      <m:num>
                        <m:r>
                          <m:rPr>
                            <m:sty m:val="p"/>
                          </m:rPr>
                          <a:rPr lang="pt-BR" sz="900" i="0">
                            <a:latin typeface="Cambria Math" panose="02040503050406030204" pitchFamily="18" charset="0"/>
                            <a:cs typeface="Sora" pitchFamily="2" charset="0"/>
                          </a:rPr>
                          <m:t>Number</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of</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active</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clients</m:t>
                        </m:r>
                        <m:r>
                          <a:rPr lang="pt-BR" sz="90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at</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the</m:t>
                        </m:r>
                        <m:r>
                          <a:rPr lang="pt-BR" sz="900" b="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end</m:t>
                        </m:r>
                        <m:r>
                          <a:rPr lang="pt-BR" sz="900" b="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of</m:t>
                        </m:r>
                        <m:r>
                          <a:rPr lang="pt-BR" sz="900" b="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the</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quarter</m:t>
                        </m:r>
                      </m:num>
                      <m:den>
                        <m:r>
                          <m:rPr>
                            <m:sty m:val="p"/>
                          </m:rPr>
                          <a:rPr lang="pt-BR" sz="900">
                            <a:latin typeface="Cambria Math" panose="02040503050406030204" pitchFamily="18" charset="0"/>
                            <a:cs typeface="Sora" pitchFamily="2" charset="0"/>
                          </a:rPr>
                          <m:t>Total</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number</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of</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clients</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at</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the</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end</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of</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the</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quarter</m:t>
                        </m:r>
                      </m:den>
                    </m:f>
                    <m:r>
                      <a:rPr lang="pt-BR" sz="900" i="1">
                        <a:latin typeface="Cambria Math" panose="02040503050406030204" pitchFamily="18" charset="0"/>
                        <a:cs typeface="Sora" pitchFamily="2" charset="0"/>
                      </a:rPr>
                      <m:t> </m:t>
                    </m:r>
                  </m:oMath>
                </m:oMathPara>
              </a14:m>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Active clients:</a:t>
              </a:r>
            </a:p>
            <a:p>
              <a:pPr algn="just"/>
              <a:r>
                <a:rPr lang="en-US" sz="900">
                  <a:latin typeface="Calibri" panose="020F0502020204030204" pitchFamily="34" charset="0"/>
                  <a:ea typeface="Inter" panose="020B0502030000000004" pitchFamily="34" charset="0"/>
                  <a:cs typeface="Calibri" panose="020F0502020204030204" pitchFamily="34" charset="0"/>
                </a:rPr>
                <a:t>We define an active client  as a customer at any given date that was the source of any amount of revenue for us in the preceding three months, or/and a customer that used products in the preceding three months. For Inter insurance, we calculate the number of active clients for our insurance brokerage vertical as the number of beneficiaries of insurance policies effective as of a particular date. For Inter Invest, we calculate the number of active clients as the number of individual accounts that have invested on our platform over the applicable period. </a:t>
              </a:r>
            </a:p>
            <a:p>
              <a:pPr algn="just"/>
              <a:endParaRPr lang="en-US" sz="900">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latin typeface="Calibri" panose="020F0502020204030204" pitchFamily="34" charset="0"/>
                <a:ea typeface="Inter Light BETA" panose="020B04020300000000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Active clients per employee:</a:t>
              </a:r>
            </a:p>
            <a:p>
              <a:endParaRPr lang="en-US" sz="9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900" i="1">
                            <a:solidFill>
                              <a:schemeClr val="tx1"/>
                            </a:solidFill>
                            <a:latin typeface="Cambria Math" panose="02040503050406030204" pitchFamily="18" charset="0"/>
                            <a:cs typeface="Sora" pitchFamily="2" charset="0"/>
                          </a:rPr>
                        </m:ctrlPr>
                      </m:fPr>
                      <m:num>
                        <m:r>
                          <m:rPr>
                            <m:sty m:val="p"/>
                          </m:rPr>
                          <a:rPr lang="pt-BR" sz="900" i="0">
                            <a:latin typeface="Cambria Math" panose="02040503050406030204" pitchFamily="18" charset="0"/>
                            <a:cs typeface="Sora" pitchFamily="2" charset="0"/>
                          </a:rPr>
                          <m:t>Number</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of</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active</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clients</m:t>
                        </m:r>
                        <m:r>
                          <a:rPr lang="pt-BR" sz="90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at</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the</m:t>
                        </m:r>
                        <m:r>
                          <a:rPr lang="pt-BR" sz="900" b="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end</m:t>
                        </m:r>
                        <m:r>
                          <a:rPr lang="pt-BR" sz="900" b="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of</m:t>
                        </m:r>
                        <m:r>
                          <a:rPr lang="pt-BR" sz="900" b="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the</m:t>
                        </m:r>
                        <m:r>
                          <a:rPr lang="pt-BR" sz="900" b="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quarter</m:t>
                        </m:r>
                      </m:num>
                      <m:den>
                        <m:r>
                          <m:rPr>
                            <m:sty m:val="p"/>
                          </m:rPr>
                          <a:rPr lang="pt-BR" sz="900">
                            <a:latin typeface="Cambria Math" panose="02040503050406030204" pitchFamily="18" charset="0"/>
                            <a:cs typeface="Sora" pitchFamily="2" charset="0"/>
                          </a:rPr>
                          <m:t>Total</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number</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of</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employees</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at</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the</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end</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of</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the</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quarter</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including</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interns</m:t>
                        </m:r>
                      </m:den>
                    </m:f>
                  </m:oMath>
                </m:oMathPara>
              </a14:m>
              <a:endParaRPr lang="en-US" sz="900">
                <a:latin typeface="Calibri" panose="020F0502020204030204" pitchFamily="34" charset="0"/>
                <a:ea typeface="Inter Light BETA" panose="020B04020300000000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Card+PIX TPV:</a:t>
              </a:r>
            </a:p>
            <a:p>
              <a:pPr algn="just"/>
              <a:r>
                <a:rPr lang="en-US" sz="900">
                  <a:latin typeface="Calibri" panose="020F0502020204030204" pitchFamily="34" charset="0"/>
                  <a:ea typeface="Inter" panose="020B0502030000000004" pitchFamily="34" charset="0"/>
                  <a:cs typeface="Calibri" panose="020F0502020204030204" pitchFamily="34" charset="0"/>
                </a:rPr>
                <a:t>PIX, debit and credit cards and withdrawal transacted volumes of a given period. PIX is a Central Bank of Brazil solution to bring instant payments among banks and financial institutions in Brazil. </a:t>
              </a: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Card+PIX TPV per active client:</a:t>
              </a:r>
            </a:p>
            <a:p>
              <a:pPr algn="just"/>
              <a:r>
                <a:rPr lang="en-US" sz="900">
                  <a:latin typeface="Calibri" panose="020F0502020204030204" pitchFamily="34" charset="0"/>
                  <a:ea typeface="Inter" panose="020B0502030000000004" pitchFamily="34" charset="0"/>
                  <a:cs typeface="Calibri" panose="020F0502020204030204" pitchFamily="34" charset="0"/>
                </a:rPr>
                <a:t>Card+PIX TPV for a given period divided by the number of active clients as of the last day of the period. </a:t>
              </a:r>
            </a:p>
            <a:p>
              <a:pPr algn="just"/>
              <a:endParaRPr lang="en-US" sz="900" b="1">
                <a:latin typeface="Calibri" panose="020F05020202040302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xdr:txBody>
        </xdr:sp>
      </mc:Choice>
      <mc:Fallback xmlns="">
        <xdr:sp macro="" textlink="">
          <xdr:nvSpPr>
            <xdr:cNvPr id="12" name="Retângulo 4">
              <a:extLst>
                <a:ext uri="{FF2B5EF4-FFF2-40B4-BE49-F238E27FC236}">
                  <a16:creationId xmlns:a16="http://schemas.microsoft.com/office/drawing/2014/main" id="{F9DADA9B-998C-8ADD-51C9-5BE87BE52B55}"/>
                </a:ext>
              </a:extLst>
            </xdr:cNvPr>
            <xdr:cNvSpPr/>
          </xdr:nvSpPr>
          <xdr:spPr>
            <a:xfrm>
              <a:off x="188149" y="781538"/>
              <a:ext cx="5587052" cy="4949744"/>
            </a:xfrm>
            <a:prstGeom prst="rect">
              <a:avLst/>
            </a:prstGeom>
          </xdr:spPr>
          <xdr:txBody>
            <a:bodyPr wrap="square">
              <a:no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Activation Rate:</a:t>
              </a:r>
            </a:p>
            <a:p>
              <a:endParaRPr lang="en-US" sz="900" b="1">
                <a:latin typeface="Calibri" panose="020F0502020204030204" pitchFamily="34" charset="0"/>
                <a:cs typeface="Calibri" panose="020F0502020204030204" pitchFamily="34" charset="0"/>
              </a:endParaRPr>
            </a:p>
            <a:p>
              <a:pPr/>
              <a:r>
                <a:rPr lang="en-US" sz="900" i="0">
                  <a:solidFill>
                    <a:schemeClr val="tx1"/>
                  </a:solidFill>
                  <a:latin typeface="Cambria Math" panose="02040503050406030204" pitchFamily="18" charset="0"/>
                  <a:cs typeface="Sora" pitchFamily="2" charset="0"/>
                </a:rPr>
                <a:t>(</a:t>
              </a:r>
              <a:r>
                <a:rPr lang="pt-BR" sz="900" i="0">
                  <a:latin typeface="Cambria Math" panose="02040503050406030204" pitchFamily="18" charset="0"/>
                  <a:cs typeface="Sora" pitchFamily="2" charset="0"/>
                </a:rPr>
                <a:t>Number of active clients </a:t>
              </a:r>
              <a:r>
                <a:rPr lang="pt-BR" sz="900" b="0" i="0">
                  <a:latin typeface="Cambria Math" panose="02040503050406030204" pitchFamily="18" charset="0"/>
                  <a:cs typeface="Sora" pitchFamily="2" charset="0"/>
                </a:rPr>
                <a:t>at</a:t>
              </a:r>
              <a:r>
                <a:rPr lang="pt-BR" sz="900" i="0">
                  <a:latin typeface="Cambria Math" panose="02040503050406030204" pitchFamily="18" charset="0"/>
                  <a:cs typeface="Sora" pitchFamily="2" charset="0"/>
                </a:rPr>
                <a:t> the</a:t>
              </a:r>
              <a:r>
                <a:rPr lang="pt-BR" sz="900" b="0" i="0">
                  <a:latin typeface="Cambria Math" panose="02040503050406030204" pitchFamily="18" charset="0"/>
                  <a:cs typeface="Sora" pitchFamily="2" charset="0"/>
                </a:rPr>
                <a:t> end of the</a:t>
              </a:r>
              <a:r>
                <a:rPr lang="pt-BR" sz="900" i="0">
                  <a:latin typeface="Cambria Math" panose="02040503050406030204" pitchFamily="18" charset="0"/>
                  <a:cs typeface="Sora" pitchFamily="2" charset="0"/>
                </a:rPr>
                <a:t> quarter</a:t>
              </a:r>
              <a:r>
                <a:rPr lang="en-US" sz="900" i="0">
                  <a:solidFill>
                    <a:schemeClr val="tx1"/>
                  </a:solidFill>
                  <a:latin typeface="Cambria Math" panose="02040503050406030204" pitchFamily="18" charset="0"/>
                  <a:cs typeface="Sora" pitchFamily="2" charset="0"/>
                </a:rPr>
                <a:t>)/(</a:t>
              </a:r>
              <a:r>
                <a:rPr lang="pt-BR" sz="900" i="0">
                  <a:latin typeface="Cambria Math" panose="02040503050406030204" pitchFamily="18" charset="0"/>
                  <a:cs typeface="Sora" pitchFamily="2" charset="0"/>
                </a:rPr>
                <a:t>Total number of clients at the end of the quarter</a:t>
              </a:r>
              <a:r>
                <a:rPr lang="en-US" sz="900" i="0">
                  <a:solidFill>
                    <a:schemeClr val="tx1"/>
                  </a:solidFill>
                  <a:latin typeface="Cambria Math" panose="02040503050406030204" pitchFamily="18" charset="0"/>
                  <a:cs typeface="Sora" pitchFamily="2" charset="0"/>
                </a:rPr>
                <a:t>)</a:t>
              </a:r>
              <a:r>
                <a:rPr lang="pt-BR" sz="900" i="0">
                  <a:solidFill>
                    <a:schemeClr val="tx1"/>
                  </a:solidFill>
                  <a:latin typeface="Cambria Math" panose="02040503050406030204" pitchFamily="18" charset="0"/>
                  <a:cs typeface="Sora" pitchFamily="2" charset="0"/>
                </a:rPr>
                <a:t> </a:t>
              </a:r>
              <a:r>
                <a:rPr lang="pt-BR" sz="900" i="0">
                  <a:latin typeface="Cambria Math" panose="02040503050406030204" pitchFamily="18" charset="0"/>
                  <a:cs typeface="Sora" pitchFamily="2" charset="0"/>
                </a:rPr>
                <a:t> </a:t>
              </a:r>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Active clients:</a:t>
              </a:r>
            </a:p>
            <a:p>
              <a:pPr algn="just"/>
              <a:r>
                <a:rPr lang="en-US" sz="900">
                  <a:latin typeface="Calibri" panose="020F0502020204030204" pitchFamily="34" charset="0"/>
                  <a:ea typeface="Inter" panose="020B0502030000000004" pitchFamily="34" charset="0"/>
                  <a:cs typeface="Calibri" panose="020F0502020204030204" pitchFamily="34" charset="0"/>
                </a:rPr>
                <a:t>We define an active client  as a customer at any given date that was the source of any amount of revenue for us in the preceding three months, or/and a customer that used products in the preceding three months. For Inter insurance, we calculate the number of active clients for our insurance brokerage vertical as the number of beneficiaries of insurance policies effective as of a particular date. For Inter Invest, we calculate the number of active clients as the number of individual accounts that have invested on our platform over the applicable period. </a:t>
              </a:r>
            </a:p>
            <a:p>
              <a:pPr algn="just"/>
              <a:endParaRPr lang="en-US" sz="900">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latin typeface="Calibri" panose="020F0502020204030204" pitchFamily="34" charset="0"/>
                <a:ea typeface="Inter Light BETA" panose="020B04020300000000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Active clients per employee:</a:t>
              </a:r>
            </a:p>
            <a:p>
              <a:endParaRPr lang="en-US" sz="900" b="1">
                <a:latin typeface="Calibri" panose="020F0502020204030204" pitchFamily="34" charset="0"/>
                <a:cs typeface="Calibri" panose="020F0502020204030204" pitchFamily="34" charset="0"/>
              </a:endParaRPr>
            </a:p>
            <a:p>
              <a:pPr/>
              <a:r>
                <a:rPr lang="en-US" sz="900" i="0">
                  <a:solidFill>
                    <a:schemeClr val="tx1"/>
                  </a:solidFill>
                  <a:latin typeface="Cambria Math" panose="02040503050406030204" pitchFamily="18" charset="0"/>
                  <a:cs typeface="Sora" pitchFamily="2" charset="0"/>
                </a:rPr>
                <a:t>(</a:t>
              </a:r>
              <a:r>
                <a:rPr lang="pt-BR" sz="900" i="0">
                  <a:latin typeface="Cambria Math" panose="02040503050406030204" pitchFamily="18" charset="0"/>
                  <a:cs typeface="Sora" pitchFamily="2" charset="0"/>
                </a:rPr>
                <a:t>Number of active clients </a:t>
              </a:r>
              <a:r>
                <a:rPr lang="pt-BR" sz="900" b="0" i="0">
                  <a:latin typeface="Cambria Math" panose="02040503050406030204" pitchFamily="18" charset="0"/>
                  <a:cs typeface="Sora" pitchFamily="2" charset="0"/>
                </a:rPr>
                <a:t>at</a:t>
              </a:r>
              <a:r>
                <a:rPr lang="pt-BR" sz="900" i="0">
                  <a:latin typeface="Cambria Math" panose="02040503050406030204" pitchFamily="18" charset="0"/>
                  <a:cs typeface="Sora" pitchFamily="2" charset="0"/>
                </a:rPr>
                <a:t> the</a:t>
              </a:r>
              <a:r>
                <a:rPr lang="pt-BR" sz="900" b="0" i="0">
                  <a:latin typeface="Cambria Math" panose="02040503050406030204" pitchFamily="18" charset="0"/>
                  <a:cs typeface="Sora" pitchFamily="2" charset="0"/>
                </a:rPr>
                <a:t> end of the  </a:t>
              </a:r>
              <a:r>
                <a:rPr lang="pt-BR" sz="900" i="0">
                  <a:latin typeface="Cambria Math" panose="02040503050406030204" pitchFamily="18" charset="0"/>
                  <a:cs typeface="Sora" pitchFamily="2" charset="0"/>
                </a:rPr>
                <a:t>quarter</a:t>
              </a:r>
              <a:r>
                <a:rPr lang="en-US" sz="900" i="0">
                  <a:solidFill>
                    <a:schemeClr val="tx1"/>
                  </a:solidFill>
                  <a:latin typeface="Cambria Math" panose="02040503050406030204" pitchFamily="18" charset="0"/>
                  <a:cs typeface="Sora" pitchFamily="2" charset="0"/>
                </a:rPr>
                <a:t>)/(</a:t>
              </a:r>
              <a:r>
                <a:rPr lang="pt-BR" sz="900" i="0">
                  <a:latin typeface="Cambria Math" panose="02040503050406030204" pitchFamily="18" charset="0"/>
                  <a:cs typeface="Sora" pitchFamily="2" charset="0"/>
                </a:rPr>
                <a:t>Total number of employees at the end of the quarter, including interns</a:t>
              </a:r>
              <a:r>
                <a:rPr lang="en-US" sz="900" i="0">
                  <a:solidFill>
                    <a:schemeClr val="tx1"/>
                  </a:solidFill>
                  <a:latin typeface="Cambria Math" panose="02040503050406030204" pitchFamily="18" charset="0"/>
                  <a:cs typeface="Sora" pitchFamily="2" charset="0"/>
                </a:rPr>
                <a:t>)</a:t>
              </a:r>
              <a:endParaRPr lang="en-US" sz="900">
                <a:latin typeface="Calibri" panose="020F0502020204030204" pitchFamily="34" charset="0"/>
                <a:ea typeface="Inter Light BETA" panose="020B04020300000000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Card+PIX TPV:</a:t>
              </a:r>
            </a:p>
            <a:p>
              <a:pPr algn="just"/>
              <a:r>
                <a:rPr lang="en-US" sz="900">
                  <a:latin typeface="Calibri" panose="020F0502020204030204" pitchFamily="34" charset="0"/>
                  <a:ea typeface="Inter" panose="020B0502030000000004" pitchFamily="34" charset="0"/>
                  <a:cs typeface="Calibri" panose="020F0502020204030204" pitchFamily="34" charset="0"/>
                </a:rPr>
                <a:t>PIX, debit and credit cards and withdrawal transacted volumes of a given period. PIX is a Central Bank of Brazil solution to bring instant payments among banks and financial institutions in Brazil. </a:t>
              </a: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Card+PIX TPV per active client:</a:t>
              </a:r>
            </a:p>
            <a:p>
              <a:pPr algn="just"/>
              <a:r>
                <a:rPr lang="en-US" sz="900">
                  <a:latin typeface="Calibri" panose="020F0502020204030204" pitchFamily="34" charset="0"/>
                  <a:ea typeface="Inter" panose="020B0502030000000004" pitchFamily="34" charset="0"/>
                  <a:cs typeface="Calibri" panose="020F0502020204030204" pitchFamily="34" charset="0"/>
                </a:rPr>
                <a:t>Card+PIX TPV for a given period divided by the number of active clients as of the last day of the period. </a:t>
              </a:r>
            </a:p>
            <a:p>
              <a:pPr algn="just"/>
              <a:endParaRPr lang="en-US" sz="900" b="1">
                <a:latin typeface="Calibri" panose="020F05020202040302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xdr:txBody>
        </xdr:sp>
      </mc:Fallback>
    </mc:AlternateContent>
    <xdr:clientData/>
  </xdr:twoCellAnchor>
  <xdr:twoCellAnchor>
    <xdr:from>
      <xdr:col>0</xdr:col>
      <xdr:colOff>182608</xdr:colOff>
      <xdr:row>29</xdr:row>
      <xdr:rowOff>63922</xdr:rowOff>
    </xdr:from>
    <xdr:to>
      <xdr:col>6</xdr:col>
      <xdr:colOff>755210</xdr:colOff>
      <xdr:row>49</xdr:row>
      <xdr:rowOff>99933</xdr:rowOff>
    </xdr:to>
    <mc:AlternateContent xmlns:mc="http://schemas.openxmlformats.org/markup-compatibility/2006" xmlns:a14="http://schemas.microsoft.com/office/drawing/2010/main">
      <mc:Choice Requires="a14">
        <xdr:sp macro="" textlink="">
          <xdr:nvSpPr>
            <xdr:cNvPr id="15" name="Retângulo 4">
              <a:extLst>
                <a:ext uri="{FF2B5EF4-FFF2-40B4-BE49-F238E27FC236}">
                  <a16:creationId xmlns:a16="http://schemas.microsoft.com/office/drawing/2014/main" id="{00000000-0008-0000-1600-00000F000000}"/>
                </a:ext>
              </a:extLst>
            </xdr:cNvPr>
            <xdr:cNvSpPr/>
          </xdr:nvSpPr>
          <xdr:spPr>
            <a:xfrm>
              <a:off x="182608" y="5401603"/>
              <a:ext cx="5542167" cy="3717171"/>
            </a:xfrm>
            <a:prstGeom prst="rect">
              <a:avLst/>
            </a:prstGeom>
          </xdr:spPr>
          <xdr:txBody>
            <a:bodyPr wrap="square">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Client acquisition cost (CAC):</a:t>
              </a:r>
            </a:p>
            <a:p>
              <a:pPr algn="just"/>
              <a:r>
                <a:rPr lang="en-US" sz="900">
                  <a:latin typeface="Calibri" panose="020F0502020204030204" pitchFamily="34" charset="0"/>
                  <a:ea typeface="Inter" panose="020B0502030000000004" pitchFamily="34" charset="0"/>
                  <a:cs typeface="Calibri" panose="020F0502020204030204" pitchFamily="34" charset="0"/>
                </a:rPr>
                <a:t>The average cost to add a client to the platform, considering operating expenses for opening an account, such as onboarding personnel, embossing and sending cards and digital marketing expenses with a focus on client acquisition, divided by the number of accounts opened in the quarter. </a:t>
              </a: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merchandise volume (GMV):</a:t>
              </a:r>
            </a:p>
            <a:p>
              <a:pPr algn="just"/>
              <a:r>
                <a:rPr lang="en-US" sz="900">
                  <a:latin typeface="Calibri" panose="020F0502020204030204" pitchFamily="34" charset="0"/>
                  <a:ea typeface="Inter" panose="020B0502030000000004" pitchFamily="34" charset="0"/>
                  <a:cs typeface="Calibri" panose="020F0502020204030204" pitchFamily="34" charset="0"/>
                </a:rPr>
                <a:t>Gross merchandise value, or GMV, for a given period as the total value of all sales made or initiated through our Inter Shop &amp; Commerce Plus platform managed by Inter Shop &amp; Commerce Plus.</a:t>
              </a: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take rate:</a:t>
              </a:r>
            </a:p>
            <a:p>
              <a:endParaRPr lang="en-US" sz="9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rPr>
                        </m:ctrlPr>
                      </m:fPr>
                      <m:num>
                        <m:r>
                          <m:rPr>
                            <m:sty m:val="p"/>
                          </m:rPr>
                          <a:rPr lang="pt-BR" sz="900">
                            <a:latin typeface="Cambria Math" panose="02040503050406030204" pitchFamily="18" charset="0"/>
                          </a:rPr>
                          <m:t>Inter</m:t>
                        </m:r>
                        <m:r>
                          <a:rPr lang="pt-BR" sz="900">
                            <a:latin typeface="Cambria Math" panose="02040503050406030204" pitchFamily="18" charset="0"/>
                          </a:rPr>
                          <m:t> </m:t>
                        </m:r>
                        <m:r>
                          <m:rPr>
                            <m:sty m:val="p"/>
                          </m:rPr>
                          <a:rPr lang="pt-BR" sz="900">
                            <a:latin typeface="Cambria Math" panose="02040503050406030204" pitchFamily="18" charset="0"/>
                          </a:rPr>
                          <m:t>Shop</m:t>
                        </m:r>
                        <m:r>
                          <a:rPr lang="pt-BR" sz="900">
                            <a:latin typeface="Cambria Math" panose="02040503050406030204" pitchFamily="18" charset="0"/>
                          </a:rPr>
                          <m:t> </m:t>
                        </m:r>
                        <m:r>
                          <m:rPr>
                            <m:sty m:val="p"/>
                          </m:rPr>
                          <a:rPr lang="pt-BR" sz="900">
                            <a:latin typeface="Cambria Math" panose="02040503050406030204" pitchFamily="18" charset="0"/>
                          </a:rPr>
                          <m:t>gross</m:t>
                        </m:r>
                        <m:r>
                          <a:rPr lang="pt-BR" sz="900">
                            <a:latin typeface="Cambria Math" panose="02040503050406030204" pitchFamily="18" charset="0"/>
                          </a:rPr>
                          <m:t> </m:t>
                        </m:r>
                        <m:r>
                          <m:rPr>
                            <m:sty m:val="p"/>
                          </m:rPr>
                          <a:rPr lang="pt-BR" sz="900" i="1">
                            <a:latin typeface="Cambria Math" panose="02040503050406030204" pitchFamily="18" charset="0"/>
                          </a:rPr>
                          <m:t>revenue</m:t>
                        </m:r>
                      </m:num>
                      <m:den>
                        <m:r>
                          <m:rPr>
                            <m:sty m:val="p"/>
                          </m:rPr>
                          <a:rPr lang="pt-BR" sz="900">
                            <a:latin typeface="Cambria Math" panose="02040503050406030204" pitchFamily="18" charset="0"/>
                          </a:rPr>
                          <m:t>GMV</m:t>
                        </m:r>
                      </m:den>
                    </m:f>
                  </m:oMath>
                </m:oMathPara>
              </a14:m>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Net take rate:</a:t>
              </a:r>
            </a:p>
            <a:p>
              <a:endParaRPr lang="en-US" sz="9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rPr>
                        </m:ctrlPr>
                      </m:fPr>
                      <m:num>
                        <m:r>
                          <m:rPr>
                            <m:sty m:val="p"/>
                          </m:rPr>
                          <a:rPr lang="pt-BR" sz="900">
                            <a:latin typeface="Cambria Math" panose="02040503050406030204" pitchFamily="18" charset="0"/>
                          </a:rPr>
                          <m:t>Inter</m:t>
                        </m:r>
                        <m:r>
                          <a:rPr lang="pt-BR" sz="900">
                            <a:latin typeface="Cambria Math" panose="02040503050406030204" pitchFamily="18" charset="0"/>
                          </a:rPr>
                          <m:t> </m:t>
                        </m:r>
                        <m:r>
                          <m:rPr>
                            <m:sty m:val="p"/>
                          </m:rPr>
                          <a:rPr lang="pt-BR" sz="900">
                            <a:latin typeface="Cambria Math" panose="02040503050406030204" pitchFamily="18" charset="0"/>
                          </a:rPr>
                          <m:t>Shop</m:t>
                        </m:r>
                        <m:r>
                          <a:rPr lang="pt-BR" sz="900">
                            <a:latin typeface="Cambria Math" panose="02040503050406030204" pitchFamily="18" charset="0"/>
                          </a:rPr>
                          <m:t> </m:t>
                        </m:r>
                        <m:r>
                          <m:rPr>
                            <m:sty m:val="p"/>
                          </m:rPr>
                          <a:rPr lang="pt-BR" sz="900">
                            <a:latin typeface="Cambria Math" panose="02040503050406030204" pitchFamily="18" charset="0"/>
                          </a:rPr>
                          <m:t>net</m:t>
                        </m:r>
                        <m:r>
                          <a:rPr lang="pt-BR" sz="900">
                            <a:latin typeface="Cambria Math" panose="02040503050406030204" pitchFamily="18" charset="0"/>
                          </a:rPr>
                          <m:t> </m:t>
                        </m:r>
                        <m:r>
                          <m:rPr>
                            <m:sty m:val="p"/>
                          </m:rPr>
                          <a:rPr lang="pt-BR" sz="900" i="1">
                            <a:latin typeface="Cambria Math" panose="02040503050406030204" pitchFamily="18" charset="0"/>
                          </a:rPr>
                          <m:t>revenue</m:t>
                        </m:r>
                      </m:num>
                      <m:den>
                        <m:r>
                          <m:rPr>
                            <m:sty m:val="p"/>
                          </m:rPr>
                          <a:rPr lang="pt-BR" sz="900">
                            <a:latin typeface="Cambria Math" panose="02040503050406030204" pitchFamily="18" charset="0"/>
                          </a:rPr>
                          <m:t>GMV</m:t>
                        </m:r>
                      </m:den>
                    </m:f>
                  </m:oMath>
                </m:oMathPara>
              </a14:m>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xdr:txBody>
        </xdr:sp>
      </mc:Choice>
      <mc:Fallback xmlns="">
        <xdr:sp macro="" textlink="">
          <xdr:nvSpPr>
            <xdr:cNvPr id="15" name="Retângulo 4">
              <a:extLst>
                <a:ext uri="{FF2B5EF4-FFF2-40B4-BE49-F238E27FC236}">
                  <a16:creationId xmlns:a16="http://schemas.microsoft.com/office/drawing/2014/main" id="{6F5FBE76-732D-2025-5606-83466F1666EC}"/>
                </a:ext>
              </a:extLst>
            </xdr:cNvPr>
            <xdr:cNvSpPr/>
          </xdr:nvSpPr>
          <xdr:spPr>
            <a:xfrm>
              <a:off x="182608" y="5401603"/>
              <a:ext cx="5542167" cy="3717171"/>
            </a:xfrm>
            <a:prstGeom prst="rect">
              <a:avLst/>
            </a:prstGeom>
          </xdr:spPr>
          <xdr:txBody>
            <a:bodyPr wrap="square">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Client acquisition cost (CAC):</a:t>
              </a:r>
            </a:p>
            <a:p>
              <a:pPr algn="just"/>
              <a:r>
                <a:rPr lang="en-US" sz="900">
                  <a:latin typeface="Calibri" panose="020F0502020204030204" pitchFamily="34" charset="0"/>
                  <a:ea typeface="Inter" panose="020B0502030000000004" pitchFamily="34" charset="0"/>
                  <a:cs typeface="Calibri" panose="020F0502020204030204" pitchFamily="34" charset="0"/>
                </a:rPr>
                <a:t>The average cost to add a client to the platform, considering operating expenses for opening an account, such as onboarding personnel, embossing and sending cards and digital marketing expenses with a focus on client acquisition, divided by the number of accounts opened in the quarter. </a:t>
              </a: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merchandise volume (GMV):</a:t>
              </a:r>
            </a:p>
            <a:p>
              <a:pPr algn="just"/>
              <a:r>
                <a:rPr lang="en-US" sz="900">
                  <a:latin typeface="Calibri" panose="020F0502020204030204" pitchFamily="34" charset="0"/>
                  <a:ea typeface="Inter" panose="020B0502030000000004" pitchFamily="34" charset="0"/>
                  <a:cs typeface="Calibri" panose="020F0502020204030204" pitchFamily="34" charset="0"/>
                </a:rPr>
                <a:t>Gross merchandise value, or GMV, for a given period as the total value of all sales made or initiated through our Inter Shop &amp; Commerce Plus platform managed by Inter Shop &amp; Commerce Plus.</a:t>
              </a: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take rate:</a:t>
              </a:r>
            </a:p>
            <a:p>
              <a:endParaRPr lang="en-US" sz="900" b="1">
                <a:latin typeface="Calibri" panose="020F0502020204030204" pitchFamily="34" charset="0"/>
                <a:cs typeface="Calibri" panose="020F0502020204030204" pitchFamily="34" charset="0"/>
              </a:endParaRPr>
            </a:p>
            <a:p>
              <a:pPr/>
              <a:r>
                <a:rPr lang="pt-BR" sz="900" i="0">
                  <a:latin typeface="Cambria Math" panose="02040503050406030204" pitchFamily="18" charset="0"/>
                </a:rPr>
                <a:t>(Inter Shop gross revenue)/GMV</a:t>
              </a:r>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Net take rate:</a:t>
              </a:r>
            </a:p>
            <a:p>
              <a:endParaRPr lang="en-US" sz="900" b="1">
                <a:latin typeface="Calibri" panose="020F0502020204030204" pitchFamily="34" charset="0"/>
                <a:cs typeface="Calibri" panose="020F0502020204030204" pitchFamily="34" charset="0"/>
              </a:endParaRPr>
            </a:p>
            <a:p>
              <a:pPr/>
              <a:r>
                <a:rPr lang="pt-BR" sz="900" i="0">
                  <a:latin typeface="Cambria Math" panose="02040503050406030204" pitchFamily="18" charset="0"/>
                </a:rPr>
                <a:t>(Inter Shop net revenue)/GMV</a:t>
              </a:r>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xdr:txBody>
        </xdr:sp>
      </mc:Fallback>
    </mc:AlternateContent>
    <xdr:clientData/>
  </xdr:twoCellAnchor>
  <xdr:twoCellAnchor>
    <xdr:from>
      <xdr:col>0</xdr:col>
      <xdr:colOff>177800</xdr:colOff>
      <xdr:row>53</xdr:row>
      <xdr:rowOff>0</xdr:rowOff>
    </xdr:from>
    <xdr:to>
      <xdr:col>7</xdr:col>
      <xdr:colOff>144745</xdr:colOff>
      <xdr:row>85</xdr:row>
      <xdr:rowOff>1180</xdr:rowOff>
    </xdr:to>
    <mc:AlternateContent xmlns:mc="http://schemas.openxmlformats.org/markup-compatibility/2006" xmlns:a14="http://schemas.microsoft.com/office/drawing/2010/main">
      <mc:Choice Requires="a14">
        <xdr:sp macro="" textlink="">
          <xdr:nvSpPr>
            <xdr:cNvPr id="21" name="Retângulo 9">
              <a:extLst>
                <a:ext uri="{FF2B5EF4-FFF2-40B4-BE49-F238E27FC236}">
                  <a16:creationId xmlns:a16="http://schemas.microsoft.com/office/drawing/2014/main" id="{00000000-0008-0000-1600-000015000000}"/>
                </a:ext>
              </a:extLst>
            </xdr:cNvPr>
            <xdr:cNvSpPr/>
          </xdr:nvSpPr>
          <xdr:spPr>
            <a:xfrm>
              <a:off x="177800" y="9755072"/>
              <a:ext cx="5764771" cy="5891036"/>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Administrative efficiency ratio:</a:t>
              </a:r>
            </a:p>
            <a:p>
              <a:pPr algn="ctr"/>
              <a:endParaRPr lang="en-US" sz="500">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ea typeface="Cambria Math" panose="02040503050406030204" pitchFamily="18" charset="0"/>
                          </a:rPr>
                        </m:ctrlPr>
                      </m:fPr>
                      <m:num>
                        <m:r>
                          <m:rPr>
                            <m:sty m:val="p"/>
                          </m:rPr>
                          <a:rPr lang="pt-BR" sz="800">
                            <a:latin typeface="Cambria Math" panose="02040503050406030204" pitchFamily="18" charset="0"/>
                            <a:ea typeface="Cambria Math" panose="02040503050406030204" pitchFamily="18" charset="0"/>
                          </a:rPr>
                          <m:t>Administrative</m:t>
                        </m:r>
                        <m:r>
                          <a:rPr lang="pt-BR" sz="800">
                            <a:latin typeface="Cambria Math" panose="02040503050406030204" pitchFamily="18" charset="0"/>
                            <a:ea typeface="Cambria Math" panose="02040503050406030204" pitchFamily="18" charset="0"/>
                          </a:rPr>
                          <m:t> </m:t>
                        </m:r>
                        <m:r>
                          <m:rPr>
                            <m:sty m:val="p"/>
                          </m:rPr>
                          <a:rPr lang="pt-BR" sz="800">
                            <a:latin typeface="Cambria Math" panose="02040503050406030204" pitchFamily="18" charset="0"/>
                            <a:ea typeface="Cambria Math" panose="02040503050406030204" pitchFamily="18" charset="0"/>
                          </a:rPr>
                          <m:t>expenses</m:t>
                        </m:r>
                        <m:r>
                          <a:rPr lang="pt-BR" sz="800">
                            <a:latin typeface="Cambria Math" panose="02040503050406030204" pitchFamily="18" charset="0"/>
                            <a:ea typeface="Cambria Math" panose="02040503050406030204" pitchFamily="18" charset="0"/>
                          </a:rPr>
                          <m:t>+</m:t>
                        </m:r>
                        <m:r>
                          <m:rPr>
                            <m:sty m:val="p"/>
                          </m:rPr>
                          <a:rPr lang="pt-BR" sz="800">
                            <a:latin typeface="Cambria Math" panose="02040503050406030204" pitchFamily="18" charset="0"/>
                            <a:ea typeface="Cambria Math" panose="02040503050406030204" pitchFamily="18" charset="0"/>
                          </a:rPr>
                          <m:t>Depreciation</m:t>
                        </m:r>
                        <m:r>
                          <a:rPr lang="pt-BR" sz="800">
                            <a:latin typeface="Cambria Math" panose="02040503050406030204" pitchFamily="18" charset="0"/>
                            <a:ea typeface="Cambria Math" panose="02040503050406030204" pitchFamily="18" charset="0"/>
                          </a:rPr>
                          <m:t> </m:t>
                        </m:r>
                        <m:r>
                          <m:rPr>
                            <m:sty m:val="p"/>
                          </m:rPr>
                          <a:rPr lang="pt-BR" sz="800">
                            <a:latin typeface="Cambria Math" panose="02040503050406030204" pitchFamily="18" charset="0"/>
                            <a:ea typeface="Cambria Math" panose="02040503050406030204" pitchFamily="18" charset="0"/>
                          </a:rPr>
                          <m:t>and</m:t>
                        </m:r>
                        <m:r>
                          <a:rPr lang="pt-BR" sz="800">
                            <a:latin typeface="Cambria Math" panose="02040503050406030204" pitchFamily="18" charset="0"/>
                            <a:ea typeface="Cambria Math" panose="02040503050406030204" pitchFamily="18" charset="0"/>
                          </a:rPr>
                          <m:t> </m:t>
                        </m:r>
                        <m:r>
                          <m:rPr>
                            <m:sty m:val="p"/>
                          </m:rPr>
                          <a:rPr lang="pt-BR" sz="800">
                            <a:latin typeface="Cambria Math" panose="02040503050406030204" pitchFamily="18" charset="0"/>
                            <a:ea typeface="Cambria Math" panose="02040503050406030204" pitchFamily="18" charset="0"/>
                          </a:rPr>
                          <m:t>amortization</m:t>
                        </m:r>
                      </m:num>
                      <m:den>
                        <m:r>
                          <m:rPr>
                            <m:sty m:val="p"/>
                          </m:rPr>
                          <a:rPr lang="en-US" sz="800" b="0" i="0">
                            <a:latin typeface="Cambria Math" panose="02040503050406030204" pitchFamily="18" charset="0"/>
                            <a:ea typeface="Cambria Math" panose="02040503050406030204" pitchFamily="18" charset="0"/>
                          </a:rPr>
                          <m:t>Net</m:t>
                        </m:r>
                        <m:r>
                          <a:rPr lang="en-US" sz="800" b="0" i="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Interest</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Income</m:t>
                        </m:r>
                        <m:r>
                          <a:rPr lang="en-US" sz="800">
                            <a:latin typeface="Cambria Math" panose="02040503050406030204" pitchFamily="18" charset="0"/>
                            <a:ea typeface="Cambria Math" panose="02040503050406030204" pitchFamily="18" charset="0"/>
                          </a:rPr>
                          <m:t>+</m:t>
                        </m:r>
                        <m:r>
                          <m:rPr>
                            <m:sty m:val="p"/>
                          </m:rPr>
                          <a:rPr lang="en-US" sz="800">
                            <a:latin typeface="Cambria Math" panose="02040503050406030204" pitchFamily="18" charset="0"/>
                            <a:ea typeface="Cambria Math" panose="02040503050406030204" pitchFamily="18" charset="0"/>
                          </a:rPr>
                          <m:t>Net</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result</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from</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services</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and</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comissions</m:t>
                        </m:r>
                        <m:r>
                          <a:rPr lang="en-US" sz="800">
                            <a:latin typeface="Cambria Math" panose="02040503050406030204" pitchFamily="18" charset="0"/>
                            <a:ea typeface="Cambria Math" panose="02040503050406030204" pitchFamily="18" charset="0"/>
                          </a:rPr>
                          <m:t>+</m:t>
                        </m:r>
                        <m:r>
                          <m:rPr>
                            <m:sty m:val="p"/>
                          </m:rPr>
                          <a:rPr lang="en-US" sz="800">
                            <a:latin typeface="Cambria Math" panose="02040503050406030204" pitchFamily="18" charset="0"/>
                            <a:ea typeface="Cambria Math" panose="02040503050406030204" pitchFamily="18" charset="0"/>
                          </a:rPr>
                          <m:t>Other</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revenue</m:t>
                        </m:r>
                        <m:r>
                          <a:rPr lang="en-US" sz="800">
                            <a:latin typeface="Cambria Math" panose="02040503050406030204" pitchFamily="18" charset="0"/>
                            <a:ea typeface="Cambria Math" panose="02040503050406030204" pitchFamily="18" charset="0"/>
                          </a:rPr>
                          <m:t>−</m:t>
                        </m:r>
                        <m:r>
                          <m:rPr>
                            <m:sty m:val="p"/>
                          </m:rPr>
                          <a:rPr lang="en-US" sz="800">
                            <a:latin typeface="Cambria Math" panose="02040503050406030204" pitchFamily="18" charset="0"/>
                            <a:ea typeface="Cambria Math" panose="02040503050406030204" pitchFamily="18" charset="0"/>
                          </a:rPr>
                          <m:t>Tax</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expense</m:t>
                        </m:r>
                      </m:den>
                    </m:f>
                    <m:r>
                      <a:rPr lang="en-US" sz="800" i="1">
                        <a:latin typeface="Cambria Math" panose="02040503050406030204" pitchFamily="18" charset="0"/>
                        <a:ea typeface="Cambria Math" panose="02040503050406030204" pitchFamily="18" charset="0"/>
                      </a:rPr>
                      <m:t> </m:t>
                    </m:r>
                  </m:oMath>
                </m:oMathPara>
              </a14:m>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Annualized interest rates:</a:t>
              </a:r>
            </a:p>
            <a:p>
              <a:pPr algn="just"/>
              <a:r>
                <a:rPr lang="en-US" sz="900">
                  <a:latin typeface="Calibri" panose="020F0502020204030204" pitchFamily="34" charset="0"/>
                  <a:ea typeface="Inter" panose="020B0502030000000004" pitchFamily="34" charset="0"/>
                  <a:cs typeface="Calibri" panose="020F0502020204030204" pitchFamily="34" charset="0"/>
                </a:rPr>
                <a:t>Yearly rate calculated by multiplying the quarterly interest by four, over the average portfolio of the last two quarters. All-in loans rate considers Real Estate, Personnal +FGTS, SMBs, Credit Card, excluding non-interest earnings credit card receivables, and Anticipation of Credit Card Receivables.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Anticipation of credit card receivables:</a:t>
              </a:r>
            </a:p>
            <a:p>
              <a:pPr algn="just"/>
              <a:r>
                <a:rPr lang="en-US" sz="900">
                  <a:latin typeface="Calibri" panose="020F0502020204030204" pitchFamily="34" charset="0"/>
                  <a:ea typeface="Inter" panose="020B0502030000000004" pitchFamily="34" charset="0"/>
                  <a:cs typeface="Calibri" panose="020F0502020204030204" pitchFamily="34" charset="0"/>
                </a:rPr>
                <a:t>Disclosed in note 9.a of the Financial Statements, line " "Loans to financial institutions”.</a:t>
              </a:r>
            </a:p>
            <a:p>
              <a:pPr algn="just"/>
              <a:endParaRPr lang="en-US" sz="900">
                <a:latin typeface="Calibri" panose="020F0502020204030204" pitchFamily="34" charset="0"/>
                <a:ea typeface="Inter" panose="020B0502030000000004" pitchFamily="34" charset="0"/>
                <a:cs typeface="Calibri" panose="020F0502020204030204" pitchFamily="34" charset="0"/>
              </a:endParaRPr>
            </a:p>
            <a:p>
              <a:pPr algn="just"/>
              <a:r>
                <a:rPr lang="en-US" sz="900" b="1">
                  <a:latin typeface="Calibri" panose="020F0502020204030204" pitchFamily="34" charset="0"/>
                  <a:cs typeface="Calibri" panose="020F0502020204030204" pitchFamily="34" charset="0"/>
                </a:rPr>
                <a:t>ARPAC gross of interest expenses:</a:t>
              </a:r>
            </a:p>
            <a:p>
              <a:pPr algn="just"/>
              <a:endParaRPr lang="en-US" sz="900">
                <a:latin typeface="Calibri" panose="020F0502020204030204" pitchFamily="34" charset="0"/>
                <a:ea typeface="Inter" panose="020B05020300000000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solidFill>
                              <a:schemeClr val="tx1"/>
                            </a:solidFill>
                            <a:latin typeface="Cambria Math" panose="02040503050406030204" pitchFamily="18" charset="0"/>
                            <a:ea typeface="Cambria Math" panose="02040503050406030204" pitchFamily="18" charset="0"/>
                            <a:cs typeface="Sora" pitchFamily="2" charset="0"/>
                          </a:rPr>
                        </m:ctrlPr>
                      </m:fPr>
                      <m:num>
                        <m:eqArr>
                          <m:eqArrPr>
                            <m:ctrlPr>
                              <a:rPr lang="en-US" sz="800" b="0" i="1">
                                <a:solidFill>
                                  <a:schemeClr val="tx1"/>
                                </a:solidFill>
                                <a:latin typeface="Cambria Math" panose="02040503050406030204" pitchFamily="18" charset="0"/>
                                <a:ea typeface="Cambria Math" panose="02040503050406030204" pitchFamily="18" charset="0"/>
                                <a:cs typeface="Sora" pitchFamily="2" charset="0"/>
                              </a:rPr>
                            </m:ctrlPr>
                          </m:eqArrPr>
                          <m:e>
                            <m:r>
                              <a:rPr lang="en-US" sz="800" b="0" i="0">
                                <a:solidFill>
                                  <a:schemeClr val="tx1"/>
                                </a:solidFill>
                                <a:latin typeface="Cambria Math" panose="02040503050406030204" pitchFamily="18" charset="0"/>
                                <a:ea typeface="Cambria Math" panose="02040503050406030204" pitchFamily="18" charset="0"/>
                                <a:cs typeface="Sora" pitchFamily="2" charset="0"/>
                              </a:rPr>
                              <m:t>(</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Interest</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income</m:t>
                            </m:r>
                            <m:r>
                              <a:rPr lang="en-US" sz="800" b="0" i="0">
                                <a:solidFill>
                                  <a:schemeClr val="tx1"/>
                                </a:solidFill>
                                <a:latin typeface="Cambria Math" panose="02040503050406030204" pitchFamily="18" charset="0"/>
                                <a:ea typeface="Cambria Math" panose="02040503050406030204" pitchFamily="18" charset="0"/>
                                <a:cs typeface="Sora" pitchFamily="2" charset="0"/>
                              </a:rPr>
                              <m:t>+(</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Revenue</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from</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services</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and</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comissions</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Cashback</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Inter</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rewards</m:t>
                            </m:r>
                            <m:r>
                              <a:rPr lang="en-US" sz="800" b="0" i="0">
                                <a:solidFill>
                                  <a:schemeClr val="tx1"/>
                                </a:solidFill>
                                <a:latin typeface="Cambria Math" panose="02040503050406030204" pitchFamily="18" charset="0"/>
                                <a:ea typeface="Cambria Math" panose="02040503050406030204" pitchFamily="18" charset="0"/>
                                <a:cs typeface="Sora" pitchFamily="2" charset="0"/>
                              </a:rPr>
                              <m:t>)</m:t>
                            </m:r>
                          </m:e>
                          <m:e>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Income</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from</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securities</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and</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derivarives</m:t>
                            </m:r>
                            <m:r>
                              <a:rPr lang="en-US" sz="800" b="0" i="0">
                                <a:solidFill>
                                  <a:schemeClr val="tx1"/>
                                </a:solidFill>
                                <a:latin typeface="Cambria Math" panose="02040503050406030204" pitchFamily="18" charset="0"/>
                                <a:ea typeface="Cambria Math" panose="02040503050406030204" pitchFamily="18" charset="0"/>
                                <a:cs typeface="Sora" pitchFamily="2" charset="0"/>
                              </a:rPr>
                              <m:t>+</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Other</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revenue</m:t>
                            </m:r>
                            <m:r>
                              <a:rPr lang="en-US" sz="800" b="0" i="0">
                                <a:solidFill>
                                  <a:schemeClr val="tx1"/>
                                </a:solidFill>
                                <a:latin typeface="Cambria Math" panose="02040503050406030204" pitchFamily="18" charset="0"/>
                                <a:ea typeface="Cambria Math" panose="02040503050406030204" pitchFamily="18" charset="0"/>
                                <a:cs typeface="Sora" pitchFamily="2" charset="0"/>
                              </a:rPr>
                              <m:t>)÷3</m:t>
                            </m:r>
                          </m:e>
                        </m:eqArr>
                      </m:num>
                      <m:den>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Average</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of</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the</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last</m:t>
                        </m:r>
                        <m:r>
                          <a:rPr lang="en-US" sz="800" i="0">
                            <a:solidFill>
                              <a:schemeClr val="tx1"/>
                            </a:solidFill>
                            <a:latin typeface="Cambria Math" panose="02040503050406030204" pitchFamily="18" charset="0"/>
                            <a:ea typeface="Cambria Math" panose="02040503050406030204" pitchFamily="18" charset="0"/>
                            <a:cs typeface="Sora" pitchFamily="2" charset="0"/>
                          </a:rPr>
                          <m:t> 2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quarters</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Active</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Clients</m:t>
                        </m:r>
                      </m:den>
                    </m:f>
                  </m:oMath>
                </m:oMathPara>
              </a14:m>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ARPAC net of interest expenses:</a:t>
              </a:r>
            </a:p>
            <a:p>
              <a:pPr algn="ctr"/>
              <a:br>
                <a:rPr lang="en-US" sz="800" b="1">
                  <a:solidFill>
                    <a:schemeClr val="tx1"/>
                  </a:solidFill>
                  <a:latin typeface="Calibri" panose="020F0502020204030204" pitchFamily="34" charset="0"/>
                  <a:ea typeface="Cambria Math" panose="02040503050406030204" pitchFamily="18" charset="0"/>
                  <a:cs typeface="Calibri" panose="020F0502020204030204" pitchFamily="34" charset="0"/>
                </a:rPr>
              </a:br>
              <a14:m>
                <m:oMathPara xmlns:m="http://schemas.openxmlformats.org/officeDocument/2006/math">
                  <m:oMathParaPr>
                    <m:jc m:val="centerGroup"/>
                  </m:oMathParaPr>
                  <m:oMath xmlns:m="http://schemas.openxmlformats.org/officeDocument/2006/math">
                    <m:f>
                      <m:fPr>
                        <m:ctrlPr>
                          <a:rPr lang="en-US" sz="800" i="1">
                            <a:solidFill>
                              <a:schemeClr val="tx1"/>
                            </a:solidFill>
                            <a:latin typeface="Cambria Math" panose="02040503050406030204" pitchFamily="18" charset="0"/>
                            <a:ea typeface="Cambria Math" panose="02040503050406030204" pitchFamily="18" charset="0"/>
                            <a:cs typeface="Sora" pitchFamily="2" charset="0"/>
                          </a:rPr>
                        </m:ctrlPr>
                      </m:fPr>
                      <m:num>
                        <m:r>
                          <a:rPr lang="en-US" sz="800" i="0">
                            <a:solidFill>
                              <a:schemeClr val="tx1"/>
                            </a:solidFill>
                            <a:latin typeface="Cambria Math" panose="02040503050406030204" pitchFamily="18" charset="0"/>
                            <a:ea typeface="Cambria Math" panose="02040503050406030204" pitchFamily="18" charset="0"/>
                            <a:cs typeface="Sora" pitchFamily="2" charset="0"/>
                          </a:rPr>
                          <m:t>(</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Revenue</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Interest</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expenses</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a:rPr lang="en-US" sz="800" b="0" i="0">
                            <a:solidFill>
                              <a:schemeClr val="tx1"/>
                            </a:solidFill>
                            <a:latin typeface="Cambria Math" panose="02040503050406030204" pitchFamily="18" charset="0"/>
                            <a:ea typeface="Cambria Math" panose="02040503050406030204" pitchFamily="18" charset="0"/>
                            <a:cs typeface="Sora" pitchFamily="2" charset="0"/>
                          </a:rPr>
                          <m:t>3</m:t>
                        </m:r>
                      </m:num>
                      <m:den>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Average</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of</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the</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last</m:t>
                        </m:r>
                        <m:r>
                          <a:rPr lang="en-US" sz="800" i="0">
                            <a:solidFill>
                              <a:schemeClr val="tx1"/>
                            </a:solidFill>
                            <a:latin typeface="Cambria Math" panose="02040503050406030204" pitchFamily="18" charset="0"/>
                            <a:ea typeface="Cambria Math" panose="02040503050406030204" pitchFamily="18" charset="0"/>
                            <a:cs typeface="Sora" pitchFamily="2" charset="0"/>
                          </a:rPr>
                          <m:t> 2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quarters</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Active</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Clients</m:t>
                        </m:r>
                      </m:den>
                    </m:f>
                  </m:oMath>
                </m:oMathPara>
              </a14:m>
              <a:endParaRPr lang="en-US" sz="800" b="1">
                <a:solidFill>
                  <a:schemeClr val="tx1"/>
                </a:solidFill>
                <a:latin typeface="Calibri" panose="020F0502020204030204" pitchFamily="34" charset="0"/>
                <a:ea typeface="Cambria Math" panose="02040503050406030204" pitchFamily="18" charset="0"/>
                <a:cs typeface="Calibri" panose="020F0502020204030204" pitchFamily="34" charset="0"/>
              </a:endParaRPr>
            </a:p>
            <a:p>
              <a:pPr algn="ctr"/>
              <a:endParaRPr lang="en-US" sz="800">
                <a:solidFill>
                  <a:schemeClr val="tx1"/>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ARPAC per quarterly cohort:</a:t>
              </a:r>
            </a:p>
            <a:p>
              <a:pPr algn="just"/>
              <a:r>
                <a:rPr lang="en-US" sz="900">
                  <a:latin typeface="Calibri" panose="020F0502020204030204" pitchFamily="34" charset="0"/>
                  <a:ea typeface="Inter" panose="020B0502030000000004" pitchFamily="34" charset="0"/>
                  <a:cs typeface="Calibri" panose="020F0502020204030204" pitchFamily="34" charset="0"/>
                </a:rPr>
                <a:t>Total Gross revenue net of interest expenses in a given cohort divided by the average number of active clients in the current and previous periods1. Cohort is defined as the period in which the client started his relationship with Inter.</a:t>
              </a:r>
              <a:br>
                <a:rPr lang="en-US" sz="900">
                  <a:latin typeface="Calibri" panose="020F0502020204030204" pitchFamily="34" charset="0"/>
                  <a:ea typeface="Inter" panose="020B0502030000000004" pitchFamily="34" charset="0"/>
                  <a:cs typeface="Calibri" panose="020F0502020204030204" pitchFamily="34" charset="0"/>
                </a:rPr>
              </a:br>
              <a:endParaRPr lang="en-US" sz="900">
                <a:latin typeface="Calibri" panose="020F0502020204030204" pitchFamily="34" charset="0"/>
                <a:ea typeface="Inter" panose="020B0502030000000004" pitchFamily="34" charset="0"/>
                <a:cs typeface="Calibri" panose="020F0502020204030204" pitchFamily="34" charset="0"/>
              </a:endParaRPr>
            </a:p>
            <a:p>
              <a:r>
                <a:rPr lang="en-US" sz="900" baseline="30000">
                  <a:latin typeface="Calibri" panose="020F0502020204030204" pitchFamily="34" charset="0"/>
                  <a:ea typeface="Cambria Math" panose="02040503050406030204" pitchFamily="18" charset="0"/>
                  <a:cs typeface="Calibri" panose="020F0502020204030204" pitchFamily="34" charset="0"/>
                </a:rPr>
                <a:t>1 - Average number of active clients in the current and previous periods: For the first period, is used the total number of active clients in the end of the period.</a:t>
              </a:r>
            </a:p>
            <a:p>
              <a:endParaRPr lang="en-US" sz="800" baseline="30000">
                <a:latin typeface="Calibri" panose="020F0502020204030204" pitchFamily="34" charset="0"/>
                <a:ea typeface="Cambria Math" panose="02040503050406030204" pitchFamily="18" charset="0"/>
                <a:cs typeface="Calibri" panose="020F0502020204030204" pitchFamily="34" charset="0"/>
              </a:endParaRPr>
            </a:p>
            <a:p>
              <a:endParaRPr lang="en-US" sz="800" baseline="30000">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Assets under custody (AuC):</a:t>
              </a:r>
            </a:p>
            <a:p>
              <a:pPr algn="just"/>
              <a:r>
                <a:rPr lang="en-US" sz="900">
                  <a:latin typeface="Calibri" panose="020F0502020204030204" pitchFamily="34" charset="0"/>
                  <a:ea typeface="Inter" panose="020B0502030000000004" pitchFamily="34" charset="0"/>
                  <a:cs typeface="Calibri" panose="020F0502020204030204" pitchFamily="34" charset="0"/>
                </a:rPr>
                <a:t>We calculate assets under custody, or AUC, at a given date as the market value of all retail clients’ assets invested through our investment platform as of that same date. We believe that AUC, as it reflects the total volume of assets invested in our investment platform without accounting for our operational efficiency, provides us useful insight on the appeal of our platform. We use this metric to monitor the size of our investment platform.</a:t>
              </a:r>
            </a:p>
            <a:p>
              <a:endParaRPr lang="en-US" sz="800">
                <a:latin typeface="Calibri" panose="020F0502020204030204" pitchFamily="34" charset="0"/>
                <a:ea typeface="Cambria Math" panose="02040503050406030204" pitchFamily="18" charset="0"/>
                <a:cs typeface="Calibri" panose="020F0502020204030204" pitchFamily="34" charset="0"/>
              </a:endParaRPr>
            </a:p>
          </xdr:txBody>
        </xdr:sp>
      </mc:Choice>
      <mc:Fallback xmlns="">
        <xdr:sp macro="" textlink="">
          <xdr:nvSpPr>
            <xdr:cNvPr id="21" name="Retângulo 9">
              <a:extLst>
                <a:ext uri="{FF2B5EF4-FFF2-40B4-BE49-F238E27FC236}">
                  <a16:creationId xmlns:a16="http://schemas.microsoft.com/office/drawing/2014/main" id="{70BBBFDC-97EA-DB78-9935-3D590DAA2910}"/>
                </a:ext>
              </a:extLst>
            </xdr:cNvPr>
            <xdr:cNvSpPr/>
          </xdr:nvSpPr>
          <xdr:spPr>
            <a:xfrm>
              <a:off x="177800" y="9755072"/>
              <a:ext cx="5764771" cy="5891036"/>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Administrative efficiency ratio:</a:t>
              </a:r>
            </a:p>
            <a:p>
              <a:pPr algn="ctr"/>
              <a:endParaRPr lang="en-US" sz="500">
                <a:latin typeface="Calibri" panose="020F0502020204030204" pitchFamily="34" charset="0"/>
                <a:ea typeface="Cambria Math" panose="02040503050406030204" pitchFamily="18" charset="0"/>
                <a:cs typeface="Calibri" panose="020F0502020204030204" pitchFamily="34" charset="0"/>
              </a:endParaRPr>
            </a:p>
            <a:p>
              <a:pPr algn="ctr"/>
              <a:r>
                <a:rPr lang="en-US" sz="800" i="0">
                  <a:latin typeface="Cambria Math" panose="02040503050406030204" pitchFamily="18" charset="0"/>
                  <a:ea typeface="Cambria Math" panose="02040503050406030204" pitchFamily="18" charset="0"/>
                </a:rPr>
                <a:t>(</a:t>
              </a:r>
              <a:r>
                <a:rPr lang="pt-BR" sz="800" i="0">
                  <a:latin typeface="Cambria Math" panose="02040503050406030204" pitchFamily="18" charset="0"/>
                  <a:ea typeface="Cambria Math" panose="02040503050406030204" pitchFamily="18" charset="0"/>
                </a:rPr>
                <a:t>Administrative expenses+Depreciation and amortization</a:t>
              </a:r>
              <a:r>
                <a:rPr lang="en-US" sz="800" i="0">
                  <a:latin typeface="Cambria Math" panose="02040503050406030204" pitchFamily="18" charset="0"/>
                  <a:ea typeface="Cambria Math" panose="02040503050406030204" pitchFamily="18" charset="0"/>
                </a:rPr>
                <a:t>)/(</a:t>
              </a:r>
              <a:r>
                <a:rPr lang="en-US" sz="800" b="0" i="0">
                  <a:latin typeface="Cambria Math" panose="02040503050406030204" pitchFamily="18" charset="0"/>
                  <a:ea typeface="Cambria Math" panose="02040503050406030204" pitchFamily="18" charset="0"/>
                </a:rPr>
                <a:t>Net </a:t>
              </a:r>
              <a:r>
                <a:rPr lang="en-US" sz="800" i="0">
                  <a:latin typeface="Cambria Math" panose="02040503050406030204" pitchFamily="18" charset="0"/>
                  <a:ea typeface="Cambria Math" panose="02040503050406030204" pitchFamily="18" charset="0"/>
                </a:rPr>
                <a:t>Interest Income+Net result from services and comissions+Other revenue−Tax expense)  </a:t>
              </a:r>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Annualized interest rates:</a:t>
              </a:r>
            </a:p>
            <a:p>
              <a:pPr algn="just"/>
              <a:r>
                <a:rPr lang="en-US" sz="900">
                  <a:latin typeface="Calibri" panose="020F0502020204030204" pitchFamily="34" charset="0"/>
                  <a:ea typeface="Inter" panose="020B0502030000000004" pitchFamily="34" charset="0"/>
                  <a:cs typeface="Calibri" panose="020F0502020204030204" pitchFamily="34" charset="0"/>
                </a:rPr>
                <a:t>Yearly rate calculated by multiplying the quarterly interest by four, over the average portfolio of the last two quarters. All-in loans rate considers Real Estate, Personnal +FGTS, SMBs, Credit Card, excluding non-interest earnings credit card receivables, and Anticipation of Credit Card Receivables.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Anticipation of credit card receivables:</a:t>
              </a:r>
            </a:p>
            <a:p>
              <a:pPr algn="just"/>
              <a:r>
                <a:rPr lang="en-US" sz="900">
                  <a:latin typeface="Calibri" panose="020F0502020204030204" pitchFamily="34" charset="0"/>
                  <a:ea typeface="Inter" panose="020B0502030000000004" pitchFamily="34" charset="0"/>
                  <a:cs typeface="Calibri" panose="020F0502020204030204" pitchFamily="34" charset="0"/>
                </a:rPr>
                <a:t>Disclosed in note 9.a of the Financial Statements, line " "Loans to financial institutions”.</a:t>
              </a:r>
            </a:p>
            <a:p>
              <a:pPr algn="just"/>
              <a:endParaRPr lang="en-US" sz="900">
                <a:latin typeface="Calibri" panose="020F0502020204030204" pitchFamily="34" charset="0"/>
                <a:ea typeface="Inter" panose="020B0502030000000004" pitchFamily="34" charset="0"/>
                <a:cs typeface="Calibri" panose="020F0502020204030204" pitchFamily="34" charset="0"/>
              </a:endParaRPr>
            </a:p>
            <a:p>
              <a:pPr algn="just"/>
              <a:r>
                <a:rPr lang="en-US" sz="900" b="1">
                  <a:latin typeface="Calibri" panose="020F0502020204030204" pitchFamily="34" charset="0"/>
                  <a:cs typeface="Calibri" panose="020F0502020204030204" pitchFamily="34" charset="0"/>
                </a:rPr>
                <a:t>ARPAC gross of interest expenses:</a:t>
              </a:r>
            </a:p>
            <a:p>
              <a:pPr algn="just"/>
              <a:endParaRPr lang="en-US" sz="900">
                <a:latin typeface="Calibri" panose="020F0502020204030204" pitchFamily="34" charset="0"/>
                <a:ea typeface="Inter" panose="020B0502030000000004" pitchFamily="34" charset="0"/>
                <a:cs typeface="Calibri" panose="020F0502020204030204" pitchFamily="34" charset="0"/>
              </a:endParaRPr>
            </a:p>
            <a:p>
              <a:pPr/>
              <a:r>
                <a:rPr lang="en-US" sz="800" b="0" i="0">
                  <a:solidFill>
                    <a:schemeClr val="tx1"/>
                  </a:solidFill>
                  <a:latin typeface="Cambria Math" panose="02040503050406030204" pitchFamily="18" charset="0"/>
                  <a:ea typeface="Cambria Math" panose="02040503050406030204" pitchFamily="18" charset="0"/>
                  <a:cs typeface="Sora" pitchFamily="2" charset="0"/>
                </a:rPr>
                <a:t>█((Interest income+(Revenue from services and comissions −Cashback −Inter rewards)@+ Income from securities and derivarives+Other revenue)÷3)/(</a:t>
              </a:r>
              <a:r>
                <a:rPr lang="en-US" sz="800" i="0">
                  <a:solidFill>
                    <a:schemeClr val="tx1"/>
                  </a:solidFill>
                  <a:latin typeface="Cambria Math" panose="02040503050406030204" pitchFamily="18" charset="0"/>
                  <a:ea typeface="Cambria Math" panose="02040503050406030204" pitchFamily="18" charset="0"/>
                  <a:cs typeface="Sora" pitchFamily="2" charset="0"/>
                </a:rPr>
                <a:t>Average of the last 2 quarters Active Clients)</a:t>
              </a: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ARPAC net of interest expenses:</a:t>
              </a:r>
            </a:p>
            <a:p>
              <a:pPr algn="ctr"/>
              <a:br>
                <a:rPr lang="en-US" sz="800" b="1">
                  <a:solidFill>
                    <a:schemeClr val="tx1"/>
                  </a:solidFill>
                  <a:latin typeface="Calibri" panose="020F0502020204030204" pitchFamily="34" charset="0"/>
                  <a:ea typeface="Cambria Math" panose="02040503050406030204" pitchFamily="18" charset="0"/>
                  <a:cs typeface="Calibri" panose="020F0502020204030204" pitchFamily="34" charset="0"/>
                </a:rPr>
              </a:br>
              <a:r>
                <a:rPr lang="en-US" sz="800" i="0">
                  <a:solidFill>
                    <a:schemeClr val="tx1"/>
                  </a:solidFill>
                  <a:latin typeface="Cambria Math" panose="02040503050406030204" pitchFamily="18" charset="0"/>
                  <a:ea typeface="Cambria Math" panose="02040503050406030204" pitchFamily="18" charset="0"/>
                  <a:cs typeface="Sora" pitchFamily="2" charset="0"/>
                </a:rPr>
                <a:t>((</a:t>
              </a:r>
              <a:r>
                <a:rPr lang="en-US" sz="800" b="0" i="0">
                  <a:solidFill>
                    <a:schemeClr val="tx1"/>
                  </a:solidFill>
                  <a:latin typeface="Cambria Math" panose="02040503050406030204" pitchFamily="18" charset="0"/>
                  <a:ea typeface="Cambria Math" panose="02040503050406030204" pitchFamily="18" charset="0"/>
                  <a:cs typeface="Sora" pitchFamily="2" charset="0"/>
                </a:rPr>
                <a:t>Revenue −Interest expenses</a:t>
              </a:r>
              <a:r>
                <a:rPr lang="en-US" sz="800" i="0">
                  <a:solidFill>
                    <a:schemeClr val="tx1"/>
                  </a:solidFill>
                  <a:latin typeface="Cambria Math" panose="02040503050406030204" pitchFamily="18" charset="0"/>
                  <a:ea typeface="Cambria Math" panose="02040503050406030204" pitchFamily="18" charset="0"/>
                  <a:cs typeface="Sora" pitchFamily="2" charset="0"/>
                </a:rPr>
                <a:t>)  ÷</a:t>
              </a:r>
              <a:r>
                <a:rPr lang="en-US" sz="800" b="0" i="0">
                  <a:solidFill>
                    <a:schemeClr val="tx1"/>
                  </a:solidFill>
                  <a:latin typeface="Cambria Math" panose="02040503050406030204" pitchFamily="18" charset="0"/>
                  <a:ea typeface="Cambria Math" panose="02040503050406030204" pitchFamily="18" charset="0"/>
                  <a:cs typeface="Sora" pitchFamily="2" charset="0"/>
                </a:rPr>
                <a:t>3)/(</a:t>
              </a:r>
              <a:r>
                <a:rPr lang="en-US" sz="800" i="0">
                  <a:solidFill>
                    <a:schemeClr val="tx1"/>
                  </a:solidFill>
                  <a:latin typeface="Cambria Math" panose="02040503050406030204" pitchFamily="18" charset="0"/>
                  <a:ea typeface="Cambria Math" panose="02040503050406030204" pitchFamily="18" charset="0"/>
                  <a:cs typeface="Sora" pitchFamily="2" charset="0"/>
                </a:rPr>
                <a:t>Average of the last 2 quarters Active Clients)</a:t>
              </a:r>
              <a:endParaRPr lang="en-US" sz="800" b="1">
                <a:solidFill>
                  <a:schemeClr val="tx1"/>
                </a:solidFill>
                <a:latin typeface="Calibri" panose="020F0502020204030204" pitchFamily="34" charset="0"/>
                <a:ea typeface="Cambria Math" panose="02040503050406030204" pitchFamily="18" charset="0"/>
                <a:cs typeface="Calibri" panose="020F0502020204030204" pitchFamily="34" charset="0"/>
              </a:endParaRPr>
            </a:p>
            <a:p>
              <a:pPr algn="ctr"/>
              <a:endParaRPr lang="en-US" sz="800">
                <a:solidFill>
                  <a:schemeClr val="tx1"/>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ARPAC per quarterly cohort:</a:t>
              </a:r>
            </a:p>
            <a:p>
              <a:pPr algn="just"/>
              <a:r>
                <a:rPr lang="en-US" sz="900">
                  <a:latin typeface="Calibri" panose="020F0502020204030204" pitchFamily="34" charset="0"/>
                  <a:ea typeface="Inter" panose="020B0502030000000004" pitchFamily="34" charset="0"/>
                  <a:cs typeface="Calibri" panose="020F0502020204030204" pitchFamily="34" charset="0"/>
                </a:rPr>
                <a:t>Total Gross revenue net of interest expenses in a given cohort divided by the average number of active clients in the current and previous periods1. Cohort is defined as the period in which the client started his relationship with Inter.</a:t>
              </a:r>
              <a:br>
                <a:rPr lang="en-US" sz="900">
                  <a:latin typeface="Calibri" panose="020F0502020204030204" pitchFamily="34" charset="0"/>
                  <a:ea typeface="Inter" panose="020B0502030000000004" pitchFamily="34" charset="0"/>
                  <a:cs typeface="Calibri" panose="020F0502020204030204" pitchFamily="34" charset="0"/>
                </a:rPr>
              </a:br>
              <a:endParaRPr lang="en-US" sz="900">
                <a:latin typeface="Calibri" panose="020F0502020204030204" pitchFamily="34" charset="0"/>
                <a:ea typeface="Inter" panose="020B0502030000000004" pitchFamily="34" charset="0"/>
                <a:cs typeface="Calibri" panose="020F0502020204030204" pitchFamily="34" charset="0"/>
              </a:endParaRPr>
            </a:p>
            <a:p>
              <a:r>
                <a:rPr lang="en-US" sz="900" baseline="30000">
                  <a:latin typeface="Calibri" panose="020F0502020204030204" pitchFamily="34" charset="0"/>
                  <a:ea typeface="Cambria Math" panose="02040503050406030204" pitchFamily="18" charset="0"/>
                  <a:cs typeface="Calibri" panose="020F0502020204030204" pitchFamily="34" charset="0"/>
                </a:rPr>
                <a:t>1 - Average number of active clients in the current and previous periods: For the first period, is used the total number of active clients in the end of the period.</a:t>
              </a:r>
            </a:p>
            <a:p>
              <a:endParaRPr lang="en-US" sz="800" baseline="30000">
                <a:latin typeface="Calibri" panose="020F0502020204030204" pitchFamily="34" charset="0"/>
                <a:ea typeface="Cambria Math" panose="02040503050406030204" pitchFamily="18" charset="0"/>
                <a:cs typeface="Calibri" panose="020F0502020204030204" pitchFamily="34" charset="0"/>
              </a:endParaRPr>
            </a:p>
            <a:p>
              <a:endParaRPr lang="en-US" sz="800" baseline="30000">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Assets under custody (AuC):</a:t>
              </a:r>
            </a:p>
            <a:p>
              <a:pPr algn="just"/>
              <a:r>
                <a:rPr lang="en-US" sz="900">
                  <a:latin typeface="Calibri" panose="020F0502020204030204" pitchFamily="34" charset="0"/>
                  <a:ea typeface="Inter" panose="020B0502030000000004" pitchFamily="34" charset="0"/>
                  <a:cs typeface="Calibri" panose="020F0502020204030204" pitchFamily="34" charset="0"/>
                </a:rPr>
                <a:t>We calculate assets under custody, or AUC, at a given date as the market value of all retail clients’ assets invested through our investment platform as of that same date. We believe that AUC, as it reflects the total volume of assets invested in our investment platform without accounting for our operational efficiency, provides us useful insight on the appeal of our platform. We use this metric to monitor the size of our investment platform.</a:t>
              </a:r>
            </a:p>
            <a:p>
              <a:endParaRPr lang="en-US" sz="800">
                <a:latin typeface="Calibri" panose="020F0502020204030204" pitchFamily="34" charset="0"/>
                <a:ea typeface="Cambria Math" panose="02040503050406030204" pitchFamily="18" charset="0"/>
                <a:cs typeface="Calibri" panose="020F0502020204030204" pitchFamily="34" charset="0"/>
              </a:endParaRPr>
            </a:p>
          </xdr:txBody>
        </xdr:sp>
      </mc:Fallback>
    </mc:AlternateContent>
    <xdr:clientData/>
  </xdr:twoCellAnchor>
  <xdr:twoCellAnchor>
    <xdr:from>
      <xdr:col>0</xdr:col>
      <xdr:colOff>151610</xdr:colOff>
      <xdr:row>86</xdr:row>
      <xdr:rowOff>95088</xdr:rowOff>
    </xdr:from>
    <xdr:to>
      <xdr:col>7</xdr:col>
      <xdr:colOff>119810</xdr:colOff>
      <xdr:row>117</xdr:row>
      <xdr:rowOff>137211</xdr:rowOff>
    </xdr:to>
    <mc:AlternateContent xmlns:mc="http://schemas.openxmlformats.org/markup-compatibility/2006" xmlns:a14="http://schemas.microsoft.com/office/drawing/2010/main">
      <mc:Choice Requires="a14">
        <xdr:sp macro="" textlink="">
          <xdr:nvSpPr>
            <xdr:cNvPr id="22" name="Retângulo 9">
              <a:extLst>
                <a:ext uri="{FF2B5EF4-FFF2-40B4-BE49-F238E27FC236}">
                  <a16:creationId xmlns:a16="http://schemas.microsoft.com/office/drawing/2014/main" id="{00000000-0008-0000-1600-000016000000}"/>
                </a:ext>
              </a:extLst>
            </xdr:cNvPr>
            <xdr:cNvSpPr/>
          </xdr:nvSpPr>
          <xdr:spPr>
            <a:xfrm>
              <a:off x="151610" y="15924074"/>
              <a:ext cx="5766026" cy="5747920"/>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Card fee revenue:</a:t>
              </a:r>
            </a:p>
            <a:p>
              <a:r>
                <a:rPr lang="en-US" sz="900">
                  <a:latin typeface="Calibri" panose="020F0502020204030204" pitchFamily="34" charset="0"/>
                  <a:ea typeface="Inter" panose="020B0502030000000004" pitchFamily="34" charset="0"/>
                  <a:cs typeface="Calibri" panose="020F0502020204030204" pitchFamily="34" charset="0"/>
                </a:rPr>
                <a:t>It is part of the “Revenue from services and commission” and “Other revenue” on IFRS Income Statement.  </a:t>
              </a:r>
            </a:p>
            <a:p>
              <a:endParaRPr lang="en-US" sz="800">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funding:</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ea typeface="Cambria Math" panose="02040503050406030204" pitchFamily="18" charset="0"/>
                            <a:cs typeface="Sora" pitchFamily="2" charset="0"/>
                          </a:rPr>
                        </m:ctrlPr>
                      </m:fPr>
                      <m:num>
                        <m:r>
                          <m:rPr>
                            <m:sty m:val="p"/>
                          </m:rPr>
                          <a:rPr lang="en-US" sz="800" i="0">
                            <a:latin typeface="Cambria Math" panose="02040503050406030204" pitchFamily="18" charset="0"/>
                            <a:ea typeface="Cambria Math" panose="02040503050406030204" pitchFamily="18" charset="0"/>
                            <a:cs typeface="Sora" pitchFamily="2" charset="0"/>
                          </a:rPr>
                          <m:t>Interest</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expenses</m:t>
                        </m:r>
                        <m:r>
                          <a:rPr lang="pt-BR" sz="800" i="0">
                            <a:latin typeface="Cambria Math" panose="02040503050406030204" pitchFamily="18" charset="0"/>
                            <a:ea typeface="Cambria Math" panose="02040503050406030204" pitchFamily="18" charset="0"/>
                            <a:cs typeface="Sora" pitchFamily="2" charset="0"/>
                          </a:rPr>
                          <m:t> </m:t>
                        </m:r>
                        <m:r>
                          <a:rPr lang="pt-BR" sz="800" i="0">
                            <a:latin typeface="Cambria Math" panose="02040503050406030204" pitchFamily="18" charset="0"/>
                            <a:ea typeface="Cambria Math" panose="02040503050406030204" pitchFamily="18" charset="0"/>
                          </a:rPr>
                          <m:t>× </m:t>
                        </m:r>
                        <m:r>
                          <a:rPr lang="pt-BR" sz="800" i="0">
                            <a:latin typeface="Cambria Math" panose="02040503050406030204" pitchFamily="18" charset="0"/>
                            <a:ea typeface="Cambria Math" panose="02040503050406030204" pitchFamily="18" charset="0"/>
                            <a:cs typeface="Sora" pitchFamily="2" charset="0"/>
                          </a:rPr>
                          <m:t>4</m:t>
                        </m:r>
                      </m:num>
                      <m:den>
                        <m:eqArr>
                          <m:eqArrPr>
                            <m:ctrlPr>
                              <a:rPr lang="pt-BR" sz="800" i="1">
                                <a:latin typeface="Cambria Math" panose="02040503050406030204" pitchFamily="18" charset="0"/>
                                <a:ea typeface="Cambria Math" panose="02040503050406030204" pitchFamily="18" charset="0"/>
                                <a:cs typeface="Sora" pitchFamily="2" charset="0"/>
                              </a:rPr>
                            </m:ctrlPr>
                          </m:eqArrPr>
                          <m:e>
                            <m:r>
                              <m:rPr>
                                <m:sty m:val="p"/>
                              </m:rPr>
                              <a:rPr lang="pt-BR" sz="800" i="0">
                                <a:latin typeface="Cambria Math" panose="02040503050406030204" pitchFamily="18" charset="0"/>
                                <a:ea typeface="Cambria Math" panose="02040503050406030204" pitchFamily="18" charset="0"/>
                                <a:cs typeface="Sora" pitchFamily="2" charset="0"/>
                              </a:rPr>
                              <m:t>Average</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of</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last</m:t>
                            </m:r>
                            <m:r>
                              <a:rPr lang="pt-BR" sz="800" i="0">
                                <a:latin typeface="Cambria Math" panose="02040503050406030204" pitchFamily="18" charset="0"/>
                                <a:ea typeface="Cambria Math" panose="02040503050406030204" pitchFamily="18" charset="0"/>
                                <a:cs typeface="Sora" pitchFamily="2" charset="0"/>
                              </a:rPr>
                              <m:t> 2 </m:t>
                            </m:r>
                            <m:r>
                              <m:rPr>
                                <m:sty m:val="p"/>
                              </m:rPr>
                              <a:rPr lang="pt-BR" sz="800" i="0">
                                <a:latin typeface="Cambria Math" panose="02040503050406030204" pitchFamily="18" charset="0"/>
                                <a:ea typeface="Cambria Math" panose="02040503050406030204" pitchFamily="18" charset="0"/>
                                <a:cs typeface="Sora" pitchFamily="2" charset="0"/>
                              </a:rPr>
                              <m:t>quarters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Interest</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bearing</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liabilities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demand</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deposits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time</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deposits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savings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deposits</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creditors</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by</m:t>
                            </m:r>
                          </m:e>
                          <m:e>
                            <m:r>
                              <m:rPr>
                                <m:sty m:val="p"/>
                              </m:rPr>
                              <a:rPr lang="pt-BR" sz="800" i="0">
                                <a:latin typeface="Cambria Math" panose="02040503050406030204" pitchFamily="18" charset="0"/>
                                <a:ea typeface="Cambria Math" panose="02040503050406030204" pitchFamily="18" charset="0"/>
                                <a:cs typeface="Sora" pitchFamily="2" charset="0"/>
                              </a:rPr>
                              <m:t>resources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to</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release</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securities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issued</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securities</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sold</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under</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agreements</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to</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repurchase</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interbank</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deposits</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and</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others</m:t>
                            </m:r>
                            <m:r>
                              <a:rPr lang="pt-BR" sz="800" b="0" i="0">
                                <a:latin typeface="Cambria Math" panose="02040503050406030204" pitchFamily="18" charset="0"/>
                                <a:ea typeface="Cambria Math" panose="02040503050406030204" pitchFamily="18" charset="0"/>
                                <a:cs typeface="Sora" pitchFamily="2" charset="0"/>
                              </a:rPr>
                              <m:t>)</m:t>
                            </m:r>
                          </m:e>
                        </m:eqArr>
                      </m:den>
                    </m:f>
                    <m:r>
                      <a:rPr lang="pt-BR" sz="800" b="0" i="1">
                        <a:latin typeface="Cambria Math" panose="02040503050406030204" pitchFamily="18" charset="0"/>
                        <a:ea typeface="Cambria Math" panose="02040503050406030204" pitchFamily="18" charset="0"/>
                        <a:cs typeface="Sora" pitchFamily="2" charset="0"/>
                      </a:rPr>
                      <m:t> </m:t>
                    </m:r>
                  </m:oMath>
                </m:oMathPara>
              </a14:m>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risk:</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ea typeface="Cambria Math" panose="02040503050406030204" pitchFamily="18" charset="0"/>
                            <a:cs typeface="Sora" pitchFamily="2" charset="0"/>
                          </a:rPr>
                        </m:ctrlPr>
                      </m:fPr>
                      <m:num>
                        <m:r>
                          <m:rPr>
                            <m:sty m:val="p"/>
                          </m:rPr>
                          <a:rPr lang="en-US" sz="800" i="0">
                            <a:latin typeface="Cambria Math" panose="02040503050406030204" pitchFamily="18" charset="0"/>
                            <a:ea typeface="Cambria Math" panose="02040503050406030204" pitchFamily="18" charset="0"/>
                            <a:cs typeface="Sora" pitchFamily="2" charset="0"/>
                          </a:rPr>
                          <m:t>Impairment</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losses</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on</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financial</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assets</m:t>
                        </m:r>
                        <m:r>
                          <a:rPr lang="pt-BR" sz="800" b="0" i="0">
                            <a:latin typeface="Cambria Math" panose="02040503050406030204" pitchFamily="18" charset="0"/>
                            <a:ea typeface="Cambria Math" panose="02040503050406030204" pitchFamily="18" charset="0"/>
                            <a:cs typeface="Sora" pitchFamily="2" charset="0"/>
                          </a:rPr>
                          <m:t> </m:t>
                        </m:r>
                        <m:r>
                          <a:rPr lang="pt-BR" sz="800" i="0">
                            <a:latin typeface="Cambria Math" panose="02040503050406030204" pitchFamily="18" charset="0"/>
                            <a:ea typeface="Cambria Math" panose="02040503050406030204" pitchFamily="18" charset="0"/>
                          </a:rPr>
                          <m:t>× </m:t>
                        </m:r>
                        <m:r>
                          <a:rPr lang="pt-BR" sz="800" i="0">
                            <a:latin typeface="Cambria Math" panose="02040503050406030204" pitchFamily="18" charset="0"/>
                            <a:ea typeface="Cambria Math" panose="02040503050406030204" pitchFamily="18" charset="0"/>
                            <a:cs typeface="Sora" pitchFamily="2" charset="0"/>
                          </a:rPr>
                          <m:t>4</m:t>
                        </m:r>
                      </m:num>
                      <m:den>
                        <m:r>
                          <m:rPr>
                            <m:sty m:val="p"/>
                          </m:rPr>
                          <a:rPr lang="pt-BR" sz="800" i="0">
                            <a:latin typeface="Cambria Math" panose="02040503050406030204" pitchFamily="18" charset="0"/>
                            <a:ea typeface="Cambria Math" panose="02040503050406030204" pitchFamily="18" charset="0"/>
                            <a:cs typeface="Sora" pitchFamily="2" charset="0"/>
                          </a:rPr>
                          <m:t>Average</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of</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last</m:t>
                        </m:r>
                        <m:r>
                          <a:rPr lang="pt-BR" sz="800" i="0">
                            <a:latin typeface="Cambria Math" panose="02040503050406030204" pitchFamily="18" charset="0"/>
                            <a:ea typeface="Cambria Math" panose="02040503050406030204" pitchFamily="18" charset="0"/>
                            <a:cs typeface="Sora" pitchFamily="2" charset="0"/>
                          </a:rPr>
                          <m:t> 2 </m:t>
                        </m:r>
                        <m:r>
                          <m:rPr>
                            <m:sty m:val="p"/>
                          </m:rPr>
                          <a:rPr lang="pt-BR" sz="800" i="0">
                            <a:latin typeface="Cambria Math" panose="02040503050406030204" pitchFamily="18" charset="0"/>
                            <a:ea typeface="Cambria Math" panose="02040503050406030204" pitchFamily="18" charset="0"/>
                            <a:cs typeface="Sora" pitchFamily="2" charset="0"/>
                          </a:rPr>
                          <m:t>quarters</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of</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Loans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and</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advances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to</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customers</m:t>
                        </m:r>
                      </m:den>
                    </m:f>
                  </m:oMath>
                </m:oMathPara>
              </a14:m>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risk excluding anticipation of credit card receivables: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ea typeface="Cambria Math" panose="02040503050406030204" pitchFamily="18" charset="0"/>
                            <a:cs typeface="Sora" pitchFamily="2" charset="0"/>
                          </a:rPr>
                        </m:ctrlPr>
                      </m:fPr>
                      <m:num>
                        <m:r>
                          <m:rPr>
                            <m:sty m:val="p"/>
                          </m:rPr>
                          <a:rPr lang="en-US" sz="800" i="0">
                            <a:latin typeface="Cambria Math" panose="02040503050406030204" pitchFamily="18" charset="0"/>
                            <a:ea typeface="Cambria Math" panose="02040503050406030204" pitchFamily="18" charset="0"/>
                            <a:cs typeface="Sora" pitchFamily="2" charset="0"/>
                          </a:rPr>
                          <m:t>Impairment</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losses</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on</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financial</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assets</m:t>
                        </m:r>
                        <m:r>
                          <a:rPr lang="pt-BR" sz="800" b="0" i="0">
                            <a:latin typeface="Cambria Math" panose="02040503050406030204" pitchFamily="18" charset="0"/>
                            <a:ea typeface="Cambria Math" panose="02040503050406030204" pitchFamily="18" charset="0"/>
                            <a:cs typeface="Sora" pitchFamily="2" charset="0"/>
                          </a:rPr>
                          <m:t> </m:t>
                        </m:r>
                        <m:r>
                          <a:rPr lang="pt-BR" sz="800" i="0">
                            <a:latin typeface="Cambria Math" panose="02040503050406030204" pitchFamily="18" charset="0"/>
                            <a:ea typeface="Cambria Math" panose="02040503050406030204" pitchFamily="18" charset="0"/>
                          </a:rPr>
                          <m:t>× </m:t>
                        </m:r>
                        <m:r>
                          <a:rPr lang="pt-BR" sz="800" i="0">
                            <a:latin typeface="Cambria Math" panose="02040503050406030204" pitchFamily="18" charset="0"/>
                            <a:ea typeface="Cambria Math" panose="02040503050406030204" pitchFamily="18" charset="0"/>
                            <a:cs typeface="Sora" pitchFamily="2" charset="0"/>
                          </a:rPr>
                          <m:t>4</m:t>
                        </m:r>
                      </m:num>
                      <m:den>
                        <m:r>
                          <m:rPr>
                            <m:sty m:val="p"/>
                          </m:rPr>
                          <a:rPr lang="pt-BR" sz="800">
                            <a:latin typeface="Cambria Math" panose="02040503050406030204" pitchFamily="18" charset="0"/>
                            <a:ea typeface="Cambria Math" panose="02040503050406030204" pitchFamily="18" charset="0"/>
                            <a:cs typeface="Sora" pitchFamily="2" charset="0"/>
                          </a:rPr>
                          <m:t>Average</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of</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last</m:t>
                        </m:r>
                        <m:r>
                          <a:rPr lang="pt-BR" sz="800">
                            <a:latin typeface="Cambria Math" panose="02040503050406030204" pitchFamily="18" charset="0"/>
                            <a:ea typeface="Cambria Math" panose="02040503050406030204" pitchFamily="18" charset="0"/>
                            <a:cs typeface="Sora" pitchFamily="2" charset="0"/>
                          </a:rPr>
                          <m:t> 2 </m:t>
                        </m:r>
                        <m:r>
                          <m:rPr>
                            <m:sty m:val="p"/>
                          </m:rPr>
                          <a:rPr lang="pt-BR" sz="800">
                            <a:latin typeface="Cambria Math" panose="02040503050406030204" pitchFamily="18" charset="0"/>
                            <a:ea typeface="Cambria Math" panose="02040503050406030204" pitchFamily="18" charset="0"/>
                            <a:cs typeface="Sora" pitchFamily="2" charset="0"/>
                          </a:rPr>
                          <m:t>quarters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of</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Loans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and</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advances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to</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customers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excluding</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anticipation</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of</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credit</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card</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receivables</m:t>
                        </m:r>
                      </m:den>
                    </m:f>
                  </m:oMath>
                </m:oMathPara>
              </a14:m>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risk excluding credit card:</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ea typeface="Cambria Math" panose="02040503050406030204" pitchFamily="18" charset="0"/>
                            <a:cs typeface="Sora" pitchFamily="2" charset="0"/>
                          </a:rPr>
                        </m:ctrlPr>
                      </m:fPr>
                      <m:num>
                        <m:r>
                          <m:rPr>
                            <m:sty m:val="p"/>
                          </m:rPr>
                          <a:rPr lang="en-US" sz="800" i="0">
                            <a:latin typeface="Cambria Math" panose="02040503050406030204" pitchFamily="18" charset="0"/>
                            <a:ea typeface="Cambria Math" panose="02040503050406030204" pitchFamily="18" charset="0"/>
                            <a:cs typeface="Sora" pitchFamily="2" charset="0"/>
                          </a:rPr>
                          <m:t>Impairment</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losses</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on</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financial</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assets</m:t>
                        </m:r>
                        <m:r>
                          <a:rPr lang="pt-BR" sz="800" b="0" i="0">
                            <a:latin typeface="Cambria Math" panose="02040503050406030204" pitchFamily="18" charset="0"/>
                            <a:ea typeface="Cambria Math" panose="02040503050406030204" pitchFamily="18" charset="0"/>
                            <a:cs typeface="Sora" pitchFamily="2" charset="0"/>
                          </a:rPr>
                          <m:t> </m:t>
                        </m:r>
                        <m:r>
                          <a:rPr lang="pt-BR" sz="800" i="0">
                            <a:latin typeface="Cambria Math" panose="02040503050406030204" pitchFamily="18" charset="0"/>
                            <a:ea typeface="Cambria Math" panose="02040503050406030204" pitchFamily="18" charset="0"/>
                          </a:rPr>
                          <m:t>× </m:t>
                        </m:r>
                        <m:r>
                          <a:rPr lang="pt-BR" sz="800" i="0">
                            <a:latin typeface="Cambria Math" panose="02040503050406030204" pitchFamily="18" charset="0"/>
                            <a:ea typeface="Cambria Math" panose="02040503050406030204" pitchFamily="18" charset="0"/>
                            <a:cs typeface="Sora" pitchFamily="2" charset="0"/>
                          </a:rPr>
                          <m:t>4</m:t>
                        </m:r>
                      </m:num>
                      <m:den>
                        <m:r>
                          <m:rPr>
                            <m:sty m:val="p"/>
                          </m:rPr>
                          <a:rPr lang="pt-BR" sz="800">
                            <a:latin typeface="Cambria Math" panose="02040503050406030204" pitchFamily="18" charset="0"/>
                            <a:ea typeface="Cambria Math" panose="02040503050406030204" pitchFamily="18" charset="0"/>
                            <a:cs typeface="Sora" pitchFamily="2" charset="0"/>
                          </a:rPr>
                          <m:t>Average</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of</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last</m:t>
                        </m:r>
                        <m:r>
                          <a:rPr lang="pt-BR" sz="800">
                            <a:latin typeface="Cambria Math" panose="02040503050406030204" pitchFamily="18" charset="0"/>
                            <a:ea typeface="Cambria Math" panose="02040503050406030204" pitchFamily="18" charset="0"/>
                            <a:cs typeface="Sora" pitchFamily="2" charset="0"/>
                          </a:rPr>
                          <m:t> 2 </m:t>
                        </m:r>
                        <m:r>
                          <m:rPr>
                            <m:sty m:val="p"/>
                          </m:rPr>
                          <a:rPr lang="pt-BR" sz="800">
                            <a:latin typeface="Cambria Math" panose="02040503050406030204" pitchFamily="18" charset="0"/>
                            <a:ea typeface="Cambria Math" panose="02040503050406030204" pitchFamily="18" charset="0"/>
                            <a:cs typeface="Sora" pitchFamily="2" charset="0"/>
                          </a:rPr>
                          <m:t>quarters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of</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Loans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and</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advances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to</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customers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excluding</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credit</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card</m:t>
                        </m:r>
                      </m:den>
                    </m:f>
                  </m:oMath>
                </m:oMathPara>
              </a14:m>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Cost-to-serve (CTS):</a:t>
              </a:r>
            </a:p>
            <a:p>
              <a:pPr algn="ctr"/>
              <a:endParaRPr lang="en-US"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en-US" sz="800" i="1">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ctrlPr>
                      </m:fPr>
                      <m:num>
                        <m:d>
                          <m:dPr>
                            <m:ctrlPr>
                              <a:rPr lang="en-US" sz="800" i="1">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ctrlPr>
                          </m:dPr>
                          <m:e>
                            <m:r>
                              <m:rPr>
                                <m:sty m:val="p"/>
                              </m:rP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Personnel</m:t>
                            </m:r>
                            <m: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Expense</m:t>
                            </m:r>
                            <m: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Administrative</m:t>
                            </m:r>
                            <m: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Expenses</m:t>
                            </m:r>
                            <m: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Total</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CAC</m:t>
                            </m:r>
                          </m:e>
                        </m:d>
                        <m: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÷3</m:t>
                        </m:r>
                      </m:num>
                      <m:den>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Average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of</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the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last</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2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quarters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Active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Clients</m:t>
                        </m:r>
                      </m:den>
                    </m:f>
                    <m:r>
                      <a:rPr lang="pt-BR" sz="800" i="1">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oMath>
                </m:oMathPara>
              </a14:m>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pt-BR" sz="100" i="1">
                <a:solidFill>
                  <a:schemeClr val="tx1">
                    <a:lumMod val="85000"/>
                    <a:lumOff val="15000"/>
                  </a:schemeClr>
                </a:solidFill>
                <a:highlight>
                  <a:srgbClr val="FFFF00"/>
                </a:highlight>
                <a:latin typeface="Calibri" panose="020F0502020204030204" pitchFamily="34" charset="0"/>
                <a:ea typeface="Cambria Math" panose="02040503050406030204" pitchFamily="18" charset="0"/>
                <a:cs typeface="Calibri" panose="020F0502020204030204" pitchFamily="34" charset="0"/>
              </a:endParaRPr>
            </a:p>
          </xdr:txBody>
        </xdr:sp>
      </mc:Choice>
      <mc:Fallback xmlns="">
        <xdr:sp macro="" textlink="">
          <xdr:nvSpPr>
            <xdr:cNvPr id="22" name="Retângulo 9">
              <a:extLst>
                <a:ext uri="{FF2B5EF4-FFF2-40B4-BE49-F238E27FC236}">
                  <a16:creationId xmlns:a16="http://schemas.microsoft.com/office/drawing/2014/main" id="{E053E71D-69F7-C852-2686-4DDCCC5EB831}"/>
                </a:ext>
              </a:extLst>
            </xdr:cNvPr>
            <xdr:cNvSpPr/>
          </xdr:nvSpPr>
          <xdr:spPr>
            <a:xfrm>
              <a:off x="151610" y="15924074"/>
              <a:ext cx="5766026" cy="5747920"/>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Card fee revenue:</a:t>
              </a:r>
            </a:p>
            <a:p>
              <a:r>
                <a:rPr lang="en-US" sz="900">
                  <a:latin typeface="Calibri" panose="020F0502020204030204" pitchFamily="34" charset="0"/>
                  <a:ea typeface="Inter" panose="020B0502030000000004" pitchFamily="34" charset="0"/>
                  <a:cs typeface="Calibri" panose="020F0502020204030204" pitchFamily="34" charset="0"/>
                </a:rPr>
                <a:t>It is part of the “Revenue from services and commission” and “Other revenue” on IFRS Income Statement.  </a:t>
              </a:r>
            </a:p>
            <a:p>
              <a:endParaRPr lang="en-US" sz="800">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funding:</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en-US" sz="800" i="0">
                  <a:latin typeface="Cambria Math" panose="02040503050406030204" pitchFamily="18" charset="0"/>
                  <a:ea typeface="Cambria Math" panose="02040503050406030204" pitchFamily="18" charset="0"/>
                  <a:cs typeface="Sora" pitchFamily="2" charset="0"/>
                </a:rPr>
                <a:t>(Interest expenses</a:t>
              </a:r>
              <a:r>
                <a:rPr lang="pt-BR" sz="800" i="0">
                  <a:latin typeface="Cambria Math" panose="02040503050406030204" pitchFamily="18" charset="0"/>
                  <a:ea typeface="Cambria Math" panose="02040503050406030204" pitchFamily="18" charset="0"/>
                  <a:cs typeface="Sora" pitchFamily="2" charset="0"/>
                </a:rPr>
                <a:t> </a:t>
              </a:r>
              <a:r>
                <a:rPr lang="pt-BR" sz="800" i="0">
                  <a:latin typeface="Cambria Math" panose="02040503050406030204" pitchFamily="18" charset="0"/>
                  <a:ea typeface="Cambria Math" panose="02040503050406030204" pitchFamily="18" charset="0"/>
                </a:rPr>
                <a:t>× </a:t>
              </a:r>
              <a:r>
                <a:rPr lang="pt-BR" sz="800" i="0">
                  <a:latin typeface="Cambria Math" panose="02040503050406030204" pitchFamily="18" charset="0"/>
                  <a:ea typeface="Cambria Math" panose="02040503050406030204" pitchFamily="18" charset="0"/>
                  <a:cs typeface="Sora" pitchFamily="2" charset="0"/>
                </a:rPr>
                <a:t>4</a:t>
              </a:r>
              <a:r>
                <a:rPr lang="en-US" sz="800" i="0">
                  <a:latin typeface="Cambria Math" panose="02040503050406030204" pitchFamily="18" charset="0"/>
                  <a:ea typeface="Cambria Math" panose="02040503050406030204" pitchFamily="18" charset="0"/>
                  <a:cs typeface="Sora" pitchFamily="2" charset="0"/>
                </a:rPr>
                <a:t>)/</a:t>
              </a:r>
              <a:r>
                <a:rPr lang="pt-BR" sz="800" i="0">
                  <a:latin typeface="Cambria Math" panose="02040503050406030204" pitchFamily="18" charset="0"/>
                  <a:ea typeface="Cambria Math" panose="02040503050406030204" pitchFamily="18" charset="0"/>
                  <a:cs typeface="Sora" pitchFamily="2" charset="0"/>
                </a:rPr>
                <a:t>█(Average of last 2 quarters Interest bearing liabilities (demand deposits, time deposits, savings </a:t>
              </a:r>
              <a:r>
                <a:rPr lang="pt-BR" sz="800" b="0" i="0">
                  <a:latin typeface="Cambria Math" panose="02040503050406030204" pitchFamily="18" charset="0"/>
                  <a:ea typeface="Cambria Math" panose="02040503050406030204" pitchFamily="18" charset="0"/>
                  <a:cs typeface="Sora" pitchFamily="2" charset="0"/>
                </a:rPr>
                <a:t>deposits, creditors by@</a:t>
              </a:r>
              <a:r>
                <a:rPr lang="pt-BR" sz="800" i="0">
                  <a:latin typeface="Cambria Math" panose="02040503050406030204" pitchFamily="18" charset="0"/>
                  <a:ea typeface="Cambria Math" panose="02040503050406030204" pitchFamily="18" charset="0"/>
                  <a:cs typeface="Sora" pitchFamily="2" charset="0"/>
                </a:rPr>
                <a:t>resources to release</a:t>
              </a:r>
              <a:r>
                <a:rPr lang="pt-BR" sz="800" b="0" i="0">
                  <a:latin typeface="Cambria Math" panose="02040503050406030204" pitchFamily="18" charset="0"/>
                  <a:ea typeface="Cambria Math" panose="02040503050406030204" pitchFamily="18" charset="0"/>
                  <a:cs typeface="Sora" pitchFamily="2" charset="0"/>
                </a:rPr>
                <a:t>, </a:t>
              </a:r>
              <a:r>
                <a:rPr lang="pt-BR" sz="800" i="0">
                  <a:latin typeface="Cambria Math" panose="02040503050406030204" pitchFamily="18" charset="0"/>
                  <a:ea typeface="Cambria Math" panose="02040503050406030204" pitchFamily="18" charset="0"/>
                  <a:cs typeface="Sora" pitchFamily="2" charset="0"/>
                </a:rPr>
                <a:t>securities issued</a:t>
              </a:r>
              <a:r>
                <a:rPr lang="pt-BR" sz="800" b="0" i="0">
                  <a:latin typeface="Cambria Math" panose="02040503050406030204" pitchFamily="18" charset="0"/>
                  <a:ea typeface="Cambria Math" panose="02040503050406030204" pitchFamily="18" charset="0"/>
                  <a:cs typeface="Sora" pitchFamily="2" charset="0"/>
                </a:rPr>
                <a:t>, securities sold under agreements to repurchase, interbank deposits and others))  </a:t>
              </a: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risk:</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en-US" sz="800" i="0">
                  <a:latin typeface="Cambria Math" panose="02040503050406030204" pitchFamily="18" charset="0"/>
                  <a:ea typeface="Cambria Math" panose="02040503050406030204" pitchFamily="18" charset="0"/>
                  <a:cs typeface="Sora" pitchFamily="2" charset="0"/>
                </a:rPr>
                <a:t>(Impairment losses on financial assets</a:t>
              </a:r>
              <a:r>
                <a:rPr lang="pt-BR" sz="800" b="0" i="0">
                  <a:latin typeface="Cambria Math" panose="02040503050406030204" pitchFamily="18" charset="0"/>
                  <a:ea typeface="Cambria Math" panose="02040503050406030204" pitchFamily="18" charset="0"/>
                  <a:cs typeface="Sora" pitchFamily="2" charset="0"/>
                </a:rPr>
                <a:t> </a:t>
              </a:r>
              <a:r>
                <a:rPr lang="pt-BR" sz="800" i="0">
                  <a:latin typeface="Cambria Math" panose="02040503050406030204" pitchFamily="18" charset="0"/>
                  <a:ea typeface="Cambria Math" panose="02040503050406030204" pitchFamily="18" charset="0"/>
                </a:rPr>
                <a:t>× </a:t>
              </a:r>
              <a:r>
                <a:rPr lang="pt-BR" sz="800" i="0">
                  <a:latin typeface="Cambria Math" panose="02040503050406030204" pitchFamily="18" charset="0"/>
                  <a:ea typeface="Cambria Math" panose="02040503050406030204" pitchFamily="18" charset="0"/>
                  <a:cs typeface="Sora" pitchFamily="2" charset="0"/>
                </a:rPr>
                <a:t>4</a:t>
              </a:r>
              <a:r>
                <a:rPr lang="en-US" sz="800" i="0">
                  <a:latin typeface="Cambria Math" panose="02040503050406030204" pitchFamily="18" charset="0"/>
                  <a:ea typeface="Cambria Math" panose="02040503050406030204" pitchFamily="18" charset="0"/>
                  <a:cs typeface="Sora" pitchFamily="2" charset="0"/>
                </a:rPr>
                <a:t>)/(</a:t>
              </a:r>
              <a:r>
                <a:rPr lang="pt-BR" sz="800" i="0">
                  <a:latin typeface="Cambria Math" panose="02040503050406030204" pitchFamily="18" charset="0"/>
                  <a:ea typeface="Cambria Math" panose="02040503050406030204" pitchFamily="18" charset="0"/>
                  <a:cs typeface="Sora" pitchFamily="2" charset="0"/>
                </a:rPr>
                <a:t>Average of last 2 quarters</a:t>
              </a:r>
              <a:r>
                <a:rPr lang="pt-BR" sz="800" b="0" i="0">
                  <a:latin typeface="Cambria Math" panose="02040503050406030204" pitchFamily="18" charset="0"/>
                  <a:ea typeface="Cambria Math" panose="02040503050406030204" pitchFamily="18" charset="0"/>
                  <a:cs typeface="Sora" pitchFamily="2" charset="0"/>
                </a:rPr>
                <a:t> of Loans</a:t>
              </a:r>
              <a:r>
                <a:rPr lang="pt-BR" sz="800" i="0">
                  <a:latin typeface="Cambria Math" panose="02040503050406030204" pitchFamily="18" charset="0"/>
                  <a:ea typeface="Cambria Math" panose="02040503050406030204" pitchFamily="18" charset="0"/>
                  <a:cs typeface="Sora" pitchFamily="2" charset="0"/>
                </a:rPr>
                <a:t> and advances to c</a:t>
              </a:r>
              <a:r>
                <a:rPr lang="pt-BR" sz="800" b="0" i="0">
                  <a:latin typeface="Cambria Math" panose="02040503050406030204" pitchFamily="18" charset="0"/>
                  <a:ea typeface="Cambria Math" panose="02040503050406030204" pitchFamily="18" charset="0"/>
                  <a:cs typeface="Sora" pitchFamily="2" charset="0"/>
                </a:rPr>
                <a:t>ustomer</a:t>
              </a:r>
              <a:r>
                <a:rPr lang="pt-BR" sz="800" i="0">
                  <a:latin typeface="Cambria Math" panose="02040503050406030204" pitchFamily="18" charset="0"/>
                  <a:ea typeface="Cambria Math" panose="02040503050406030204" pitchFamily="18" charset="0"/>
                  <a:cs typeface="Sora" pitchFamily="2" charset="0"/>
                </a:rPr>
                <a:t>s</a:t>
              </a:r>
              <a:r>
                <a:rPr lang="en-US" sz="800" i="0">
                  <a:latin typeface="Cambria Math" panose="02040503050406030204" pitchFamily="18" charset="0"/>
                  <a:ea typeface="Cambria Math" panose="02040503050406030204" pitchFamily="18" charset="0"/>
                  <a:cs typeface="Sora" pitchFamily="2" charset="0"/>
                </a:rPr>
                <a:t>)</a:t>
              </a: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risk excluding anticipation of credit card receivables: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en-US" sz="800" i="0">
                  <a:latin typeface="Cambria Math" panose="02040503050406030204" pitchFamily="18" charset="0"/>
                  <a:ea typeface="Cambria Math" panose="02040503050406030204" pitchFamily="18" charset="0"/>
                  <a:cs typeface="Sora" pitchFamily="2" charset="0"/>
                </a:rPr>
                <a:t>(Impairment losses on financial assets</a:t>
              </a:r>
              <a:r>
                <a:rPr lang="pt-BR" sz="800" b="0" i="0">
                  <a:latin typeface="Cambria Math" panose="02040503050406030204" pitchFamily="18" charset="0"/>
                  <a:ea typeface="Cambria Math" panose="02040503050406030204" pitchFamily="18" charset="0"/>
                  <a:cs typeface="Sora" pitchFamily="2" charset="0"/>
                </a:rPr>
                <a:t> </a:t>
              </a:r>
              <a:r>
                <a:rPr lang="pt-BR" sz="800" i="0">
                  <a:latin typeface="Cambria Math" panose="02040503050406030204" pitchFamily="18" charset="0"/>
                  <a:ea typeface="Cambria Math" panose="02040503050406030204" pitchFamily="18" charset="0"/>
                </a:rPr>
                <a:t>× </a:t>
              </a:r>
              <a:r>
                <a:rPr lang="pt-BR" sz="800" i="0">
                  <a:latin typeface="Cambria Math" panose="02040503050406030204" pitchFamily="18" charset="0"/>
                  <a:ea typeface="Cambria Math" panose="02040503050406030204" pitchFamily="18" charset="0"/>
                  <a:cs typeface="Sora" pitchFamily="2" charset="0"/>
                </a:rPr>
                <a:t>4</a:t>
              </a:r>
              <a:r>
                <a:rPr lang="en-US" sz="800" i="0">
                  <a:latin typeface="Cambria Math" panose="02040503050406030204" pitchFamily="18" charset="0"/>
                  <a:ea typeface="Cambria Math" panose="02040503050406030204" pitchFamily="18" charset="0"/>
                  <a:cs typeface="Sora" pitchFamily="2" charset="0"/>
                </a:rPr>
                <a:t>)/(</a:t>
              </a:r>
              <a:r>
                <a:rPr lang="pt-BR" sz="800" i="0">
                  <a:latin typeface="Cambria Math" panose="02040503050406030204" pitchFamily="18" charset="0"/>
                  <a:ea typeface="Cambria Math" panose="02040503050406030204" pitchFamily="18" charset="0"/>
                  <a:cs typeface="Sora" pitchFamily="2" charset="0"/>
                </a:rPr>
                <a:t>Average of last 2 quarters of Loans and advances to customers excluding anticipation of credit card receivables</a:t>
              </a:r>
              <a:r>
                <a:rPr lang="en-US" sz="800" i="0">
                  <a:latin typeface="Cambria Math" panose="02040503050406030204" pitchFamily="18" charset="0"/>
                  <a:ea typeface="Cambria Math" panose="02040503050406030204" pitchFamily="18" charset="0"/>
                  <a:cs typeface="Sora" pitchFamily="2" charset="0"/>
                </a:rPr>
                <a:t>)</a:t>
              </a: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risk excluding credit card:</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en-US" sz="800" i="0">
                  <a:latin typeface="Cambria Math" panose="02040503050406030204" pitchFamily="18" charset="0"/>
                  <a:ea typeface="Cambria Math" panose="02040503050406030204" pitchFamily="18" charset="0"/>
                  <a:cs typeface="Sora" pitchFamily="2" charset="0"/>
                </a:rPr>
                <a:t>(Impairment losses on financial assets</a:t>
              </a:r>
              <a:r>
                <a:rPr lang="pt-BR" sz="800" b="0" i="0">
                  <a:latin typeface="Cambria Math" panose="02040503050406030204" pitchFamily="18" charset="0"/>
                  <a:ea typeface="Cambria Math" panose="02040503050406030204" pitchFamily="18" charset="0"/>
                  <a:cs typeface="Sora" pitchFamily="2" charset="0"/>
                </a:rPr>
                <a:t> </a:t>
              </a:r>
              <a:r>
                <a:rPr lang="pt-BR" sz="800" i="0">
                  <a:latin typeface="Cambria Math" panose="02040503050406030204" pitchFamily="18" charset="0"/>
                  <a:ea typeface="Cambria Math" panose="02040503050406030204" pitchFamily="18" charset="0"/>
                </a:rPr>
                <a:t>× </a:t>
              </a:r>
              <a:r>
                <a:rPr lang="pt-BR" sz="800" i="0">
                  <a:latin typeface="Cambria Math" panose="02040503050406030204" pitchFamily="18" charset="0"/>
                  <a:ea typeface="Cambria Math" panose="02040503050406030204" pitchFamily="18" charset="0"/>
                  <a:cs typeface="Sora" pitchFamily="2" charset="0"/>
                </a:rPr>
                <a:t>4</a:t>
              </a:r>
              <a:r>
                <a:rPr lang="en-US" sz="800" i="0">
                  <a:latin typeface="Cambria Math" panose="02040503050406030204" pitchFamily="18" charset="0"/>
                  <a:ea typeface="Cambria Math" panose="02040503050406030204" pitchFamily="18" charset="0"/>
                  <a:cs typeface="Sora" pitchFamily="2" charset="0"/>
                </a:rPr>
                <a:t>)/(</a:t>
              </a:r>
              <a:r>
                <a:rPr lang="pt-BR" sz="800" i="0">
                  <a:latin typeface="Cambria Math" panose="02040503050406030204" pitchFamily="18" charset="0"/>
                  <a:ea typeface="Cambria Math" panose="02040503050406030204" pitchFamily="18" charset="0"/>
                  <a:cs typeface="Sora" pitchFamily="2" charset="0"/>
                </a:rPr>
                <a:t>Average of last 2 quarters of Loans and advances to customers excluding credit card</a:t>
              </a:r>
              <a:r>
                <a:rPr lang="en-US" sz="800" i="0">
                  <a:latin typeface="Cambria Math" panose="02040503050406030204" pitchFamily="18" charset="0"/>
                  <a:ea typeface="Cambria Math" panose="02040503050406030204" pitchFamily="18" charset="0"/>
                  <a:cs typeface="Sora" pitchFamily="2" charset="0"/>
                </a:rPr>
                <a:t>)</a:t>
              </a: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Cost-to-serve (CTS):</a:t>
              </a:r>
            </a:p>
            <a:p>
              <a:pPr algn="ctr"/>
              <a:endParaRPr lang="en-US"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r>
                <a:rPr lang="en-US"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((Personnel Expense+Administrative Expenses −</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Total CAC)</a:t>
              </a:r>
              <a:r>
                <a:rPr lang="en-US"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÷3)/(</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Average of the last 2 quarters Active Clients</a:t>
              </a:r>
              <a:r>
                <a:rPr lang="en-US"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  </a:t>
              </a:r>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pt-BR" sz="100" i="1">
                <a:solidFill>
                  <a:schemeClr val="tx1">
                    <a:lumMod val="85000"/>
                    <a:lumOff val="15000"/>
                  </a:schemeClr>
                </a:solidFill>
                <a:highlight>
                  <a:srgbClr val="FFFF00"/>
                </a:highlight>
                <a:latin typeface="Calibri" panose="020F0502020204030204" pitchFamily="34" charset="0"/>
                <a:ea typeface="Cambria Math" panose="02040503050406030204" pitchFamily="18" charset="0"/>
                <a:cs typeface="Calibri" panose="020F0502020204030204" pitchFamily="34" charset="0"/>
              </a:endParaRPr>
            </a:p>
          </xdr:txBody>
        </xdr:sp>
      </mc:Fallback>
    </mc:AlternateContent>
    <xdr:clientData/>
  </xdr:twoCellAnchor>
  <xdr:twoCellAnchor>
    <xdr:from>
      <xdr:col>7</xdr:col>
      <xdr:colOff>254000</xdr:colOff>
      <xdr:row>0</xdr:row>
      <xdr:rowOff>127258</xdr:rowOff>
    </xdr:from>
    <xdr:to>
      <xdr:col>7</xdr:col>
      <xdr:colOff>254000</xdr:colOff>
      <xdr:row>226</xdr:row>
      <xdr:rowOff>76200</xdr:rowOff>
    </xdr:to>
    <xdr:cxnSp macro="">
      <xdr:nvCxnSpPr>
        <xdr:cNvPr id="29" name="Straight Connector 28">
          <a:extLst>
            <a:ext uri="{FF2B5EF4-FFF2-40B4-BE49-F238E27FC236}">
              <a16:creationId xmlns:a16="http://schemas.microsoft.com/office/drawing/2014/main" id="{00000000-0008-0000-1600-00001D000000}"/>
            </a:ext>
          </a:extLst>
        </xdr:cNvPr>
        <xdr:cNvCxnSpPr>
          <a:cxnSpLocks/>
        </xdr:cNvCxnSpPr>
      </xdr:nvCxnSpPr>
      <xdr:spPr>
        <a:xfrm flipH="1">
          <a:off x="6121400" y="127258"/>
          <a:ext cx="0" cy="45872142"/>
        </a:xfrm>
        <a:prstGeom prst="line">
          <a:avLst/>
        </a:prstGeom>
      </xdr:spPr>
      <xdr:style>
        <a:lnRef idx="1">
          <a:schemeClr val="accent3"/>
        </a:lnRef>
        <a:fillRef idx="0">
          <a:schemeClr val="accent3"/>
        </a:fillRef>
        <a:effectRef idx="0">
          <a:schemeClr val="accent3"/>
        </a:effectRef>
        <a:fontRef idx="minor">
          <a:schemeClr val="tx1"/>
        </a:fontRef>
      </xdr:style>
    </xdr:cxnSp>
    <xdr:clientData/>
  </xdr:twoCellAnchor>
  <xdr:twoCellAnchor>
    <xdr:from>
      <xdr:col>0</xdr:col>
      <xdr:colOff>161844</xdr:colOff>
      <xdr:row>116</xdr:row>
      <xdr:rowOff>169334</xdr:rowOff>
    </xdr:from>
    <xdr:to>
      <xdr:col>7</xdr:col>
      <xdr:colOff>128789</xdr:colOff>
      <xdr:row>146</xdr:row>
      <xdr:rowOff>166606</xdr:rowOff>
    </xdr:to>
    <mc:AlternateContent xmlns:mc="http://schemas.openxmlformats.org/markup-compatibility/2006" xmlns:a14="http://schemas.microsoft.com/office/drawing/2010/main">
      <mc:Choice Requires="a14">
        <xdr:sp macro="" textlink="">
          <xdr:nvSpPr>
            <xdr:cNvPr id="30" name="Retângulo 9">
              <a:extLst>
                <a:ext uri="{FF2B5EF4-FFF2-40B4-BE49-F238E27FC236}">
                  <a16:creationId xmlns:a16="http://schemas.microsoft.com/office/drawing/2014/main" id="{00000000-0008-0000-1600-00001E000000}"/>
                </a:ext>
              </a:extLst>
            </xdr:cNvPr>
            <xdr:cNvSpPr/>
          </xdr:nvSpPr>
          <xdr:spPr>
            <a:xfrm>
              <a:off x="161844" y="21520059"/>
              <a:ext cx="5764771" cy="5519011"/>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Coverage ratio:</a:t>
              </a:r>
            </a:p>
            <a:p>
              <a:endParaRPr lang="en-US" sz="5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ea typeface="Cambria Math" panose="02040503050406030204" pitchFamily="18" charset="0"/>
                          </a:rPr>
                        </m:ctrlPr>
                      </m:fPr>
                      <m:num>
                        <m:r>
                          <m:rPr>
                            <m:sty m:val="p"/>
                          </m:rPr>
                          <a:rPr lang="pt-BR" sz="900" i="0">
                            <a:latin typeface="Cambria Math" panose="02040503050406030204" pitchFamily="18" charset="0"/>
                            <a:ea typeface="Cambria Math" panose="02040503050406030204" pitchFamily="18" charset="0"/>
                          </a:rPr>
                          <m:t>Provision</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for</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expected</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credit</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loss</m:t>
                        </m:r>
                      </m:num>
                      <m:den>
                        <m:r>
                          <m:rPr>
                            <m:sty m:val="p"/>
                          </m:rPr>
                          <a:rPr lang="pt-BR" sz="900" b="0" i="0">
                            <a:latin typeface="Cambria Math" panose="02040503050406030204" pitchFamily="18" charset="0"/>
                            <a:ea typeface="Cambria Math" panose="02040503050406030204" pitchFamily="18" charset="0"/>
                          </a:rPr>
                          <m:t>O</m:t>
                        </m:r>
                        <m:r>
                          <m:rPr>
                            <m:sty m:val="p"/>
                          </m:rPr>
                          <a:rPr lang="pt-BR" sz="900" i="0">
                            <a:latin typeface="Cambria Math" panose="02040503050406030204" pitchFamily="18" charset="0"/>
                            <a:ea typeface="Cambria Math" panose="02040503050406030204" pitchFamily="18" charset="0"/>
                          </a:rPr>
                          <m:t>verdue</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higher</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than</m:t>
                        </m:r>
                        <m:r>
                          <a:rPr lang="pt-BR" sz="900" i="0">
                            <a:latin typeface="Cambria Math" panose="02040503050406030204" pitchFamily="18" charset="0"/>
                            <a:ea typeface="Cambria Math" panose="02040503050406030204" pitchFamily="18" charset="0"/>
                          </a:rPr>
                          <m:t> 90 </m:t>
                        </m:r>
                        <m:r>
                          <m:rPr>
                            <m:sty m:val="p"/>
                          </m:rPr>
                          <a:rPr lang="pt-BR" sz="900" i="0">
                            <a:latin typeface="Cambria Math" panose="02040503050406030204" pitchFamily="18" charset="0"/>
                            <a:ea typeface="Cambria Math" panose="02040503050406030204" pitchFamily="18" charset="0"/>
                          </a:rPr>
                          <m:t>days</m:t>
                        </m:r>
                      </m:den>
                    </m:f>
                  </m:oMath>
                </m:oMathPara>
              </a14:m>
              <a:endParaRPr lang="en-US" sz="900">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pt-BR" sz="900" b="1">
                  <a:latin typeface="Calibri" panose="020F0502020204030204" pitchFamily="34" charset="0"/>
                  <a:cs typeface="Calibri" panose="020F0502020204030204" pitchFamily="34" charset="0"/>
                </a:rPr>
                <a:t>Earning portfolio (IEP):</a:t>
              </a:r>
            </a:p>
            <a:p>
              <a:pPr algn="ctr"/>
              <a:r>
                <a:rPr lang="pt-BR" sz="900">
                  <a:latin typeface="Calibri" panose="020F0502020204030204" pitchFamily="34" charset="0"/>
                  <a:ea typeface="Inter" panose="020B0502030000000004" pitchFamily="34" charset="0"/>
                  <a:cs typeface="Calibri" panose="020F0502020204030204" pitchFamily="34" charset="0"/>
                </a:rPr>
                <a:t>Earnings Portfolio includes “Amounts due from financial institutions” + “Loans and advances to customers” + “Securities” + “Derivatives” from the IFRS Balance Sheet</a:t>
              </a: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Efficiency ratio:</a:t>
              </a:r>
            </a:p>
            <a:p>
              <a:pPr algn="ctr"/>
              <a:endParaRPr lang="en-US" sz="500">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ea typeface="Cambria Math" panose="02040503050406030204" pitchFamily="18" charset="0"/>
                          </a:rPr>
                        </m:ctrlPr>
                      </m:fPr>
                      <m:num>
                        <m:eqArr>
                          <m:eqArrPr>
                            <m:ctrlPr>
                              <a:rPr lang="pt-BR" sz="900" i="1">
                                <a:latin typeface="Cambria Math" panose="02040503050406030204" pitchFamily="18" charset="0"/>
                                <a:ea typeface="Cambria Math" panose="02040503050406030204" pitchFamily="18" charset="0"/>
                              </a:rPr>
                            </m:ctrlPr>
                          </m:eqArrPr>
                          <m:e>
                            <m:r>
                              <a:rPr lang="pt-BR" sz="900" i="0">
                                <a:latin typeface="Cambria Math" panose="02040503050406030204" pitchFamily="18" charset="0"/>
                                <a:ea typeface="Cambria Math" panose="02040503050406030204" pitchFamily="18" charset="0"/>
                              </a:rPr>
                              <m:t> </m:t>
                            </m:r>
                          </m:e>
                          <m:e>
                            <m:r>
                              <m:rPr>
                                <m:sty m:val="p"/>
                              </m:rPr>
                              <a:rPr lang="pt-BR" sz="900" i="0">
                                <a:latin typeface="Cambria Math" panose="02040503050406030204" pitchFamily="18" charset="0"/>
                                <a:ea typeface="Cambria Math" panose="02040503050406030204" pitchFamily="18" charset="0"/>
                              </a:rPr>
                              <m:t>Personnel</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expense</m:t>
                            </m:r>
                            <m:r>
                              <a:rPr lang="pt-BR" sz="900" i="0">
                                <a:latin typeface="Cambria Math" panose="02040503050406030204" pitchFamily="18" charset="0"/>
                                <a:ea typeface="Cambria Math" panose="02040503050406030204" pitchFamily="18" charset="0"/>
                              </a:rPr>
                              <m:t>+</m:t>
                            </m:r>
                            <m:r>
                              <m:rPr>
                                <m:sty m:val="p"/>
                              </m:rPr>
                              <a:rPr lang="pt-BR" sz="900" i="0">
                                <a:latin typeface="Cambria Math" panose="02040503050406030204" pitchFamily="18" charset="0"/>
                                <a:ea typeface="Cambria Math" panose="02040503050406030204" pitchFamily="18" charset="0"/>
                              </a:rPr>
                              <m:t>Administrative</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expenses</m:t>
                            </m:r>
                            <m:r>
                              <a:rPr lang="pt-BR" sz="900" b="0" i="0">
                                <a:latin typeface="Cambria Math" panose="02040503050406030204" pitchFamily="18" charset="0"/>
                                <a:ea typeface="Cambria Math" panose="02040503050406030204" pitchFamily="18" charset="0"/>
                              </a:rPr>
                              <m:t>+</m:t>
                            </m:r>
                            <m:r>
                              <m:rPr>
                                <m:sty m:val="p"/>
                              </m:rPr>
                              <a:rPr lang="pt-BR" sz="900" b="0" i="0">
                                <a:latin typeface="Cambria Math" panose="02040503050406030204" pitchFamily="18" charset="0"/>
                                <a:ea typeface="Cambria Math" panose="02040503050406030204" pitchFamily="18" charset="0"/>
                              </a:rPr>
                              <m:t>Depreciation</m:t>
                            </m:r>
                            <m:r>
                              <a:rPr lang="pt-BR" sz="900" b="0" i="0">
                                <a:latin typeface="Cambria Math" panose="02040503050406030204" pitchFamily="18" charset="0"/>
                                <a:ea typeface="Cambria Math" panose="02040503050406030204" pitchFamily="18" charset="0"/>
                              </a:rPr>
                              <m:t> </m:t>
                            </m:r>
                            <m:r>
                              <m:rPr>
                                <m:sty m:val="p"/>
                              </m:rPr>
                              <a:rPr lang="pt-BR" sz="900" b="0" i="0">
                                <a:latin typeface="Cambria Math" panose="02040503050406030204" pitchFamily="18" charset="0"/>
                                <a:ea typeface="Cambria Math" panose="02040503050406030204" pitchFamily="18" charset="0"/>
                              </a:rPr>
                              <m:t>and</m:t>
                            </m:r>
                            <m:r>
                              <a:rPr lang="pt-BR" sz="900" b="0" i="0">
                                <a:latin typeface="Cambria Math" panose="02040503050406030204" pitchFamily="18" charset="0"/>
                                <a:ea typeface="Cambria Math" panose="02040503050406030204" pitchFamily="18" charset="0"/>
                              </a:rPr>
                              <m:t> </m:t>
                            </m:r>
                            <m:r>
                              <m:rPr>
                                <m:sty m:val="p"/>
                              </m:rPr>
                              <a:rPr lang="pt-BR" sz="900" b="0" i="0">
                                <a:latin typeface="Cambria Math" panose="02040503050406030204" pitchFamily="18" charset="0"/>
                                <a:ea typeface="Cambria Math" panose="02040503050406030204" pitchFamily="18" charset="0"/>
                              </a:rPr>
                              <m:t>amortization</m:t>
                            </m:r>
                            <m:r>
                              <a:rPr lang="pt-BR" sz="900" b="0" i="0">
                                <a:latin typeface="Cambria Math" panose="02040503050406030204" pitchFamily="18" charset="0"/>
                                <a:ea typeface="Cambria Math" panose="02040503050406030204" pitchFamily="18" charset="0"/>
                              </a:rPr>
                              <m:t> </m:t>
                            </m:r>
                          </m:e>
                        </m:eqArr>
                      </m:num>
                      <m:den>
                        <m:r>
                          <m:rPr>
                            <m:sty m:val="p"/>
                          </m:rPr>
                          <a:rPr lang="pt-BR" sz="900" i="1">
                            <a:latin typeface="Cambria Math" panose="02040503050406030204" pitchFamily="18" charset="0"/>
                            <a:ea typeface="Cambria Math" panose="02040503050406030204" pitchFamily="18" charset="0"/>
                          </a:rPr>
                          <m:t>Net</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Interest</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Income</m:t>
                        </m:r>
                        <m:r>
                          <a:rPr lang="pt-BR" sz="900" i="1">
                            <a:latin typeface="Cambria Math" panose="02040503050406030204" pitchFamily="18" charset="0"/>
                            <a:ea typeface="Cambria Math" panose="02040503050406030204" pitchFamily="18" charset="0"/>
                          </a:rPr>
                          <m:t>+</m:t>
                        </m:r>
                        <m:r>
                          <m:rPr>
                            <m:sty m:val="p"/>
                          </m:rPr>
                          <a:rPr lang="pt-BR" sz="900" i="1">
                            <a:latin typeface="Cambria Math" panose="02040503050406030204" pitchFamily="18" charset="0"/>
                            <a:ea typeface="Cambria Math" panose="02040503050406030204" pitchFamily="18" charset="0"/>
                          </a:rPr>
                          <m:t>Net</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result</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from</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services</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and</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comissions</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Other</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revenue</m:t>
                        </m:r>
                        <m:r>
                          <a:rPr lang="pt-BR" sz="900" i="1">
                            <a:latin typeface="Cambria Math" panose="02040503050406030204" pitchFamily="18" charset="0"/>
                            <a:ea typeface="Cambria Math" panose="02040503050406030204" pitchFamily="18" charset="0"/>
                          </a:rPr>
                          <m:t>−</m:t>
                        </m:r>
                        <m:r>
                          <m:rPr>
                            <m:sty m:val="p"/>
                          </m:rPr>
                          <a:rPr lang="pt-BR" sz="900" i="1">
                            <a:latin typeface="Cambria Math" panose="02040503050406030204" pitchFamily="18" charset="0"/>
                            <a:ea typeface="Cambria Math" panose="02040503050406030204" pitchFamily="18" charset="0"/>
                          </a:rPr>
                          <m:t>Tax</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expense</m:t>
                        </m:r>
                      </m:den>
                    </m:f>
                    <m:r>
                      <a:rPr lang="pt-BR" sz="900" i="1">
                        <a:latin typeface="Cambria Math" panose="02040503050406030204" pitchFamily="18" charset="0"/>
                        <a:ea typeface="Cambria Math" panose="02040503050406030204" pitchFamily="18" charset="0"/>
                      </a:rPr>
                      <m:t> </m:t>
                    </m:r>
                  </m:oMath>
                </m:oMathPara>
              </a14:m>
              <a:endParaRPr lang="pt-BR" sz="900" i="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a:p>
              <a:r>
                <a:rPr lang="pt-BR" sz="900" b="1">
                  <a:latin typeface="Calibri" panose="020F0502020204030204" pitchFamily="34" charset="0"/>
                  <a:cs typeface="Calibri" panose="020F0502020204030204" pitchFamily="34" charset="0"/>
                </a:rPr>
                <a:t>Fee income ratio:</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ea typeface="Cambria Math" panose="02040503050406030204" pitchFamily="18" charset="0"/>
                          </a:rPr>
                        </m:ctrlPr>
                      </m:fPr>
                      <m:num>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Net</m:t>
                        </m:r>
                        <m: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result</m:t>
                        </m:r>
                        <m: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from</m:t>
                        </m:r>
                        <m: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services</m:t>
                        </m:r>
                        <m: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and</m:t>
                        </m:r>
                        <m: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commissions</m:t>
                        </m:r>
                        <m: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 </m:t>
                        </m:r>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Other</m:t>
                        </m:r>
                        <m: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revenue</m:t>
                        </m:r>
                      </m:num>
                      <m:den>
                        <m:r>
                          <m:rPr>
                            <m:sty m:val="p"/>
                          </m:rPr>
                          <a:rPr lang="pt-BR" sz="900">
                            <a:latin typeface="Cambria Math" panose="02040503050406030204" pitchFamily="18" charset="0"/>
                            <a:ea typeface="Cambria Math" panose="02040503050406030204" pitchFamily="18" charset="0"/>
                          </a:rPr>
                          <m:t>Net</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Interest</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Income</m:t>
                        </m:r>
                        <m:r>
                          <a:rPr lang="pt-BR" sz="900">
                            <a:latin typeface="Cambria Math" panose="02040503050406030204" pitchFamily="18" charset="0"/>
                            <a:ea typeface="Cambria Math" panose="02040503050406030204" pitchFamily="18" charset="0"/>
                          </a:rPr>
                          <m:t>+</m:t>
                        </m:r>
                        <m:r>
                          <m:rPr>
                            <m:sty m:val="p"/>
                          </m:rPr>
                          <a:rPr lang="pt-BR" sz="900">
                            <a:latin typeface="Cambria Math" panose="02040503050406030204" pitchFamily="18" charset="0"/>
                            <a:ea typeface="Cambria Math" panose="02040503050406030204" pitchFamily="18" charset="0"/>
                          </a:rPr>
                          <m:t>Net</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result</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from</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services</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and</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comissions</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Other</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revenue</m:t>
                        </m:r>
                        <m:r>
                          <a:rPr lang="pt-BR" sz="900">
                            <a:latin typeface="Cambria Math" panose="02040503050406030204" pitchFamily="18" charset="0"/>
                            <a:ea typeface="Cambria Math" panose="02040503050406030204" pitchFamily="18" charset="0"/>
                          </a:rPr>
                          <m:t>−</m:t>
                        </m:r>
                        <m:r>
                          <m:rPr>
                            <m:sty m:val="p"/>
                          </m:rPr>
                          <a:rPr lang="pt-BR" sz="900">
                            <a:latin typeface="Cambria Math" panose="02040503050406030204" pitchFamily="18" charset="0"/>
                            <a:ea typeface="Cambria Math" panose="02040503050406030204" pitchFamily="18" charset="0"/>
                          </a:rPr>
                          <m:t>Tax</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expense</m:t>
                        </m:r>
                      </m:den>
                    </m:f>
                  </m:oMath>
                </m:oMathPara>
              </a14:m>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a:p>
              <a:r>
                <a:rPr lang="pt-BR" sz="900" b="1">
                  <a:latin typeface="Calibri" panose="020F0502020204030204" pitchFamily="34" charset="0"/>
                  <a:cs typeface="Calibri" panose="020F0502020204030204" pitchFamily="34" charset="0"/>
                </a:rPr>
                <a:t>Funding:</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lgn="ctr"/>
              <a14:m>
                <m:oMath xmlns:m="http://schemas.openxmlformats.org/officeDocument/2006/math">
                  <m:r>
                    <m:rPr>
                      <m:nor/>
                    </m:rPr>
                    <a:rPr lang="pt-BR" sz="900">
                      <a:latin typeface="Calibri" panose="020F0502020204030204" pitchFamily="34" charset="0"/>
                      <a:ea typeface="Inter" panose="020B0502030000000004" pitchFamily="34" charset="0"/>
                      <a:cs typeface="Calibri" panose="020F0502020204030204" pitchFamily="34" charset="0"/>
                    </a:rPr>
                    <m:t>Demand</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Deposits</m:t>
                  </m:r>
                  <m:r>
                    <m:rPr>
                      <m:nor/>
                    </m:rPr>
                    <a:rPr lang="pt-BR" sz="900">
                      <a:latin typeface="Calibri" panose="020F0502020204030204" pitchFamily="34" charset="0"/>
                      <a:ea typeface="Inter" panose="020B0502030000000004" pitchFamily="34" charset="0"/>
                      <a:cs typeface="Calibri" panose="020F0502020204030204" pitchFamily="34" charset="0"/>
                    </a:rPr>
                    <m:t> + </m:t>
                  </m:r>
                  <m:r>
                    <m:rPr>
                      <m:nor/>
                    </m:rPr>
                    <a:rPr lang="pt-BR" sz="900">
                      <a:latin typeface="Calibri" panose="020F0502020204030204" pitchFamily="34" charset="0"/>
                      <a:ea typeface="Inter" panose="020B0502030000000004" pitchFamily="34" charset="0"/>
                      <a:cs typeface="Calibri" panose="020F0502020204030204" pitchFamily="34" charset="0"/>
                    </a:rPr>
                    <m:t>Time</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Deposits</m:t>
                  </m:r>
                  <m:r>
                    <m:rPr>
                      <m:nor/>
                    </m:rPr>
                    <a:rPr lang="pt-BR" sz="900">
                      <a:latin typeface="Calibri" panose="020F0502020204030204" pitchFamily="34" charset="0"/>
                      <a:ea typeface="Inter" panose="020B0502030000000004" pitchFamily="34" charset="0"/>
                      <a:cs typeface="Calibri" panose="020F0502020204030204" pitchFamily="34" charset="0"/>
                    </a:rPr>
                    <m:t> + </m:t>
                  </m:r>
                  <m:r>
                    <m:rPr>
                      <m:nor/>
                    </m:rPr>
                    <a:rPr lang="pt-BR" sz="900">
                      <a:latin typeface="Calibri" panose="020F0502020204030204" pitchFamily="34" charset="0"/>
                      <a:ea typeface="Inter" panose="020B0502030000000004" pitchFamily="34" charset="0"/>
                      <a:cs typeface="Calibri" panose="020F0502020204030204" pitchFamily="34" charset="0"/>
                    </a:rPr>
                    <m:t>Securities</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Issued</m:t>
                  </m:r>
                  <m:r>
                    <m:rPr>
                      <m:nor/>
                    </m:rPr>
                    <a:rPr lang="pt-BR" sz="900">
                      <a:latin typeface="Calibri" panose="020F0502020204030204" pitchFamily="34" charset="0"/>
                      <a:ea typeface="Inter" panose="020B0502030000000004" pitchFamily="34" charset="0"/>
                      <a:cs typeface="Calibri" panose="020F0502020204030204" pitchFamily="34" charset="0"/>
                    </a:rPr>
                    <m:t> + </m:t>
                  </m:r>
                  <m:r>
                    <m:rPr>
                      <m:nor/>
                    </m:rPr>
                    <a:rPr lang="pt-BR" sz="900">
                      <a:latin typeface="Calibri" panose="020F0502020204030204" pitchFamily="34" charset="0"/>
                      <a:ea typeface="Inter" panose="020B0502030000000004" pitchFamily="34" charset="0"/>
                      <a:cs typeface="Calibri" panose="020F0502020204030204" pitchFamily="34" charset="0"/>
                    </a:rPr>
                    <m:t>Savings</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Deposits</m:t>
                  </m:r>
                  <m:r>
                    <m:rPr>
                      <m:nor/>
                    </m:rPr>
                    <a:rPr lang="pt-BR" sz="900">
                      <a:latin typeface="Calibri" panose="020F0502020204030204" pitchFamily="34" charset="0"/>
                      <a:ea typeface="Inter" panose="020B0502030000000004" pitchFamily="34" charset="0"/>
                      <a:cs typeface="Calibri" panose="020F0502020204030204" pitchFamily="34" charset="0"/>
                    </a:rPr>
                    <m:t> + </m:t>
                  </m:r>
                  <m:r>
                    <m:rPr>
                      <m:nor/>
                    </m:rPr>
                    <a:rPr lang="pt-BR" sz="900">
                      <a:latin typeface="Calibri" panose="020F0502020204030204" pitchFamily="34" charset="0"/>
                      <a:ea typeface="Inter" panose="020B0502030000000004" pitchFamily="34" charset="0"/>
                      <a:cs typeface="Calibri" panose="020F0502020204030204" pitchFamily="34" charset="0"/>
                    </a:rPr>
                    <m:t>Creditors</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by</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Resources</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to</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Release</m:t>
                  </m:r>
                </m:oMath>
              </a14:m>
              <a:r>
                <a:rPr lang="en-US" sz="900">
                  <a:latin typeface="Calibri" panose="020F0502020204030204" pitchFamily="34" charset="0"/>
                  <a:ea typeface="Inter" panose="020B0502030000000004" pitchFamily="34" charset="0"/>
                  <a:cs typeface="Calibri" panose="020F0502020204030204" pitchFamily="34" charset="0"/>
                </a:rPr>
                <a:t> +</a:t>
              </a:r>
              <a:br>
                <a:rPr lang="en-US" sz="900">
                  <a:latin typeface="Calibri" panose="020F0502020204030204" pitchFamily="34" charset="0"/>
                  <a:ea typeface="Inter" panose="020B0502030000000004" pitchFamily="34" charset="0"/>
                  <a:cs typeface="Calibri" panose="020F0502020204030204" pitchFamily="34" charset="0"/>
                </a:rPr>
              </a:br>
              <a:r>
                <a:rPr lang="en-US" sz="900">
                  <a:latin typeface="Calibri" panose="020F0502020204030204" pitchFamily="34" charset="0"/>
                  <a:ea typeface="Inter" panose="020B0502030000000004" pitchFamily="34" charset="0"/>
                  <a:cs typeface="Calibri" panose="020F0502020204030204" pitchFamily="34" charset="0"/>
                </a:rPr>
                <a:t>Securities sold under agreements to repurchase + Interbank deposits + Borrowing and onlending</a:t>
              </a:r>
            </a:p>
            <a:p>
              <a:endParaRPr lang="en-US" sz="500">
                <a:solidFill>
                  <a:schemeClr val="tx1"/>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loan portfolio:</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lgn="just"/>
              <a14:m>
                <m:oMathPara xmlns:m="http://schemas.openxmlformats.org/officeDocument/2006/math">
                  <m:oMathParaPr>
                    <m:jc m:val="centerGroup"/>
                  </m:oMathParaPr>
                  <m:oMath xmlns:m="http://schemas.openxmlformats.org/officeDocument/2006/math">
                    <m:r>
                      <m:rPr>
                        <m:nor/>
                      </m:rPr>
                      <a:rPr lang="pt-BR" sz="900">
                        <a:latin typeface="Calibri" panose="020F0502020204030204" pitchFamily="34" charset="0"/>
                        <a:ea typeface="Inter" panose="020B0502030000000004" pitchFamily="34" charset="0"/>
                        <a:cs typeface="Calibri" panose="020F0502020204030204" pitchFamily="34" charset="0"/>
                      </a:rPr>
                      <m:t>Loans</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and</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Advance</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to</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Customers</m:t>
                    </m:r>
                    <m:r>
                      <m:rPr>
                        <m:nor/>
                      </m:rPr>
                      <a:rPr lang="pt-BR" sz="900">
                        <a:latin typeface="Calibri" panose="020F0502020204030204" pitchFamily="34" charset="0"/>
                        <a:ea typeface="Inter" panose="020B0502030000000004" pitchFamily="34" charset="0"/>
                        <a:cs typeface="Calibri" panose="020F0502020204030204" pitchFamily="34" charset="0"/>
                      </a:rPr>
                      <m:t> + </m:t>
                    </m:r>
                    <m:r>
                      <m:rPr>
                        <m:nor/>
                      </m:rPr>
                      <a:rPr lang="pt-BR" sz="900">
                        <a:latin typeface="Calibri" panose="020F0502020204030204" pitchFamily="34" charset="0"/>
                        <a:ea typeface="Inter" panose="020B0502030000000004" pitchFamily="34" charset="0"/>
                        <a:cs typeface="Calibri" panose="020F0502020204030204" pitchFamily="34" charset="0"/>
                      </a:rPr>
                      <m:t>Loans</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to</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financial</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institutions</m:t>
                    </m:r>
                    <m:r>
                      <m:rPr>
                        <m:nor/>
                      </m:rPr>
                      <a:rPr lang="pt-BR" sz="900">
                        <a:latin typeface="Calibri" panose="020F0502020204030204" pitchFamily="34" charset="0"/>
                        <a:ea typeface="Inter" panose="020B0502030000000004" pitchFamily="34" charset="0"/>
                        <a:cs typeface="Calibri" panose="020F0502020204030204" pitchFamily="34" charset="0"/>
                      </a:rPr>
                      <m:t>  </m:t>
                    </m:r>
                  </m:oMath>
                </m:oMathPara>
              </a14:m>
              <a:endParaRPr lang="en-US" sz="900">
                <a:latin typeface="Calibri" panose="020F0502020204030204" pitchFamily="34" charset="0"/>
                <a:ea typeface="Inter" panose="020B0502030000000004" pitchFamily="34"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margin per active client gross of interest expenses:</a:t>
              </a:r>
            </a:p>
            <a:p>
              <a:endParaRPr lang="en-US" sz="9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r>
                      <m:rPr>
                        <m:sty m:val="p"/>
                      </m:rPr>
                      <a:rPr lang="pt-BR" sz="900">
                        <a:latin typeface="Cambria Math" panose="02040503050406030204" pitchFamily="18" charset="0"/>
                        <a:ea typeface="Inter" panose="020B0502030000000004" pitchFamily="34" charset="0"/>
                      </a:rPr>
                      <m:t>ARPAC</m:t>
                    </m:r>
                    <m:r>
                      <a:rPr lang="pt-BR" sz="90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g</m:t>
                    </m:r>
                    <m:r>
                      <m:rPr>
                        <m:sty m:val="p"/>
                      </m:rPr>
                      <a:rPr lang="pt-BR" sz="900">
                        <a:latin typeface="Cambria Math" panose="02040503050406030204" pitchFamily="18" charset="0"/>
                        <a:ea typeface="Inter" panose="020B0502030000000004" pitchFamily="34" charset="0"/>
                      </a:rPr>
                      <m:t>ross</m:t>
                    </m:r>
                    <m:r>
                      <a:rPr lang="pt-BR" sz="900">
                        <a:latin typeface="Cambria Math" panose="02040503050406030204" pitchFamily="18" charset="0"/>
                        <a:ea typeface="Inter" panose="020B0502030000000004" pitchFamily="34" charset="0"/>
                      </a:rPr>
                      <m:t> </m:t>
                    </m:r>
                    <m:r>
                      <m:rPr>
                        <m:sty m:val="p"/>
                      </m:rPr>
                      <a:rPr lang="pt-BR" sz="900">
                        <a:latin typeface="Cambria Math" panose="02040503050406030204" pitchFamily="18" charset="0"/>
                        <a:ea typeface="Inter" panose="020B0502030000000004" pitchFamily="34" charset="0"/>
                      </a:rPr>
                      <m:t>of</m:t>
                    </m:r>
                    <m:r>
                      <a:rPr lang="pt-BR" sz="90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interest</m:t>
                    </m:r>
                    <m:r>
                      <a:rPr lang="pt-BR" sz="900" b="0" i="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expenses</m:t>
                    </m:r>
                    <m:r>
                      <a:rPr lang="pt-BR" sz="90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C</m:t>
                    </m:r>
                    <m:r>
                      <m:rPr>
                        <m:sty m:val="p"/>
                      </m:rPr>
                      <a:rPr lang="pt-BR" sz="900">
                        <a:latin typeface="Cambria Math" panose="02040503050406030204" pitchFamily="18" charset="0"/>
                        <a:ea typeface="Inter" panose="020B0502030000000004" pitchFamily="34" charset="0"/>
                      </a:rPr>
                      <m:t>ost</m:t>
                    </m:r>
                    <m:r>
                      <a:rPr lang="pt-BR" sz="900" b="0" i="0">
                        <a:latin typeface="Cambria Math" panose="02040503050406030204" pitchFamily="18" charset="0"/>
                        <a:ea typeface="Inter" panose="020B0502030000000004" pitchFamily="34" charset="0"/>
                      </a:rPr>
                      <m:t> </m:t>
                    </m:r>
                    <m:r>
                      <m:rPr>
                        <m:sty m:val="p"/>
                      </m:rPr>
                      <a:rPr lang="pt-BR" sz="900">
                        <a:latin typeface="Cambria Math" panose="02040503050406030204" pitchFamily="18" charset="0"/>
                        <a:ea typeface="Inter" panose="020B0502030000000004" pitchFamily="34" charset="0"/>
                      </a:rPr>
                      <m:t>to</m:t>
                    </m:r>
                    <m:r>
                      <a:rPr lang="pt-BR" sz="900" b="0" i="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Serve</m:t>
                    </m:r>
                  </m:oMath>
                </m:oMathPara>
              </a14:m>
              <a:endParaRPr lang="pt-BR" sz="900" b="1">
                <a:latin typeface="Calibri" panose="020F0502020204030204" pitchFamily="34"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xdr:txBody>
        </xdr:sp>
      </mc:Choice>
      <mc:Fallback xmlns="">
        <xdr:sp macro="" textlink="">
          <xdr:nvSpPr>
            <xdr:cNvPr id="30" name="Retângulo 9">
              <a:extLst>
                <a:ext uri="{FF2B5EF4-FFF2-40B4-BE49-F238E27FC236}">
                  <a16:creationId xmlns:a16="http://schemas.microsoft.com/office/drawing/2014/main" id="{70BBBFDC-97EA-DB78-9935-3D590DAA2910}"/>
                </a:ext>
              </a:extLst>
            </xdr:cNvPr>
            <xdr:cNvSpPr/>
          </xdr:nvSpPr>
          <xdr:spPr>
            <a:xfrm>
              <a:off x="161844" y="21520059"/>
              <a:ext cx="5764771" cy="5519011"/>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Coverage ratio:</a:t>
              </a:r>
            </a:p>
            <a:p>
              <a:endParaRPr lang="en-US" sz="5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r>
                <a:rPr lang="pt-BR" sz="900" i="0">
                  <a:latin typeface="Cambria Math" panose="02040503050406030204" pitchFamily="18" charset="0"/>
                  <a:ea typeface="Cambria Math" panose="02040503050406030204" pitchFamily="18" charset="0"/>
                </a:rPr>
                <a:t>(Provision for expected credit loss)/(</a:t>
              </a:r>
              <a:r>
                <a:rPr lang="pt-BR" sz="900" b="0" i="0">
                  <a:latin typeface="Cambria Math" panose="02040503050406030204" pitchFamily="18" charset="0"/>
                  <a:ea typeface="Cambria Math" panose="02040503050406030204" pitchFamily="18" charset="0"/>
                </a:rPr>
                <a:t>O</a:t>
              </a:r>
              <a:r>
                <a:rPr lang="pt-BR" sz="900" i="0">
                  <a:latin typeface="Cambria Math" panose="02040503050406030204" pitchFamily="18" charset="0"/>
                  <a:ea typeface="Cambria Math" panose="02040503050406030204" pitchFamily="18" charset="0"/>
                </a:rPr>
                <a:t>verdue higher than 90 days)</a:t>
              </a:r>
              <a:endParaRPr lang="en-US" sz="900">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pt-BR" sz="900" b="1">
                  <a:latin typeface="Calibri" panose="020F0502020204030204" pitchFamily="34" charset="0"/>
                  <a:cs typeface="Calibri" panose="020F0502020204030204" pitchFamily="34" charset="0"/>
                </a:rPr>
                <a:t>Earning portfolio (IEP):</a:t>
              </a:r>
            </a:p>
            <a:p>
              <a:pPr algn="ctr"/>
              <a:r>
                <a:rPr lang="pt-BR" sz="900">
                  <a:latin typeface="Calibri" panose="020F0502020204030204" pitchFamily="34" charset="0"/>
                  <a:ea typeface="Inter" panose="020B0502030000000004" pitchFamily="34" charset="0"/>
                  <a:cs typeface="Calibri" panose="020F0502020204030204" pitchFamily="34" charset="0"/>
                </a:rPr>
                <a:t>Earnings Portfolio includes “Amounts due from financial institutions” + “Loans and advances to customers” + “Securities” + “Derivatives” from the IFRS Balance Sheet</a:t>
              </a: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Efficiency ratio:</a:t>
              </a:r>
            </a:p>
            <a:p>
              <a:pPr algn="ctr"/>
              <a:endParaRPr lang="en-US" sz="500">
                <a:latin typeface="Calibri" panose="020F0502020204030204" pitchFamily="34" charset="0"/>
                <a:ea typeface="Cambria Math" panose="02040503050406030204" pitchFamily="18" charset="0"/>
                <a:cs typeface="Calibri" panose="020F0502020204030204" pitchFamily="34" charset="0"/>
              </a:endParaRPr>
            </a:p>
            <a:p>
              <a:pPr algn="ctr"/>
              <a:r>
                <a:rPr lang="pt-BR" sz="900" i="0">
                  <a:latin typeface="Cambria Math" panose="02040503050406030204" pitchFamily="18" charset="0"/>
                  <a:ea typeface="Cambria Math" panose="02040503050406030204" pitchFamily="18" charset="0"/>
                </a:rPr>
                <a:t>█( @Personnel expense+Administrative expenses</a:t>
              </a:r>
              <a:r>
                <a:rPr lang="pt-BR" sz="900" b="0" i="0">
                  <a:latin typeface="Cambria Math" panose="02040503050406030204" pitchFamily="18" charset="0"/>
                  <a:ea typeface="Cambria Math" panose="02040503050406030204" pitchFamily="18" charset="0"/>
                </a:rPr>
                <a:t>+Depreciation and amortization )/(</a:t>
              </a:r>
              <a:r>
                <a:rPr lang="pt-BR" sz="900" i="0">
                  <a:latin typeface="Cambria Math" panose="02040503050406030204" pitchFamily="18" charset="0"/>
                  <a:ea typeface="Cambria Math" panose="02040503050406030204" pitchFamily="18" charset="0"/>
                </a:rPr>
                <a:t>Net Interest Income+Net result from services and comissions+ Other revenue−Tax expense)  </a:t>
              </a:r>
              <a:endParaRPr lang="pt-BR" sz="900" i="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a:p>
              <a:r>
                <a:rPr lang="pt-BR" sz="900" b="1">
                  <a:latin typeface="Calibri" panose="020F0502020204030204" pitchFamily="34" charset="0"/>
                  <a:cs typeface="Calibri" panose="020F0502020204030204" pitchFamily="34" charset="0"/>
                </a:rPr>
                <a:t>Fee income ratio:</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r>
                <a:rPr lang="pt-BR" sz="900" i="0">
                  <a:latin typeface="Cambria Math" panose="02040503050406030204" pitchFamily="18" charset="0"/>
                  <a:ea typeface="Cambria Math" panose="02040503050406030204" pitchFamily="18" charset="0"/>
                </a:rPr>
                <a:t>(</a:t>
              </a:r>
              <a: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Net result from services and commissions + Other revenue)/(</a:t>
              </a:r>
              <a:r>
                <a:rPr lang="pt-BR" sz="900" i="0">
                  <a:latin typeface="Cambria Math" panose="02040503050406030204" pitchFamily="18" charset="0"/>
                  <a:ea typeface="Cambria Math" panose="02040503050406030204" pitchFamily="18" charset="0"/>
                </a:rPr>
                <a:t>Net Interest Income+Net result from services and comissions+ Other revenue−Tax expense)</a:t>
              </a:r>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a:p>
              <a:r>
                <a:rPr lang="pt-BR" sz="900" b="1">
                  <a:latin typeface="Calibri" panose="020F0502020204030204" pitchFamily="34" charset="0"/>
                  <a:cs typeface="Calibri" panose="020F0502020204030204" pitchFamily="34" charset="0"/>
                </a:rPr>
                <a:t>Funding:</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lgn="ctr"/>
              <a:r>
                <a:rPr lang="pt-BR" sz="900" i="0">
                  <a:latin typeface="Cambria Math" panose="02040503050406030204" pitchFamily="18" charset="0"/>
                  <a:ea typeface="Inter" panose="020B0502030000000004" pitchFamily="34" charset="0"/>
                  <a:cs typeface="Calibri" panose="020F0502020204030204" pitchFamily="34" charset="0"/>
                </a:rPr>
                <a:t>"Demand Deposits + Time Deposits + Securities Issued + Savings Deposits + Creditors by Resources to Release</a:t>
              </a:r>
              <a:r>
                <a:rPr lang="en-US" sz="900" i="0">
                  <a:latin typeface="Calibri" panose="020F0502020204030204" pitchFamily="34" charset="0"/>
                  <a:ea typeface="Inter" panose="020B0502030000000004" pitchFamily="34" charset="0"/>
                  <a:cs typeface="Calibri" panose="020F0502020204030204" pitchFamily="34" charset="0"/>
                </a:rPr>
                <a:t>"</a:t>
              </a:r>
              <a:r>
                <a:rPr lang="en-US" sz="900">
                  <a:latin typeface="Calibri" panose="020F0502020204030204" pitchFamily="34" charset="0"/>
                  <a:ea typeface="Inter" panose="020B0502030000000004" pitchFamily="34" charset="0"/>
                  <a:cs typeface="Calibri" panose="020F0502020204030204" pitchFamily="34" charset="0"/>
                </a:rPr>
                <a:t> +</a:t>
              </a:r>
              <a:br>
                <a:rPr lang="en-US" sz="900">
                  <a:latin typeface="Calibri" panose="020F0502020204030204" pitchFamily="34" charset="0"/>
                  <a:ea typeface="Inter" panose="020B0502030000000004" pitchFamily="34" charset="0"/>
                  <a:cs typeface="Calibri" panose="020F0502020204030204" pitchFamily="34" charset="0"/>
                </a:rPr>
              </a:br>
              <a:r>
                <a:rPr lang="en-US" sz="900">
                  <a:latin typeface="Calibri" panose="020F0502020204030204" pitchFamily="34" charset="0"/>
                  <a:ea typeface="Inter" panose="020B0502030000000004" pitchFamily="34" charset="0"/>
                  <a:cs typeface="Calibri" panose="020F0502020204030204" pitchFamily="34" charset="0"/>
                </a:rPr>
                <a:t>Securities sold under agreements to repurchase + Interbank deposits + Borrowing and onlending</a:t>
              </a:r>
            </a:p>
            <a:p>
              <a:endParaRPr lang="en-US" sz="500">
                <a:solidFill>
                  <a:schemeClr val="tx1"/>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loan portfolio:</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lgn="just"/>
              <a:r>
                <a:rPr lang="pt-BR" sz="900" i="0">
                  <a:latin typeface="Cambria Math" panose="02040503050406030204" pitchFamily="18" charset="0"/>
                  <a:ea typeface="Inter" panose="020B0502030000000004" pitchFamily="34" charset="0"/>
                  <a:cs typeface="Calibri" panose="020F0502020204030204" pitchFamily="34" charset="0"/>
                </a:rPr>
                <a:t>"Loans and Advance to Customers + Loans to  financial institutions  </a:t>
              </a:r>
              <a:r>
                <a:rPr lang="en-US" sz="900" i="0">
                  <a:latin typeface="Calibri" panose="020F0502020204030204" pitchFamily="34" charset="0"/>
                  <a:ea typeface="Inter" panose="020B0502030000000004" pitchFamily="34" charset="0"/>
                  <a:cs typeface="Calibri" panose="020F0502020204030204" pitchFamily="34" charset="0"/>
                </a:rPr>
                <a:t>"</a:t>
              </a:r>
              <a:endParaRPr lang="en-US" sz="900">
                <a:latin typeface="Calibri" panose="020F0502020204030204" pitchFamily="34" charset="0"/>
                <a:ea typeface="Inter" panose="020B0502030000000004" pitchFamily="34"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margin per active client gross of interest expenses:</a:t>
              </a:r>
            </a:p>
            <a:p>
              <a:endParaRPr lang="en-US" sz="900" b="1">
                <a:latin typeface="Calibri" panose="020F0502020204030204" pitchFamily="34" charset="0"/>
                <a:cs typeface="Calibri" panose="020F0502020204030204" pitchFamily="34" charset="0"/>
              </a:endParaRPr>
            </a:p>
            <a:p>
              <a:pPr/>
              <a:r>
                <a:rPr lang="pt-BR" sz="900" i="0">
                  <a:latin typeface="Cambria Math" panose="02040503050406030204" pitchFamily="18" charset="0"/>
                  <a:ea typeface="Inter" panose="020B0502030000000004" pitchFamily="34" charset="0"/>
                </a:rPr>
                <a:t>ARPAC </a:t>
              </a:r>
              <a:r>
                <a:rPr lang="pt-BR" sz="900" b="0" i="0">
                  <a:latin typeface="Cambria Math" panose="02040503050406030204" pitchFamily="18" charset="0"/>
                  <a:ea typeface="Inter" panose="020B0502030000000004" pitchFamily="34" charset="0"/>
                </a:rPr>
                <a:t>g</a:t>
              </a:r>
              <a:r>
                <a:rPr lang="pt-BR" sz="900" i="0">
                  <a:latin typeface="Cambria Math" panose="02040503050406030204" pitchFamily="18" charset="0"/>
                  <a:ea typeface="Inter" panose="020B0502030000000004" pitchFamily="34" charset="0"/>
                </a:rPr>
                <a:t>ross of </a:t>
              </a:r>
              <a:r>
                <a:rPr lang="pt-BR" sz="900" b="0" i="0">
                  <a:latin typeface="Cambria Math" panose="02040503050406030204" pitchFamily="18" charset="0"/>
                  <a:ea typeface="Inter" panose="020B0502030000000004" pitchFamily="34" charset="0"/>
                </a:rPr>
                <a:t>interest expenses</a:t>
              </a:r>
              <a:r>
                <a:rPr lang="pt-BR" sz="900" i="0">
                  <a:latin typeface="Cambria Math" panose="02040503050406030204" pitchFamily="18" charset="0"/>
                  <a:ea typeface="Inter" panose="020B0502030000000004" pitchFamily="34" charset="0"/>
                </a:rPr>
                <a:t> –</a:t>
              </a:r>
              <a:r>
                <a:rPr lang="pt-BR" sz="900" b="0" i="0">
                  <a:latin typeface="Cambria Math" panose="02040503050406030204" pitchFamily="18" charset="0"/>
                  <a:ea typeface="Inter" panose="020B0502030000000004" pitchFamily="34" charset="0"/>
                </a:rPr>
                <a:t>C</a:t>
              </a:r>
              <a:r>
                <a:rPr lang="pt-BR" sz="900" i="0">
                  <a:latin typeface="Cambria Math" panose="02040503050406030204" pitchFamily="18" charset="0"/>
                  <a:ea typeface="Inter" panose="020B0502030000000004" pitchFamily="34" charset="0"/>
                </a:rPr>
                <a:t>ost</a:t>
              </a:r>
              <a:r>
                <a:rPr lang="pt-BR" sz="900" b="0" i="0">
                  <a:latin typeface="Cambria Math" panose="02040503050406030204" pitchFamily="18" charset="0"/>
                  <a:ea typeface="Inter" panose="020B0502030000000004" pitchFamily="34" charset="0"/>
                </a:rPr>
                <a:t> </a:t>
              </a:r>
              <a:r>
                <a:rPr lang="pt-BR" sz="900" i="0">
                  <a:latin typeface="Cambria Math" panose="02040503050406030204" pitchFamily="18" charset="0"/>
                  <a:ea typeface="Inter" panose="020B0502030000000004" pitchFamily="34" charset="0"/>
                </a:rPr>
                <a:t>to</a:t>
              </a:r>
              <a:r>
                <a:rPr lang="pt-BR" sz="900" b="0" i="0">
                  <a:latin typeface="Cambria Math" panose="02040503050406030204" pitchFamily="18" charset="0"/>
                  <a:ea typeface="Inter" panose="020B0502030000000004" pitchFamily="34" charset="0"/>
                </a:rPr>
                <a:t> Serve</a:t>
              </a:r>
              <a:endParaRPr lang="pt-BR" sz="900" b="1">
                <a:latin typeface="Calibri" panose="020F0502020204030204" pitchFamily="34"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xdr:txBody>
        </xdr:sp>
      </mc:Fallback>
    </mc:AlternateContent>
    <xdr:clientData/>
  </xdr:twoCellAnchor>
  <xdr:twoCellAnchor>
    <xdr:from>
      <xdr:col>0</xdr:col>
      <xdr:colOff>177988</xdr:colOff>
      <xdr:row>146</xdr:row>
      <xdr:rowOff>79457</xdr:rowOff>
    </xdr:from>
    <xdr:to>
      <xdr:col>7</xdr:col>
      <xdr:colOff>146188</xdr:colOff>
      <xdr:row>176</xdr:row>
      <xdr:rowOff>128025</xdr:rowOff>
    </xdr:to>
    <mc:AlternateContent xmlns:mc="http://schemas.openxmlformats.org/markup-compatibility/2006" xmlns:a14="http://schemas.microsoft.com/office/drawing/2010/main">
      <mc:Choice Requires="a14">
        <xdr:sp macro="" textlink="">
          <xdr:nvSpPr>
            <xdr:cNvPr id="31" name="Retângulo 9">
              <a:extLst>
                <a:ext uri="{FF2B5EF4-FFF2-40B4-BE49-F238E27FC236}">
                  <a16:creationId xmlns:a16="http://schemas.microsoft.com/office/drawing/2014/main" id="{00000000-0008-0000-1600-00001F000000}"/>
                </a:ext>
              </a:extLst>
            </xdr:cNvPr>
            <xdr:cNvSpPr/>
          </xdr:nvSpPr>
          <xdr:spPr>
            <a:xfrm>
              <a:off x="177988" y="26951921"/>
              <a:ext cx="5766026" cy="5570307"/>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Gross margin per active client net of interest expenses:</a:t>
              </a:r>
            </a:p>
            <a:p>
              <a:endParaRPr lang="en-US" sz="9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r>
                      <m:rPr>
                        <m:sty m:val="p"/>
                      </m:rPr>
                      <a:rPr lang="pt-BR" sz="900" i="0">
                        <a:latin typeface="Cambria Math" panose="02040503050406030204" pitchFamily="18" charset="0"/>
                        <a:ea typeface="Inter" panose="020B0502030000000004" pitchFamily="34" charset="0"/>
                      </a:rPr>
                      <m:t>ARPAC</m:t>
                    </m:r>
                    <m:r>
                      <a:rPr lang="pt-BR" sz="900" i="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net</m:t>
                    </m:r>
                    <m:r>
                      <a:rPr lang="pt-BR" sz="900" b="0" i="0">
                        <a:latin typeface="Cambria Math" panose="02040503050406030204" pitchFamily="18" charset="0"/>
                        <a:ea typeface="Inter" panose="020B0502030000000004" pitchFamily="34" charset="0"/>
                      </a:rPr>
                      <m:t>  </m:t>
                    </m:r>
                    <m:r>
                      <m:rPr>
                        <m:sty m:val="p"/>
                      </m:rPr>
                      <a:rPr lang="pt-BR" sz="900" i="0">
                        <a:latin typeface="Cambria Math" panose="02040503050406030204" pitchFamily="18" charset="0"/>
                        <a:ea typeface="Inter" panose="020B0502030000000004" pitchFamily="34" charset="0"/>
                      </a:rPr>
                      <m:t>of</m:t>
                    </m:r>
                    <m:r>
                      <a:rPr lang="pt-BR" sz="900" i="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interest</m:t>
                    </m:r>
                    <m:r>
                      <a:rPr lang="pt-BR" sz="900" b="0" i="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expenses</m:t>
                    </m:r>
                    <m:r>
                      <a:rPr lang="pt-BR" sz="900" i="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C</m:t>
                    </m:r>
                    <m:r>
                      <m:rPr>
                        <m:sty m:val="p"/>
                      </m:rPr>
                      <a:rPr lang="pt-BR" sz="900" i="0">
                        <a:latin typeface="Cambria Math" panose="02040503050406030204" pitchFamily="18" charset="0"/>
                        <a:ea typeface="Inter" panose="020B0502030000000004" pitchFamily="34" charset="0"/>
                      </a:rPr>
                      <m:t>ost</m:t>
                    </m:r>
                    <m:r>
                      <a:rPr lang="pt-BR" sz="900" b="0" i="0">
                        <a:latin typeface="Cambria Math" panose="02040503050406030204" pitchFamily="18" charset="0"/>
                        <a:ea typeface="Inter" panose="020B0502030000000004" pitchFamily="34" charset="0"/>
                      </a:rPr>
                      <m:t> </m:t>
                    </m:r>
                    <m:r>
                      <m:rPr>
                        <m:sty m:val="p"/>
                      </m:rPr>
                      <a:rPr lang="pt-BR" sz="900" i="0">
                        <a:latin typeface="Cambria Math" panose="02040503050406030204" pitchFamily="18" charset="0"/>
                        <a:ea typeface="Inter" panose="020B0502030000000004" pitchFamily="34" charset="0"/>
                      </a:rPr>
                      <m:t>to</m:t>
                    </m:r>
                    <m:r>
                      <a:rPr lang="pt-BR" sz="900" b="0" i="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Serve</m:t>
                    </m:r>
                  </m:oMath>
                </m:oMathPara>
              </a14:m>
              <a:endParaRPr lang="pt-BR" sz="900" b="1">
                <a:latin typeface="Calibri" panose="020F0502020204030204" pitchFamily="34"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a:p>
              <a:r>
                <a:rPr lang="pt-BR" sz="900" b="1">
                  <a:latin typeface="Calibri" panose="020F0502020204030204" pitchFamily="34" charset="0"/>
                  <a:cs typeface="Calibri" panose="020F0502020204030204" pitchFamily="34" charset="0"/>
                </a:rPr>
                <a:t>Net fee income:</a:t>
              </a:r>
            </a:p>
            <a:p>
              <a:endParaRPr lang="pt-BR" sz="900" b="1">
                <a:latin typeface="Calibri" panose="020F0502020204030204" pitchFamily="34" charset="0"/>
                <a:cs typeface="Calibri" panose="020F0502020204030204" pitchFamily="34" charset="0"/>
              </a:endParaRPr>
            </a:p>
            <a:p>
              <a:pPr algn="ctr"/>
              <a:r>
                <a:rPr lang="pt-BR" sz="900">
                  <a:latin typeface="Calibri" panose="020F0502020204030204" pitchFamily="34" charset="0"/>
                  <a:ea typeface="Inter" panose="020B0502030000000004" pitchFamily="34" charset="0"/>
                  <a:cs typeface="Calibri" panose="020F0502020204030204" pitchFamily="34" charset="0"/>
                </a:rPr>
                <a:t>Net result from services and commissions + Other Revenue</a:t>
              </a: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pt-BR" sz="900" b="1">
                  <a:latin typeface="Calibri" panose="020F0502020204030204" pitchFamily="34" charset="0"/>
                  <a:cs typeface="Calibri" panose="020F0502020204030204" pitchFamily="34" charset="0"/>
                </a:rPr>
                <a:t>Net interest income:</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lgn="ctr"/>
              <a14:m>
                <m:oMath xmlns:m="http://schemas.openxmlformats.org/officeDocument/2006/math">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I</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nterest</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Income</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Interest</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Expenses</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Income</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from</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securities</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and</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derivatives</m:t>
                  </m:r>
                </m:oMath>
              </a14:m>
              <a:r>
                <a:rPr lang="pt-BR" sz="900" b="1">
                  <a:latin typeface="Calibri" panose="020F0502020204030204" pitchFamily="34" charset="0"/>
                  <a:ea typeface="Cambria Math" panose="02040503050406030204" pitchFamily="18" charset="0"/>
                  <a:cs typeface="Calibri" panose="020F0502020204030204" pitchFamily="34" charset="0"/>
                </a:rPr>
                <a:t> </a:t>
              </a: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pt-BR" sz="900" b="1">
                  <a:latin typeface="Calibri" panose="020F0502020204030204" pitchFamily="34" charset="0"/>
                  <a:cs typeface="Calibri" panose="020F0502020204030204" pitchFamily="34" charset="0"/>
                </a:rPr>
                <a:t>Net revenue:</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lgn="ctr"/>
              <a:r>
                <a:rPr lang="pt-BR" sz="9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rPr>
                <a:t>Net interest income + Net result from services and commissions + Other revenue</a:t>
              </a:r>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NIM 1.0 – IEP + Non-interest Credit Cards Receivables:</a:t>
              </a:r>
              <a:br>
                <a:rPr lang="en-US" sz="800" b="1">
                  <a:latin typeface="Calibri" panose="020F0502020204030204" pitchFamily="34" charset="0"/>
                  <a:ea typeface="Cambria Math" panose="02040503050406030204" pitchFamily="18" charset="0"/>
                  <a:cs typeface="Calibri" panose="020F0502020204030204" pitchFamily="34" charset="0"/>
                </a:rPr>
              </a:br>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ea typeface="Cambria Math" panose="02040503050406030204" pitchFamily="18" charset="0"/>
                          </a:rPr>
                        </m:ctrlPr>
                      </m:fPr>
                      <m:num>
                        <m:r>
                          <m:rPr>
                            <m:sty m:val="p"/>
                          </m:rPr>
                          <a:rPr lang="pt-BR" sz="900" b="0" i="0">
                            <a:latin typeface="Cambria Math" panose="02040503050406030204" pitchFamily="18" charset="0"/>
                            <a:ea typeface="Cambria Math" panose="02040503050406030204" pitchFamily="18" charset="0"/>
                          </a:rPr>
                          <m:t>Net</m:t>
                        </m:r>
                        <m:r>
                          <a:rPr lang="pt-BR" sz="900" b="0" i="0">
                            <a:latin typeface="Cambria Math" panose="02040503050406030204" pitchFamily="18" charset="0"/>
                            <a:ea typeface="Cambria Math" panose="02040503050406030204" pitchFamily="18" charset="0"/>
                          </a:rPr>
                          <m:t> </m:t>
                        </m:r>
                        <m:r>
                          <m:rPr>
                            <m:sty m:val="p"/>
                          </m:rPr>
                          <a:rPr lang="pt-BR" sz="900" b="0" i="0">
                            <a:latin typeface="Cambria Math" panose="02040503050406030204" pitchFamily="18" charset="0"/>
                            <a:ea typeface="Cambria Math" panose="02040503050406030204" pitchFamily="18" charset="0"/>
                          </a:rPr>
                          <m:t>interest</m:t>
                        </m:r>
                        <m:r>
                          <a:rPr lang="pt-BR" sz="900" b="0" i="0">
                            <a:latin typeface="Cambria Math" panose="02040503050406030204" pitchFamily="18" charset="0"/>
                            <a:ea typeface="Cambria Math" panose="02040503050406030204" pitchFamily="18" charset="0"/>
                          </a:rPr>
                          <m:t> </m:t>
                        </m:r>
                        <m:r>
                          <m:rPr>
                            <m:sty m:val="p"/>
                          </m:rPr>
                          <a:rPr lang="pt-BR" sz="900" b="0" i="0">
                            <a:latin typeface="Cambria Math" panose="02040503050406030204" pitchFamily="18" charset="0"/>
                            <a:ea typeface="Cambria Math" panose="02040503050406030204" pitchFamily="18" charset="0"/>
                          </a:rPr>
                          <m:t>income</m:t>
                        </m:r>
                        <m:r>
                          <a:rPr lang="pt-BR" sz="900" b="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x</m:t>
                        </m:r>
                        <m:r>
                          <a:rPr lang="pt-BR" sz="900" i="0">
                            <a:latin typeface="Cambria Math" panose="02040503050406030204" pitchFamily="18" charset="0"/>
                            <a:ea typeface="Cambria Math" panose="02040503050406030204" pitchFamily="18" charset="0"/>
                          </a:rPr>
                          <m:t> 4</m:t>
                        </m:r>
                      </m:num>
                      <m:den>
                        <m:eqArr>
                          <m:eqArrPr>
                            <m:ctrlPr>
                              <a:rPr lang="pt-BR" sz="900" i="1">
                                <a:latin typeface="Cambria Math" panose="02040503050406030204" pitchFamily="18" charset="0"/>
                                <a:ea typeface="Cambria Math" panose="02040503050406030204" pitchFamily="18" charset="0"/>
                              </a:rPr>
                            </m:ctrlPr>
                          </m:eqArrPr>
                          <m:e>
                            <m:r>
                              <m:rPr>
                                <m:sty m:val="p"/>
                              </m:rPr>
                              <a:rPr lang="pt-BR" sz="900" i="0">
                                <a:latin typeface="Cambria Math" panose="02040503050406030204" pitchFamily="18" charset="0"/>
                                <a:ea typeface="Cambria Math" panose="02040503050406030204" pitchFamily="18" charset="0"/>
                              </a:rPr>
                              <m:t>Average</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of</m:t>
                            </m:r>
                            <m:r>
                              <a:rPr lang="pt-BR" sz="900" i="0">
                                <a:latin typeface="Cambria Math" panose="02040503050406030204" pitchFamily="18" charset="0"/>
                                <a:ea typeface="Cambria Math" panose="02040503050406030204" pitchFamily="18" charset="0"/>
                              </a:rPr>
                              <m:t> 2 </m:t>
                            </m:r>
                            <m:r>
                              <m:rPr>
                                <m:sty m:val="p"/>
                              </m:rPr>
                              <a:rPr lang="pt-BR" sz="900" i="0">
                                <a:latin typeface="Cambria Math" panose="02040503050406030204" pitchFamily="18" charset="0"/>
                                <a:ea typeface="Cambria Math" panose="02040503050406030204" pitchFamily="18" charset="0"/>
                              </a:rPr>
                              <m:t>Last</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Quarters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Earning</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Portfolio</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Loans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to</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financial</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institutions</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Securities</m:t>
                            </m:r>
                            <m:r>
                              <a:rPr lang="pt-BR" sz="900" i="0">
                                <a:latin typeface="Cambria Math" panose="02040503050406030204" pitchFamily="18" charset="0"/>
                                <a:ea typeface="Cambria Math" panose="02040503050406030204" pitchFamily="18" charset="0"/>
                              </a:rPr>
                              <m:t> + </m:t>
                            </m:r>
                          </m:e>
                          <m:e>
                            <m:r>
                              <m:rPr>
                                <m:sty m:val="p"/>
                              </m:rPr>
                              <a:rPr lang="pt-BR" sz="900" i="0">
                                <a:latin typeface="Cambria Math" panose="02040503050406030204" pitchFamily="18" charset="0"/>
                                <a:ea typeface="Cambria Math" panose="02040503050406030204" pitchFamily="18" charset="0"/>
                              </a:rPr>
                              <m:t>Derivatives</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Net</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loans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and</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advances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to</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customers</m:t>
                            </m:r>
                          </m:e>
                        </m:eqArr>
                      </m:den>
                    </m:f>
                  </m:oMath>
                </m:oMathPara>
              </a14:m>
              <a:endParaRPr lang="en-US" sz="900">
                <a:latin typeface="Calibri" panose="020F0502020204030204" pitchFamily="34" charset="0"/>
                <a:ea typeface="Cambria Math" panose="02040503050406030204" pitchFamily="18" charset="0"/>
                <a:cs typeface="Calibri" panose="020F0502020204030204" pitchFamily="34" charset="0"/>
              </a:endParaRPr>
            </a:p>
            <a:p>
              <a:pPr algn="ctr"/>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NIM 2.0 – IEP Only:</a:t>
              </a:r>
            </a:p>
            <a:p>
              <a:endParaRPr lang="en-US" sz="800" b="1" i="1">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ea typeface="Cambria Math" panose="02040503050406030204" pitchFamily="18" charset="0"/>
                          </a:rPr>
                        </m:ctrlPr>
                      </m:fPr>
                      <m:num>
                        <m:r>
                          <m:rPr>
                            <m:sty m:val="p"/>
                          </m:rPr>
                          <a:rPr lang="pt-BR" sz="900">
                            <a:latin typeface="Cambria Math" panose="02040503050406030204" pitchFamily="18" charset="0"/>
                            <a:ea typeface="Cambria Math" panose="02040503050406030204" pitchFamily="18" charset="0"/>
                          </a:rPr>
                          <m:t>Net</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interest</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income</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x</m:t>
                        </m:r>
                        <m:r>
                          <a:rPr lang="pt-BR" sz="900">
                            <a:latin typeface="Cambria Math" panose="02040503050406030204" pitchFamily="18" charset="0"/>
                            <a:ea typeface="Cambria Math" panose="02040503050406030204" pitchFamily="18" charset="0"/>
                          </a:rPr>
                          <m:t> 4</m:t>
                        </m:r>
                      </m:num>
                      <m:den>
                        <m:eqArr>
                          <m:eqArrPr>
                            <m:ctrlPr>
                              <a:rPr lang="pt-BR" sz="900" i="1">
                                <a:latin typeface="Cambria Math" panose="02040503050406030204" pitchFamily="18" charset="0"/>
                                <a:ea typeface="Cambria Math" panose="02040503050406030204" pitchFamily="18" charset="0"/>
                              </a:rPr>
                            </m:ctrlPr>
                          </m:eqArrPr>
                          <m:e>
                            <m:r>
                              <m:rPr>
                                <m:sty m:val="p"/>
                              </m:rPr>
                              <a:rPr lang="pt-BR" sz="900" i="0">
                                <a:latin typeface="Cambria Math" panose="02040503050406030204" pitchFamily="18" charset="0"/>
                                <a:ea typeface="Cambria Math" panose="02040503050406030204" pitchFamily="18" charset="0"/>
                              </a:rPr>
                              <m:t>Average</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of</m:t>
                            </m:r>
                            <m:r>
                              <a:rPr lang="pt-BR" sz="900" i="0">
                                <a:latin typeface="Cambria Math" panose="02040503050406030204" pitchFamily="18" charset="0"/>
                                <a:ea typeface="Cambria Math" panose="02040503050406030204" pitchFamily="18" charset="0"/>
                              </a:rPr>
                              <m:t> 2 </m:t>
                            </m:r>
                            <m:r>
                              <m:rPr>
                                <m:sty m:val="p"/>
                              </m:rPr>
                              <a:rPr lang="pt-BR" sz="900" i="0">
                                <a:latin typeface="Cambria Math" panose="02040503050406030204" pitchFamily="18" charset="0"/>
                                <a:ea typeface="Cambria Math" panose="02040503050406030204" pitchFamily="18" charset="0"/>
                              </a:rPr>
                              <m:t>Last</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Quarters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Earning</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Portfolio</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Non</m:t>
                            </m:r>
                            <m:r>
                              <a:rPr lang="pt-BR" sz="900" i="0">
                                <a:latin typeface="Cambria Math" panose="02040503050406030204" pitchFamily="18" charset="0"/>
                                <a:ea typeface="Cambria Math" panose="02040503050406030204" pitchFamily="18" charset="0"/>
                              </a:rPr>
                              <m:t>−</m:t>
                            </m:r>
                            <m:r>
                              <m:rPr>
                                <m:sty m:val="p"/>
                              </m:rPr>
                              <a:rPr lang="pt-BR" sz="900" i="0">
                                <a:latin typeface="Cambria Math" panose="02040503050406030204" pitchFamily="18" charset="0"/>
                                <a:ea typeface="Cambria Math" panose="02040503050406030204" pitchFamily="18" charset="0"/>
                              </a:rPr>
                              <m:t>interest</m:t>
                            </m:r>
                            <m:r>
                              <a:rPr lang="pt-BR" sz="900" i="0">
                                <a:latin typeface="Cambria Math" panose="02040503050406030204" pitchFamily="18" charset="0"/>
                                <a:ea typeface="Cambria Math" panose="02040503050406030204" pitchFamily="18" charset="0"/>
                              </a:rPr>
                              <m:t>−</m:t>
                            </m:r>
                            <m:r>
                              <m:rPr>
                                <m:sty m:val="p"/>
                              </m:rPr>
                              <a:rPr lang="pt-BR" sz="900" i="0">
                                <a:latin typeface="Cambria Math" panose="02040503050406030204" pitchFamily="18" charset="0"/>
                                <a:ea typeface="Cambria Math" panose="02040503050406030204" pitchFamily="18" charset="0"/>
                              </a:rPr>
                              <m:t>Bearing</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Credit</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Cards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Receivables</m:t>
                            </m:r>
                            <m:r>
                              <a:rPr lang="pt-BR" sz="900" i="0">
                                <a:latin typeface="Cambria Math" panose="02040503050406030204" pitchFamily="18" charset="0"/>
                                <a:ea typeface="Cambria Math" panose="02040503050406030204" pitchFamily="18" charset="0"/>
                              </a:rPr>
                              <m:t> </m:t>
                            </m:r>
                          </m:e>
                          <m:e>
                            <m:r>
                              <a:rPr lang="pt-BR" sz="900" i="0">
                                <a:latin typeface="Cambria Math" panose="02040503050406030204" pitchFamily="18" charset="0"/>
                                <a:ea typeface="Cambria Math" panose="02040503050406030204" pitchFamily="18" charset="0"/>
                              </a:rPr>
                              <m:t>(</m:t>
                            </m:r>
                            <m:r>
                              <m:rPr>
                                <m:sty m:val="p"/>
                              </m:rPr>
                              <a:rPr lang="pt-BR" sz="900" i="0">
                                <a:latin typeface="Cambria Math" panose="02040503050406030204" pitchFamily="18" charset="0"/>
                                <a:ea typeface="Cambria Math" panose="02040503050406030204" pitchFamily="18" charset="0"/>
                              </a:rPr>
                              <m:t>Amounts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due</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from</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financial</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institutions</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Securities</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Derivatives</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Net</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loans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and</m:t>
                            </m:r>
                            <m:r>
                              <a:rPr lang="pt-BR" sz="900" i="0">
                                <a:latin typeface="Cambria Math" panose="02040503050406030204" pitchFamily="18" charset="0"/>
                                <a:ea typeface="Cambria Math" panose="02040503050406030204" pitchFamily="18" charset="0"/>
                              </a:rPr>
                              <m:t> </m:t>
                            </m:r>
                          </m:e>
                          <m:e>
                            <m:r>
                              <m:rPr>
                                <m:sty m:val="p"/>
                              </m:rPr>
                              <a:rPr lang="pt-BR" sz="900" i="0">
                                <a:latin typeface="Cambria Math" panose="02040503050406030204" pitchFamily="18" charset="0"/>
                                <a:ea typeface="Cambria Math" panose="02040503050406030204" pitchFamily="18" charset="0"/>
                              </a:rPr>
                              <m:t>advances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to</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customers</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Credit</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card</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transactor</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portfolio</m:t>
                            </m:r>
                            <m:r>
                              <a:rPr lang="pt-BR" sz="900" i="0">
                                <a:latin typeface="Cambria Math" panose="02040503050406030204" pitchFamily="18" charset="0"/>
                                <a:ea typeface="Cambria Math" panose="02040503050406030204" pitchFamily="18" charset="0"/>
                              </a:rPr>
                              <m:t>)</m:t>
                            </m:r>
                          </m:e>
                        </m:eqArr>
                      </m:den>
                    </m:f>
                    <m:r>
                      <a:rPr lang="pt-BR" sz="900" i="1">
                        <a:latin typeface="Cambria Math" panose="02040503050406030204" pitchFamily="18" charset="0"/>
                        <a:ea typeface="Cambria Math" panose="02040503050406030204" pitchFamily="18" charset="0"/>
                      </a:rPr>
                      <m:t> </m:t>
                    </m:r>
                  </m:oMath>
                </m:oMathPara>
              </a14:m>
              <a:endParaRPr lang="en-US" sz="900" b="1" i="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NPL 15 to 90 days: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ea typeface="Cambria Math" panose="02040503050406030204" pitchFamily="18" charset="0"/>
                          </a:rPr>
                        </m:ctrlPr>
                      </m:fPr>
                      <m:num>
                        <m:r>
                          <m:rPr>
                            <m:sty m:val="p"/>
                          </m:rPr>
                          <a:rPr lang="pt-BR" sz="900" i="0">
                            <a:latin typeface="Cambria Math" panose="02040503050406030204" pitchFamily="18" charset="0"/>
                            <a:ea typeface="Cambria Math" panose="02040503050406030204" pitchFamily="18" charset="0"/>
                          </a:rPr>
                          <m:t>Overdue</m:t>
                        </m:r>
                        <m:r>
                          <a:rPr lang="pt-BR" sz="900" i="0">
                            <a:latin typeface="Cambria Math" panose="02040503050406030204" pitchFamily="18" charset="0"/>
                            <a:ea typeface="Cambria Math" panose="02040503050406030204" pitchFamily="18" charset="0"/>
                          </a:rPr>
                          <m:t> 15 </m:t>
                        </m:r>
                        <m:r>
                          <m:rPr>
                            <m:sty m:val="p"/>
                          </m:rPr>
                          <a:rPr lang="pt-BR" sz="900" b="0" i="0">
                            <a:latin typeface="Cambria Math" panose="02040503050406030204" pitchFamily="18" charset="0"/>
                            <a:ea typeface="Cambria Math" panose="02040503050406030204" pitchFamily="18" charset="0"/>
                          </a:rPr>
                          <m:t>to</m:t>
                        </m:r>
                        <m:r>
                          <a:rPr lang="pt-BR" sz="900" b="0" i="0">
                            <a:latin typeface="Cambria Math" panose="02040503050406030204" pitchFamily="18" charset="0"/>
                            <a:ea typeface="Cambria Math" panose="02040503050406030204" pitchFamily="18" charset="0"/>
                          </a:rPr>
                          <m:t> 90 </m:t>
                        </m:r>
                        <m:r>
                          <m:rPr>
                            <m:sty m:val="p"/>
                          </m:rPr>
                          <a:rPr lang="pt-BR" sz="900" i="0">
                            <a:latin typeface="Cambria Math" panose="02040503050406030204" pitchFamily="18" charset="0"/>
                            <a:ea typeface="Cambria Math" panose="02040503050406030204" pitchFamily="18" charset="0"/>
                          </a:rPr>
                          <m:t>days</m:t>
                        </m:r>
                      </m:num>
                      <m:den>
                        <m:r>
                          <m:rPr>
                            <m:sty m:val="p"/>
                          </m:rPr>
                          <a:rPr lang="pt-BR" sz="900" i="0">
                            <a:latin typeface="Cambria Math" panose="02040503050406030204" pitchFamily="18" charset="0"/>
                            <a:ea typeface="Cambria Math" panose="02040503050406030204" pitchFamily="18" charset="0"/>
                          </a:rPr>
                          <m:t>Loans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and</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Advance</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to</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Costumers</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Loans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to</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financial</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institutions</m:t>
                        </m:r>
                        <m:r>
                          <a:rPr lang="pt-BR" sz="900" i="0">
                            <a:latin typeface="Cambria Math" panose="02040503050406030204" pitchFamily="18" charset="0"/>
                            <a:ea typeface="Cambria Math" panose="02040503050406030204" pitchFamily="18" charset="0"/>
                          </a:rPr>
                          <m:t>  </m:t>
                        </m:r>
                      </m:den>
                    </m:f>
                    <m:r>
                      <a:rPr lang="pt-BR" sz="900" b="0" i="1">
                        <a:latin typeface="Cambria Math" panose="02040503050406030204" pitchFamily="18" charset="0"/>
                        <a:ea typeface="Cambria Math" panose="02040503050406030204" pitchFamily="18" charset="0"/>
                      </a:rPr>
                      <m:t> </m:t>
                    </m:r>
                  </m:oMath>
                </m:oMathPara>
              </a14:m>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pt-BR" sz="100">
                <a:solidFill>
                  <a:schemeClr val="tx1">
                    <a:lumMod val="85000"/>
                    <a:lumOff val="15000"/>
                  </a:schemeClr>
                </a:solidFill>
                <a:highlight>
                  <a:srgbClr val="FFFF00"/>
                </a:highlight>
                <a:latin typeface="Calibri" panose="020F0502020204030204" pitchFamily="34" charset="0"/>
                <a:ea typeface="Cambria Math" panose="02040503050406030204" pitchFamily="18" charset="0"/>
                <a:cs typeface="Calibri" panose="020F0502020204030204" pitchFamily="34" charset="0"/>
              </a:endParaRPr>
            </a:p>
          </xdr:txBody>
        </xdr:sp>
      </mc:Choice>
      <mc:Fallback xmlns="">
        <xdr:sp macro="" textlink="">
          <xdr:nvSpPr>
            <xdr:cNvPr id="31" name="Retângulo 9">
              <a:extLst>
                <a:ext uri="{FF2B5EF4-FFF2-40B4-BE49-F238E27FC236}">
                  <a16:creationId xmlns:a16="http://schemas.microsoft.com/office/drawing/2014/main" id="{E053E71D-69F7-C852-2686-4DDCCC5EB831}"/>
                </a:ext>
              </a:extLst>
            </xdr:cNvPr>
            <xdr:cNvSpPr/>
          </xdr:nvSpPr>
          <xdr:spPr>
            <a:xfrm>
              <a:off x="177988" y="26951921"/>
              <a:ext cx="5766026" cy="5570307"/>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Gross margin per active client net of interest expenses:</a:t>
              </a:r>
            </a:p>
            <a:p>
              <a:endParaRPr lang="en-US" sz="900" b="1">
                <a:latin typeface="Calibri" panose="020F0502020204030204" pitchFamily="34" charset="0"/>
                <a:cs typeface="Calibri" panose="020F0502020204030204" pitchFamily="34" charset="0"/>
              </a:endParaRPr>
            </a:p>
            <a:p>
              <a:pPr/>
              <a:r>
                <a:rPr lang="pt-BR" sz="900" i="0">
                  <a:latin typeface="Cambria Math" panose="02040503050406030204" pitchFamily="18" charset="0"/>
                  <a:ea typeface="Inter" panose="020B0502030000000004" pitchFamily="34" charset="0"/>
                </a:rPr>
                <a:t>ARPAC </a:t>
              </a:r>
              <a:r>
                <a:rPr lang="pt-BR" sz="900" b="0" i="0">
                  <a:latin typeface="Cambria Math" panose="02040503050406030204" pitchFamily="18" charset="0"/>
                  <a:ea typeface="Inter" panose="020B0502030000000004" pitchFamily="34" charset="0"/>
                </a:rPr>
                <a:t>net  </a:t>
              </a:r>
              <a:r>
                <a:rPr lang="pt-BR" sz="900" i="0">
                  <a:latin typeface="Cambria Math" panose="02040503050406030204" pitchFamily="18" charset="0"/>
                  <a:ea typeface="Inter" panose="020B0502030000000004" pitchFamily="34" charset="0"/>
                </a:rPr>
                <a:t>of </a:t>
              </a:r>
              <a:r>
                <a:rPr lang="pt-BR" sz="900" b="0" i="0">
                  <a:latin typeface="Cambria Math" panose="02040503050406030204" pitchFamily="18" charset="0"/>
                  <a:ea typeface="Inter" panose="020B0502030000000004" pitchFamily="34" charset="0"/>
                </a:rPr>
                <a:t>interest expenses</a:t>
              </a:r>
              <a:r>
                <a:rPr lang="pt-BR" sz="900" i="0">
                  <a:latin typeface="Cambria Math" panose="02040503050406030204" pitchFamily="18" charset="0"/>
                  <a:ea typeface="Inter" panose="020B0502030000000004" pitchFamily="34" charset="0"/>
                </a:rPr>
                <a:t> –</a:t>
              </a:r>
              <a:r>
                <a:rPr lang="pt-BR" sz="900" b="0" i="0">
                  <a:latin typeface="Cambria Math" panose="02040503050406030204" pitchFamily="18" charset="0"/>
                  <a:ea typeface="Inter" panose="020B0502030000000004" pitchFamily="34" charset="0"/>
                </a:rPr>
                <a:t>C</a:t>
              </a:r>
              <a:r>
                <a:rPr lang="pt-BR" sz="900" i="0">
                  <a:latin typeface="Cambria Math" panose="02040503050406030204" pitchFamily="18" charset="0"/>
                  <a:ea typeface="Inter" panose="020B0502030000000004" pitchFamily="34" charset="0"/>
                </a:rPr>
                <a:t>ost</a:t>
              </a:r>
              <a:r>
                <a:rPr lang="pt-BR" sz="900" b="0" i="0">
                  <a:latin typeface="Cambria Math" panose="02040503050406030204" pitchFamily="18" charset="0"/>
                  <a:ea typeface="Inter" panose="020B0502030000000004" pitchFamily="34" charset="0"/>
                </a:rPr>
                <a:t> </a:t>
              </a:r>
              <a:r>
                <a:rPr lang="pt-BR" sz="900" i="0">
                  <a:latin typeface="Cambria Math" panose="02040503050406030204" pitchFamily="18" charset="0"/>
                  <a:ea typeface="Inter" panose="020B0502030000000004" pitchFamily="34" charset="0"/>
                </a:rPr>
                <a:t>to</a:t>
              </a:r>
              <a:r>
                <a:rPr lang="pt-BR" sz="900" b="0" i="0">
                  <a:latin typeface="Cambria Math" panose="02040503050406030204" pitchFamily="18" charset="0"/>
                  <a:ea typeface="Inter" panose="020B0502030000000004" pitchFamily="34" charset="0"/>
                </a:rPr>
                <a:t> Serve</a:t>
              </a:r>
              <a:endParaRPr lang="pt-BR" sz="900" b="1">
                <a:latin typeface="Calibri" panose="020F0502020204030204" pitchFamily="34"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a:p>
              <a:r>
                <a:rPr lang="pt-BR" sz="900" b="1">
                  <a:latin typeface="Calibri" panose="020F0502020204030204" pitchFamily="34" charset="0"/>
                  <a:cs typeface="Calibri" panose="020F0502020204030204" pitchFamily="34" charset="0"/>
                </a:rPr>
                <a:t>Net fee income:</a:t>
              </a:r>
            </a:p>
            <a:p>
              <a:endParaRPr lang="pt-BR" sz="900" b="1">
                <a:latin typeface="Calibri" panose="020F0502020204030204" pitchFamily="34" charset="0"/>
                <a:cs typeface="Calibri" panose="020F0502020204030204" pitchFamily="34" charset="0"/>
              </a:endParaRPr>
            </a:p>
            <a:p>
              <a:pPr algn="ctr"/>
              <a:r>
                <a:rPr lang="pt-BR" sz="900">
                  <a:latin typeface="Calibri" panose="020F0502020204030204" pitchFamily="34" charset="0"/>
                  <a:ea typeface="Inter" panose="020B0502030000000004" pitchFamily="34" charset="0"/>
                  <a:cs typeface="Calibri" panose="020F0502020204030204" pitchFamily="34" charset="0"/>
                </a:rPr>
                <a:t>Net result from services and commissions + Other Revenue</a:t>
              </a: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pt-BR" sz="900" b="1">
                  <a:latin typeface="Calibri" panose="020F0502020204030204" pitchFamily="34" charset="0"/>
                  <a:cs typeface="Calibri" panose="020F0502020204030204" pitchFamily="34" charset="0"/>
                </a:rPr>
                <a:t>Net interest income:</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lgn="ctr"/>
              <a: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I</a:t>
              </a:r>
              <a: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nterest Income+Interest Expenses+Income from securities and derivatives</a:t>
              </a:r>
              <a:r>
                <a:rPr lang="pt-BR" sz="900" b="1">
                  <a:latin typeface="Calibri" panose="020F0502020204030204" pitchFamily="34" charset="0"/>
                  <a:ea typeface="Cambria Math" panose="02040503050406030204" pitchFamily="18" charset="0"/>
                  <a:cs typeface="Calibri" panose="020F0502020204030204" pitchFamily="34" charset="0"/>
                </a:rPr>
                <a:t> </a:t>
              </a: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pt-BR" sz="900" b="1">
                  <a:latin typeface="Calibri" panose="020F0502020204030204" pitchFamily="34" charset="0"/>
                  <a:cs typeface="Calibri" panose="020F0502020204030204" pitchFamily="34" charset="0"/>
                </a:rPr>
                <a:t>Net revenue:</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lgn="ctr"/>
              <a:r>
                <a:rPr lang="pt-BR" sz="9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rPr>
                <a:t>Net interest income + Net result from services and commissions + Other revenue</a:t>
              </a:r>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NIM 1.0 – IEP + Non-interest Credit Cards Receivables:</a:t>
              </a:r>
              <a:br>
                <a:rPr lang="en-US" sz="800" b="1">
                  <a:latin typeface="Calibri" panose="020F0502020204030204" pitchFamily="34" charset="0"/>
                  <a:ea typeface="Cambria Math" panose="02040503050406030204" pitchFamily="18" charset="0"/>
                  <a:cs typeface="Calibri" panose="020F0502020204030204" pitchFamily="34" charset="0"/>
                </a:rPr>
              </a:br>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r>
                <a:rPr lang="pt-BR" sz="900" i="0">
                  <a:latin typeface="Cambria Math" panose="02040503050406030204" pitchFamily="18" charset="0"/>
                  <a:ea typeface="Cambria Math" panose="02040503050406030204" pitchFamily="18" charset="0"/>
                </a:rPr>
                <a:t>(</a:t>
              </a:r>
              <a:r>
                <a:rPr lang="pt-BR" sz="900" b="0" i="0">
                  <a:latin typeface="Cambria Math" panose="02040503050406030204" pitchFamily="18" charset="0"/>
                  <a:ea typeface="Cambria Math" panose="02040503050406030204" pitchFamily="18" charset="0"/>
                </a:rPr>
                <a:t>Net interest income </a:t>
              </a:r>
              <a:r>
                <a:rPr lang="pt-BR" sz="900" i="0">
                  <a:latin typeface="Cambria Math" panose="02040503050406030204" pitchFamily="18" charset="0"/>
                  <a:ea typeface="Cambria Math" panose="02040503050406030204" pitchFamily="18" charset="0"/>
                </a:rPr>
                <a:t>x 4)/█(Average of 2 Last Quarters Earning Portfolio (Loans to financial institutions + Securities + @Derivatives + Net loans and advances to customers)</a:t>
              </a:r>
              <a:endParaRPr lang="en-US" sz="900">
                <a:latin typeface="Calibri" panose="020F0502020204030204" pitchFamily="34" charset="0"/>
                <a:ea typeface="Cambria Math" panose="02040503050406030204" pitchFamily="18" charset="0"/>
                <a:cs typeface="Calibri" panose="020F0502020204030204" pitchFamily="34" charset="0"/>
              </a:endParaRPr>
            </a:p>
            <a:p>
              <a:pPr algn="ctr"/>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NIM 2.0 – IEP Only:</a:t>
              </a:r>
            </a:p>
            <a:p>
              <a:endParaRPr lang="en-US" sz="800" b="1" i="1">
                <a:latin typeface="Calibri" panose="020F0502020204030204" pitchFamily="34" charset="0"/>
                <a:ea typeface="Cambria Math" panose="02040503050406030204" pitchFamily="18" charset="0"/>
                <a:cs typeface="Calibri" panose="020F0502020204030204" pitchFamily="34" charset="0"/>
              </a:endParaRPr>
            </a:p>
            <a:p>
              <a:pPr algn="ctr"/>
              <a:r>
                <a:rPr lang="pt-BR" sz="900" i="0">
                  <a:latin typeface="Cambria Math" panose="02040503050406030204" pitchFamily="18" charset="0"/>
                  <a:ea typeface="Cambria Math" panose="02040503050406030204" pitchFamily="18" charset="0"/>
                </a:rPr>
                <a:t>(Net interest income x 4)/█(Average of 2 Last Quarters Earning Portfolio − Non−interest−Bearing Credit Cards Receivables @(Amounts due from financial institutions + Securities + Derivatives + Net loans and @advances to customers – Credit card transactor portfolio))  </a:t>
              </a:r>
              <a:endParaRPr lang="en-US" sz="900" b="1" i="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NPL 15 to 90 days: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pt-BR" sz="900" i="0">
                  <a:latin typeface="Cambria Math" panose="02040503050406030204" pitchFamily="18" charset="0"/>
                  <a:ea typeface="Cambria Math" panose="02040503050406030204" pitchFamily="18" charset="0"/>
                </a:rPr>
                <a:t>(Overdue 15 </a:t>
              </a:r>
              <a:r>
                <a:rPr lang="pt-BR" sz="900" b="0" i="0">
                  <a:latin typeface="Cambria Math" panose="02040503050406030204" pitchFamily="18" charset="0"/>
                  <a:ea typeface="Cambria Math" panose="02040503050406030204" pitchFamily="18" charset="0"/>
                </a:rPr>
                <a:t>to 90 </a:t>
              </a:r>
              <a:r>
                <a:rPr lang="pt-BR" sz="900" i="0">
                  <a:latin typeface="Cambria Math" panose="02040503050406030204" pitchFamily="18" charset="0"/>
                  <a:ea typeface="Cambria Math" panose="02040503050406030204" pitchFamily="18" charset="0"/>
                </a:rPr>
                <a:t>days)/(Loans and Advance to Costumers + Loans to  financial institutions  )</a:t>
              </a:r>
              <a:r>
                <a:rPr lang="pt-BR" sz="900" b="0" i="0">
                  <a:latin typeface="Cambria Math" panose="02040503050406030204" pitchFamily="18" charset="0"/>
                  <a:ea typeface="Cambria Math" panose="02040503050406030204" pitchFamily="18" charset="0"/>
                </a:rPr>
                <a:t>  </a:t>
              </a:r>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pt-BR" sz="100">
                <a:solidFill>
                  <a:schemeClr val="tx1">
                    <a:lumMod val="85000"/>
                    <a:lumOff val="15000"/>
                  </a:schemeClr>
                </a:solidFill>
                <a:highlight>
                  <a:srgbClr val="FFFF00"/>
                </a:highlight>
                <a:latin typeface="Calibri" panose="020F0502020204030204" pitchFamily="34" charset="0"/>
                <a:ea typeface="Cambria Math" panose="02040503050406030204" pitchFamily="18" charset="0"/>
                <a:cs typeface="Calibri" panose="020F0502020204030204" pitchFamily="34" charset="0"/>
              </a:endParaRPr>
            </a:p>
          </xdr:txBody>
        </xdr:sp>
      </mc:Fallback>
    </mc:AlternateContent>
    <xdr:clientData/>
  </xdr:twoCellAnchor>
  <xdr:twoCellAnchor>
    <xdr:from>
      <xdr:col>0</xdr:col>
      <xdr:colOff>245533</xdr:colOff>
      <xdr:row>176</xdr:row>
      <xdr:rowOff>135467</xdr:rowOff>
    </xdr:from>
    <xdr:to>
      <xdr:col>7</xdr:col>
      <xdr:colOff>127000</xdr:colOff>
      <xdr:row>211</xdr:row>
      <xdr:rowOff>107373</xdr:rowOff>
    </xdr:to>
    <mc:AlternateContent xmlns:mc="http://schemas.openxmlformats.org/markup-compatibility/2006" xmlns:a14="http://schemas.microsoft.com/office/drawing/2010/main">
      <mc:Choice Requires="a14">
        <xdr:sp macro="" textlink="">
          <xdr:nvSpPr>
            <xdr:cNvPr id="36" name="Retângulo 9">
              <a:extLst>
                <a:ext uri="{FF2B5EF4-FFF2-40B4-BE49-F238E27FC236}">
                  <a16:creationId xmlns:a16="http://schemas.microsoft.com/office/drawing/2014/main" id="{00000000-0008-0000-1600-000024000000}"/>
                </a:ext>
              </a:extLst>
            </xdr:cNvPr>
            <xdr:cNvSpPr/>
          </xdr:nvSpPr>
          <xdr:spPr>
            <a:xfrm>
              <a:off x="245533" y="32529670"/>
              <a:ext cx="5679293" cy="6413935"/>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NPL &gt; 90 days: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900" i="1">
                            <a:latin typeface="Cambria Math" panose="02040503050406030204" pitchFamily="18" charset="0"/>
                            <a:ea typeface="Cambria Math" panose="02040503050406030204" pitchFamily="18" charset="0"/>
                          </a:rPr>
                        </m:ctrlPr>
                      </m:fPr>
                      <m:num>
                        <m:r>
                          <m:rPr>
                            <m:sty m:val="p"/>
                          </m:rPr>
                          <a:rPr lang="en-US" sz="900" i="0">
                            <a:latin typeface="Cambria Math" panose="02040503050406030204" pitchFamily="18" charset="0"/>
                            <a:ea typeface="Cambria Math" panose="02040503050406030204" pitchFamily="18" charset="0"/>
                          </a:rPr>
                          <m:t>Overdue</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higher</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than</m:t>
                        </m:r>
                        <m:r>
                          <a:rPr lang="en-US" sz="900" i="0">
                            <a:latin typeface="Cambria Math" panose="02040503050406030204" pitchFamily="18" charset="0"/>
                            <a:ea typeface="Cambria Math" panose="02040503050406030204" pitchFamily="18" charset="0"/>
                          </a:rPr>
                          <m:t> 90 </m:t>
                        </m:r>
                        <m:r>
                          <m:rPr>
                            <m:sty m:val="p"/>
                          </m:rPr>
                          <a:rPr lang="en-US" sz="900" i="0">
                            <a:latin typeface="Cambria Math" panose="02040503050406030204" pitchFamily="18" charset="0"/>
                            <a:ea typeface="Cambria Math" panose="02040503050406030204" pitchFamily="18" charset="0"/>
                          </a:rPr>
                          <m:t>days</m:t>
                        </m:r>
                      </m:num>
                      <m:den>
                        <m:r>
                          <m:rPr>
                            <m:sty m:val="p"/>
                          </m:rPr>
                          <a:rPr lang="en-US" sz="900" i="0">
                            <a:latin typeface="Cambria Math" panose="02040503050406030204" pitchFamily="18" charset="0"/>
                            <a:ea typeface="Cambria Math" panose="02040503050406030204" pitchFamily="18" charset="0"/>
                          </a:rPr>
                          <m:t>Loans</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and</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Advance</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to</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Costumers</m:t>
                        </m:r>
                        <m:r>
                          <a:rPr lang="en-US" sz="900" i="0">
                            <a:latin typeface="Cambria Math" panose="02040503050406030204" pitchFamily="18" charset="0"/>
                            <a:ea typeface="Cambria Math" panose="02040503050406030204" pitchFamily="18" charset="0"/>
                          </a:rPr>
                          <m:t> + </m:t>
                        </m:r>
                        <m:r>
                          <m:rPr>
                            <m:sty m:val="p"/>
                          </m:rPr>
                          <a:rPr lang="en-US" sz="900" i="0">
                            <a:latin typeface="Cambria Math" panose="02040503050406030204" pitchFamily="18" charset="0"/>
                            <a:ea typeface="Cambria Math" panose="02040503050406030204" pitchFamily="18" charset="0"/>
                          </a:rPr>
                          <m:t>Loans</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to</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financial</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institutions</m:t>
                        </m:r>
                        <m:r>
                          <a:rPr lang="en-US" sz="900" i="0">
                            <a:latin typeface="Cambria Math" panose="02040503050406030204" pitchFamily="18" charset="0"/>
                            <a:ea typeface="Cambria Math" panose="02040503050406030204" pitchFamily="18" charset="0"/>
                          </a:rPr>
                          <m:t>  </m:t>
                        </m:r>
                      </m:den>
                    </m:f>
                  </m:oMath>
                </m:oMathPara>
              </a14:m>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NPL formation:</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900" i="1">
                            <a:latin typeface="Cambria Math" panose="02040503050406030204" pitchFamily="18" charset="0"/>
                            <a:ea typeface="Cambria Math" panose="02040503050406030204" pitchFamily="18" charset="0"/>
                          </a:rPr>
                        </m:ctrlPr>
                      </m:fPr>
                      <m:num>
                        <m:eqArr>
                          <m:eqArrPr>
                            <m:ctrlPr>
                              <a:rPr lang="en-US" sz="900" i="1">
                                <a:latin typeface="Cambria Math" panose="02040503050406030204" pitchFamily="18" charset="0"/>
                                <a:ea typeface="Cambria Math" panose="02040503050406030204" pitchFamily="18" charset="0"/>
                              </a:rPr>
                            </m:ctrlPr>
                          </m:eqArrPr>
                          <m:e>
                            <m:r>
                              <m:rPr>
                                <m:sty m:val="p"/>
                              </m:rPr>
                              <a:rPr lang="en-US" sz="900">
                                <a:latin typeface="Cambria Math" panose="02040503050406030204" pitchFamily="18" charset="0"/>
                                <a:ea typeface="Cambria Math" panose="02040503050406030204" pitchFamily="18" charset="0"/>
                              </a:rPr>
                              <m:t>Overdue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balance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higher</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than</m:t>
                            </m:r>
                            <m:r>
                              <a:rPr lang="en-US" sz="900">
                                <a:latin typeface="Cambria Math" panose="02040503050406030204" pitchFamily="18" charset="0"/>
                                <a:ea typeface="Cambria Math" panose="02040503050406030204" pitchFamily="18" charset="0"/>
                              </a:rPr>
                              <m:t> 90 </m:t>
                            </m:r>
                            <m:r>
                              <m:rPr>
                                <m:sty m:val="p"/>
                              </m:rPr>
                              <a:rPr lang="en-US" sz="900">
                                <a:latin typeface="Cambria Math" panose="02040503050406030204" pitchFamily="18" charset="0"/>
                                <a:ea typeface="Cambria Math" panose="02040503050406030204" pitchFamily="18" charset="0"/>
                              </a:rPr>
                              <m:t>days</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the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current</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quarter</m:t>
                            </m:r>
                            <m:r>
                              <a:rPr lang="en-US" sz="900">
                                <a:latin typeface="Cambria Math" panose="02040503050406030204" pitchFamily="18" charset="0"/>
                                <a:ea typeface="Cambria Math" panose="02040503050406030204" pitchFamily="18" charset="0"/>
                              </a:rPr>
                              <m:t> –</m:t>
                            </m:r>
                          </m:e>
                          <m:e>
                            <m:r>
                              <m:rPr>
                                <m:sty m:val="p"/>
                              </m:rPr>
                              <a:rPr lang="en-US" sz="900">
                                <a:latin typeface="Cambria Math" panose="02040503050406030204" pitchFamily="18" charset="0"/>
                                <a:ea typeface="Cambria Math" panose="02040503050406030204" pitchFamily="18" charset="0"/>
                              </a:rPr>
                              <m:t>Overdue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balance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higher</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than</m:t>
                            </m:r>
                            <m:r>
                              <a:rPr lang="en-US" sz="900">
                                <a:latin typeface="Cambria Math" panose="02040503050406030204" pitchFamily="18" charset="0"/>
                                <a:ea typeface="Cambria Math" panose="02040503050406030204" pitchFamily="18" charset="0"/>
                              </a:rPr>
                              <m:t> 90 </m:t>
                            </m:r>
                            <m:r>
                              <m:rPr>
                                <m:sty m:val="p"/>
                              </m:rPr>
                              <a:rPr lang="en-US" sz="900">
                                <a:latin typeface="Cambria Math" panose="02040503050406030204" pitchFamily="18" charset="0"/>
                                <a:ea typeface="Cambria Math" panose="02040503050406030204" pitchFamily="18" charset="0"/>
                              </a:rPr>
                              <m:t>days</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inthe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previous</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quarter</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Write</m:t>
                            </m:r>
                            <m:r>
                              <a:rPr lang="en-US" sz="900">
                                <a:latin typeface="Cambria Math" panose="02040503050406030204" pitchFamily="18" charset="0"/>
                                <a:ea typeface="Cambria Math" panose="02040503050406030204" pitchFamily="18" charset="0"/>
                              </a:rPr>
                              <m:t>−</m:t>
                            </m:r>
                            <m:r>
                              <m:rPr>
                                <m:sty m:val="p"/>
                              </m:rPr>
                              <a:rPr lang="en-US" sz="900">
                                <a:latin typeface="Cambria Math" panose="02040503050406030204" pitchFamily="18" charset="0"/>
                                <a:ea typeface="Cambria Math" panose="02040503050406030204" pitchFamily="18" charset="0"/>
                              </a:rPr>
                              <m:t>off</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change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the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current</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quarter</m:t>
                            </m:r>
                          </m:e>
                        </m:eqArr>
                      </m:num>
                      <m:den>
                        <m:r>
                          <m:rPr>
                            <m:sty m:val="p"/>
                          </m:rPr>
                          <a:rPr lang="en-US" sz="900" b="0" i="0">
                            <a:latin typeface="Cambria Math" panose="02040503050406030204" pitchFamily="18" charset="0"/>
                            <a:ea typeface="Cambria Math" panose="02040503050406030204" pitchFamily="18" charset="0"/>
                          </a:rPr>
                          <m:t>Total</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loans</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and</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advance</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to</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customers</m:t>
                        </m:r>
                        <m:r>
                          <a:rPr lang="en-US" sz="900" b="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in</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the</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previous</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quarter</m:t>
                        </m:r>
                      </m:den>
                    </m:f>
                  </m:oMath>
                </m:oMathPara>
              </a14:m>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Personal efficiency ratio:</a:t>
              </a:r>
            </a:p>
            <a:p>
              <a:pPr algn="ctr"/>
              <a:endParaRPr lang="en-US" sz="500">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en-US" sz="900" i="1">
                            <a:latin typeface="Cambria Math" panose="02040503050406030204" pitchFamily="18" charset="0"/>
                            <a:ea typeface="Cambria Math" panose="02040503050406030204" pitchFamily="18" charset="0"/>
                          </a:rPr>
                        </m:ctrlPr>
                      </m:fPr>
                      <m:num>
                        <m:eqArr>
                          <m:eqArrPr>
                            <m:ctrlPr>
                              <a:rPr lang="en-US" sz="900" i="1">
                                <a:latin typeface="Cambria Math" panose="02040503050406030204" pitchFamily="18" charset="0"/>
                                <a:ea typeface="Cambria Math" panose="02040503050406030204" pitchFamily="18" charset="0"/>
                              </a:rPr>
                            </m:ctrlPr>
                          </m:eqArrPr>
                          <m:e>
                            <m:r>
                              <a:rPr lang="en-US" sz="900" i="0">
                                <a:latin typeface="Cambria Math" panose="02040503050406030204" pitchFamily="18" charset="0"/>
                                <a:ea typeface="Cambria Math" panose="02040503050406030204" pitchFamily="18" charset="0"/>
                              </a:rPr>
                              <m:t> </m:t>
                            </m:r>
                          </m:e>
                          <m:e>
                            <m:r>
                              <m:rPr>
                                <m:sty m:val="p"/>
                              </m:rPr>
                              <a:rPr lang="en-US" sz="900" i="0">
                                <a:latin typeface="Cambria Math" panose="02040503050406030204" pitchFamily="18" charset="0"/>
                                <a:ea typeface="Cambria Math" panose="02040503050406030204" pitchFamily="18" charset="0"/>
                              </a:rPr>
                              <m:t>Person</m:t>
                            </m:r>
                            <m:r>
                              <m:rPr>
                                <m:sty m:val="p"/>
                              </m:rPr>
                              <a:rPr lang="en-US" sz="900" b="0" i="0">
                                <a:latin typeface="Cambria Math" panose="02040503050406030204" pitchFamily="18" charset="0"/>
                                <a:ea typeface="Cambria Math" panose="02040503050406030204" pitchFamily="18" charset="0"/>
                              </a:rPr>
                              <m:t>nel</m:t>
                            </m:r>
                            <m:r>
                              <a:rPr lang="en-US" sz="900" b="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expense</m:t>
                            </m:r>
                          </m:e>
                        </m:eqArr>
                      </m:num>
                      <m:den>
                        <m:r>
                          <m:rPr>
                            <m:sty m:val="p"/>
                          </m:rPr>
                          <a:rPr lang="en-US" sz="900" b="0" i="0">
                            <a:latin typeface="Cambria Math" panose="02040503050406030204" pitchFamily="18" charset="0"/>
                            <a:ea typeface="Cambria Math" panose="02040503050406030204" pitchFamily="18" charset="0"/>
                          </a:rPr>
                          <m:t>Net</m:t>
                        </m:r>
                        <m:r>
                          <a:rPr lang="en-US" sz="900" b="0" i="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Interest</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Income</m:t>
                        </m:r>
                        <m:r>
                          <a:rPr lang="en-US" sz="900">
                            <a:latin typeface="Cambria Math" panose="02040503050406030204" pitchFamily="18" charset="0"/>
                            <a:ea typeface="Cambria Math" panose="02040503050406030204" pitchFamily="18" charset="0"/>
                          </a:rPr>
                          <m:t>+</m:t>
                        </m:r>
                        <m:r>
                          <m:rPr>
                            <m:sty m:val="p"/>
                          </m:rPr>
                          <a:rPr lang="en-US" sz="900">
                            <a:latin typeface="Cambria Math" panose="02040503050406030204" pitchFamily="18" charset="0"/>
                            <a:ea typeface="Cambria Math" panose="02040503050406030204" pitchFamily="18" charset="0"/>
                          </a:rPr>
                          <m:t>Net</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result</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from</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services</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and</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comissions</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Other</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revenue</m:t>
                        </m:r>
                        <m:r>
                          <a:rPr lang="en-US" sz="900">
                            <a:latin typeface="Cambria Math" panose="02040503050406030204" pitchFamily="18" charset="0"/>
                            <a:ea typeface="Cambria Math" panose="02040503050406030204" pitchFamily="18" charset="0"/>
                          </a:rPr>
                          <m:t>−</m:t>
                        </m:r>
                        <m:r>
                          <m:rPr>
                            <m:sty m:val="p"/>
                          </m:rPr>
                          <a:rPr lang="en-US" sz="900">
                            <a:latin typeface="Cambria Math" panose="02040503050406030204" pitchFamily="18" charset="0"/>
                            <a:ea typeface="Cambria Math" panose="02040503050406030204" pitchFamily="18" charset="0"/>
                          </a:rPr>
                          <m:t>Tax</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expense</m:t>
                        </m:r>
                      </m:den>
                    </m:f>
                    <m:r>
                      <a:rPr lang="en-US" sz="900" i="1">
                        <a:latin typeface="Cambria Math" panose="02040503050406030204" pitchFamily="18" charset="0"/>
                        <a:ea typeface="Cambria Math" panose="02040503050406030204" pitchFamily="18" charset="0"/>
                      </a:rPr>
                      <m:t> </m:t>
                    </m:r>
                  </m:oMath>
                </m:oMathPara>
              </a14:m>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Return on average equity (ROE):</a:t>
              </a:r>
            </a:p>
            <a:p>
              <a:pPr algn="ctr"/>
              <a:endParaRPr lang="en-US" sz="800" b="1">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en-US" sz="900" i="1">
                            <a:latin typeface="Cambria Math" panose="02040503050406030204" pitchFamily="18" charset="0"/>
                            <a:ea typeface="Cambria Math" panose="02040503050406030204" pitchFamily="18" charset="0"/>
                          </a:rPr>
                        </m:ctrlPr>
                      </m:fPr>
                      <m:num>
                        <m:r>
                          <a:rPr lang="en-US" sz="900" i="0">
                            <a:latin typeface="Cambria Math" panose="02040503050406030204" pitchFamily="18" charset="0"/>
                            <a:ea typeface="Cambria Math" panose="02040503050406030204" pitchFamily="18" charset="0"/>
                          </a:rPr>
                          <m:t>(</m:t>
                        </m:r>
                        <m:r>
                          <m:rPr>
                            <m:sty m:val="p"/>
                          </m:rPr>
                          <a:rPr lang="en-US" sz="900" i="0">
                            <a:latin typeface="Cambria Math" panose="02040503050406030204" pitchFamily="18" charset="0"/>
                            <a:ea typeface="Cambria Math" panose="02040503050406030204" pitchFamily="18" charset="0"/>
                          </a:rPr>
                          <m:t>Profit</m:t>
                        </m:r>
                        <m:r>
                          <a:rPr lang="en-US" sz="900" i="0">
                            <a:latin typeface="Cambria Math" panose="02040503050406030204" pitchFamily="18" charset="0"/>
                            <a:ea typeface="Cambria Math" panose="02040503050406030204" pitchFamily="18" charset="0"/>
                          </a:rPr>
                          <m:t> / (</m:t>
                        </m:r>
                        <m:r>
                          <m:rPr>
                            <m:sty m:val="p"/>
                          </m:rPr>
                          <a:rPr lang="en-US" sz="900" i="0">
                            <a:latin typeface="Cambria Math" panose="02040503050406030204" pitchFamily="18" charset="0"/>
                            <a:ea typeface="Cambria Math" panose="02040503050406030204" pitchFamily="18" charset="0"/>
                          </a:rPr>
                          <m:t>loss</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for</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the</m:t>
                        </m:r>
                        <m:r>
                          <a:rPr lang="en-US" sz="90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quarter</m:t>
                        </m:r>
                        <m:r>
                          <a:rPr lang="en-US" sz="900" i="0">
                            <a:latin typeface="Cambria Math" panose="02040503050406030204" pitchFamily="18" charset="0"/>
                            <a:ea typeface="Cambria Math" panose="02040503050406030204" pitchFamily="18" charset="0"/>
                          </a:rPr>
                          <m:t>)× 4</m:t>
                        </m:r>
                      </m:num>
                      <m:den>
                        <m:r>
                          <m:rPr>
                            <m:sty m:val="p"/>
                          </m:rPr>
                          <a:rPr lang="en-US" sz="900" i="0">
                            <a:latin typeface="Cambria Math" panose="02040503050406030204" pitchFamily="18" charset="0"/>
                            <a:ea typeface="Cambria Math" panose="02040503050406030204" pitchFamily="18" charset="0"/>
                          </a:rPr>
                          <m:t>Average</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of</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last</m:t>
                        </m:r>
                        <m:r>
                          <a:rPr lang="en-US" sz="900" i="0">
                            <a:latin typeface="Cambria Math" panose="02040503050406030204" pitchFamily="18" charset="0"/>
                            <a:ea typeface="Cambria Math" panose="02040503050406030204" pitchFamily="18" charset="0"/>
                          </a:rPr>
                          <m:t> 2 </m:t>
                        </m:r>
                        <m:r>
                          <m:rPr>
                            <m:sty m:val="p"/>
                          </m:rPr>
                          <a:rPr lang="en-US" sz="900" i="0">
                            <a:latin typeface="Cambria Math" panose="02040503050406030204" pitchFamily="18" charset="0"/>
                            <a:ea typeface="Cambria Math" panose="02040503050406030204" pitchFamily="18" charset="0"/>
                          </a:rPr>
                          <m:t>quarters</m:t>
                        </m:r>
                        <m:r>
                          <a:rPr lang="en-US" sz="900" b="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of</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total</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shareholder</m:t>
                        </m:r>
                        <m:r>
                          <a:rPr lang="en-US" sz="900" i="0">
                            <a:latin typeface="Cambria Math" panose="02040503050406030204" pitchFamily="18" charset="0"/>
                            <a:ea typeface="Cambria Math" panose="02040503050406030204" pitchFamily="18" charset="0"/>
                          </a:rPr>
                          <m:t>`</m:t>
                        </m:r>
                        <m:r>
                          <m:rPr>
                            <m:sty m:val="p"/>
                          </m:rPr>
                          <a:rPr lang="en-US" sz="900" i="0">
                            <a:latin typeface="Cambria Math" panose="02040503050406030204" pitchFamily="18" charset="0"/>
                            <a:ea typeface="Cambria Math" panose="02040503050406030204" pitchFamily="18" charset="0"/>
                          </a:rPr>
                          <m:t>s</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equity</m:t>
                        </m:r>
                      </m:den>
                    </m:f>
                  </m:oMath>
                </m:oMathPara>
              </a14:m>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ea typeface="Cambria Math" panose="02040503050406030204" pitchFamily="18" charset="0"/>
                  <a:cs typeface="Calibri" panose="020F0502020204030204" pitchFamily="34" charset="0"/>
                </a:rPr>
                <a:t>SG&amp;A:</a:t>
              </a:r>
            </a:p>
            <a:p>
              <a:endParaRPr lang="en-US" sz="900" b="1" i="0">
                <a:latin typeface="Calibri" panose="020F0502020204030204" pitchFamily="34" charset="0"/>
                <a:ea typeface="Cambria Math" panose="02040503050406030204" pitchFamily="18" charset="0"/>
                <a:cs typeface="Calibri" panose="020F0502020204030204" pitchFamily="34" charset="0"/>
              </a:endParaRPr>
            </a:p>
            <a:p>
              <a:pPr algn="ctr"/>
              <a14:m>
                <m:oMath xmlns:m="http://schemas.openxmlformats.org/officeDocument/2006/math">
                  <m:r>
                    <m:rPr>
                      <m:sty m:val="p"/>
                    </m:rPr>
                    <a:rPr lang="en-US" sz="900" i="0">
                      <a:latin typeface="Cambria Math" panose="02040503050406030204" pitchFamily="18" charset="0"/>
                      <a:ea typeface="Cambria Math" panose="02040503050406030204" pitchFamily="18" charset="0"/>
                      <a:cs typeface="Sora" pitchFamily="2" charset="0"/>
                    </a:rPr>
                    <m:t>Administrative</m:t>
                  </m:r>
                  <m:r>
                    <a:rPr lang="en-US" sz="900" i="0">
                      <a:latin typeface="Cambria Math" panose="02040503050406030204" pitchFamily="18" charset="0"/>
                      <a:ea typeface="Cambria Math" panose="02040503050406030204" pitchFamily="18" charset="0"/>
                      <a:cs typeface="Sora" pitchFamily="2" charset="0"/>
                    </a:rPr>
                    <m:t> </m:t>
                  </m:r>
                </m:oMath>
              </a14:m>
              <a:r>
                <a:rPr lang="en-US" sz="900">
                  <a:latin typeface="Calibri" panose="020F0502020204030204" pitchFamily="34" charset="0"/>
                  <a:ea typeface="Cambria Math" panose="02040503050406030204" pitchFamily="18" charset="0"/>
                  <a:cs typeface="Calibri" panose="020F0502020204030204" pitchFamily="34" charset="0"/>
                </a:rPr>
                <a:t>Expenses + Personnel Expenses + Depreciation and Amortization</a:t>
              </a: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Stage 3 formation:</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900" i="1">
                            <a:latin typeface="Cambria Math" panose="02040503050406030204" pitchFamily="18" charset="0"/>
                            <a:ea typeface="Cambria Math" panose="02040503050406030204" pitchFamily="18" charset="0"/>
                          </a:rPr>
                        </m:ctrlPr>
                      </m:fPr>
                      <m:num>
                        <m:eqArr>
                          <m:eqArrPr>
                            <m:ctrlPr>
                              <a:rPr lang="en-US" sz="900" i="1">
                                <a:latin typeface="Cambria Math" panose="02040503050406030204" pitchFamily="18" charset="0"/>
                                <a:ea typeface="Cambria Math" panose="02040503050406030204" pitchFamily="18" charset="0"/>
                              </a:rPr>
                            </m:ctrlPr>
                          </m:eqArrPr>
                          <m:e>
                            <m:r>
                              <m:rPr>
                                <m:sty m:val="p"/>
                              </m:rPr>
                              <a:rPr lang="en-US" sz="900">
                                <a:latin typeface="Cambria Math" panose="02040503050406030204" pitchFamily="18" charset="0"/>
                                <a:ea typeface="Cambria Math" panose="02040503050406030204" pitchFamily="18" charset="0"/>
                              </a:rPr>
                              <m:t>Stage</m:t>
                            </m:r>
                            <m:r>
                              <a:rPr lang="en-US" sz="900">
                                <a:latin typeface="Cambria Math" panose="02040503050406030204" pitchFamily="18" charset="0"/>
                                <a:ea typeface="Cambria Math" panose="02040503050406030204" pitchFamily="18" charset="0"/>
                              </a:rPr>
                              <m:t> 3 </m:t>
                            </m:r>
                            <m:r>
                              <m:rPr>
                                <m:sty m:val="p"/>
                              </m:rPr>
                              <a:rPr lang="en-US" sz="900">
                                <a:latin typeface="Cambria Math" panose="02040503050406030204" pitchFamily="18" charset="0"/>
                                <a:ea typeface="Cambria Math" panose="02040503050406030204" pitchFamily="18" charset="0"/>
                              </a:rPr>
                              <m:t>balance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the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current</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quarter</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Stage</m:t>
                            </m:r>
                            <m:r>
                              <a:rPr lang="en-US" sz="900">
                                <a:latin typeface="Cambria Math" panose="02040503050406030204" pitchFamily="18" charset="0"/>
                                <a:ea typeface="Cambria Math" panose="02040503050406030204" pitchFamily="18" charset="0"/>
                              </a:rPr>
                              <m:t> 3 </m:t>
                            </m:r>
                            <m:r>
                              <m:rPr>
                                <m:sty m:val="p"/>
                              </m:rPr>
                              <a:rPr lang="en-US" sz="900">
                                <a:latin typeface="Cambria Math" panose="02040503050406030204" pitchFamily="18" charset="0"/>
                                <a:ea typeface="Cambria Math" panose="02040503050406030204" pitchFamily="18" charset="0"/>
                              </a:rPr>
                              <m:t>balance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the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previous</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quarter</m:t>
                            </m:r>
                          </m:e>
                          <m:e>
                            <m:r>
                              <a:rPr lang="en-US" sz="900">
                                <a:latin typeface="Cambria Math" panose="02040503050406030204" pitchFamily="18" charset="0"/>
                                <a:ea typeface="Cambria Math" panose="02040503050406030204" pitchFamily="18" charset="0"/>
                              </a:rPr>
                              <m:t>+</m:t>
                            </m:r>
                            <m:r>
                              <m:rPr>
                                <m:sty m:val="p"/>
                              </m:rPr>
                              <a:rPr lang="en-US" sz="900">
                                <a:latin typeface="Cambria Math" panose="02040503050406030204" pitchFamily="18" charset="0"/>
                                <a:ea typeface="Cambria Math" panose="02040503050406030204" pitchFamily="18" charset="0"/>
                              </a:rPr>
                              <m:t>Write</m:t>
                            </m:r>
                            <m:r>
                              <a:rPr lang="en-US" sz="900">
                                <a:latin typeface="Cambria Math" panose="02040503050406030204" pitchFamily="18" charset="0"/>
                                <a:ea typeface="Cambria Math" panose="02040503050406030204" pitchFamily="18" charset="0"/>
                              </a:rPr>
                              <m:t>−</m:t>
                            </m:r>
                            <m:r>
                              <m:rPr>
                                <m:sty m:val="p"/>
                              </m:rPr>
                              <a:rPr lang="en-US" sz="900">
                                <a:latin typeface="Cambria Math" panose="02040503050406030204" pitchFamily="18" charset="0"/>
                                <a:ea typeface="Cambria Math" panose="02040503050406030204" pitchFamily="18" charset="0"/>
                              </a:rPr>
                              <m:t>off</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change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the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current</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quarter</m:t>
                            </m:r>
                          </m:e>
                        </m:eqArr>
                      </m:num>
                      <m:den>
                        <m:r>
                          <m:rPr>
                            <m:sty m:val="p"/>
                          </m:rPr>
                          <a:rPr lang="en-US" sz="900" b="0" i="0">
                            <a:latin typeface="Cambria Math" panose="02040503050406030204" pitchFamily="18" charset="0"/>
                            <a:ea typeface="Cambria Math" panose="02040503050406030204" pitchFamily="18" charset="0"/>
                          </a:rPr>
                          <m:t>Total</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loans</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and</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advance</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to</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customers</m:t>
                        </m:r>
                        <m:r>
                          <a:rPr lang="en-US" sz="900" b="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in</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the</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previous</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quarter</m:t>
                        </m:r>
                      </m:den>
                    </m:f>
                  </m:oMath>
                </m:oMathPara>
              </a14:m>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Tier I ratio:</a:t>
              </a:r>
            </a:p>
            <a:p>
              <a:endParaRPr lang="en-US" sz="800" b="1">
                <a:highlight>
                  <a:srgbClr val="FFFF00"/>
                </a:highlight>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en-US" sz="900" i="1">
                            <a:latin typeface="Cambria Math" panose="02040503050406030204" pitchFamily="18" charset="0"/>
                            <a:ea typeface="Cambria Math" panose="02040503050406030204" pitchFamily="18" charset="0"/>
                          </a:rPr>
                        </m:ctrlPr>
                      </m:fPr>
                      <m:num>
                        <m:r>
                          <m:rPr>
                            <m:sty m:val="p"/>
                          </m:rPr>
                          <a:rPr lang="en-US" sz="900" b="0" i="0">
                            <a:latin typeface="Cambria Math" panose="02040503050406030204" pitchFamily="18" charset="0"/>
                            <a:ea typeface="Cambria Math" panose="02040503050406030204" pitchFamily="18" charset="0"/>
                          </a:rPr>
                          <m:t>Tier</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I</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referential</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equity</m:t>
                        </m:r>
                      </m:num>
                      <m:den>
                        <m:r>
                          <m:rPr>
                            <m:sty m:val="p"/>
                          </m:rPr>
                          <a:rPr lang="en-US" sz="900" b="0" i="0">
                            <a:latin typeface="Cambria Math" panose="02040503050406030204" pitchFamily="18" charset="0"/>
                            <a:ea typeface="Cambria Math" panose="02040503050406030204" pitchFamily="18" charset="0"/>
                          </a:rPr>
                          <m:t>Risk</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weighted</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assets</m:t>
                        </m:r>
                      </m:den>
                    </m:f>
                  </m:oMath>
                </m:oMathPara>
              </a14:m>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Total gross revenue:</a:t>
              </a:r>
            </a:p>
            <a:p>
              <a:endParaRPr lang="en-US" sz="5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
                  </m:oMathParaPr>
                  <m:oMath xmlns:m="http://schemas.openxmlformats.org/officeDocument/2006/math">
                    <m:r>
                      <m:rPr>
                        <m:sty m:val="p"/>
                      </m:rPr>
                      <a:rPr lang="en-US" sz="900" i="0">
                        <a:latin typeface="Cambria Math" panose="02040503050406030204" pitchFamily="18" charset="0"/>
                        <a:ea typeface="Cambria Math" panose="02040503050406030204" pitchFamily="18" charset="0"/>
                        <a:cs typeface="Sora" pitchFamily="2" charset="0"/>
                      </a:rPr>
                      <m:t>Interest</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income</m:t>
                    </m:r>
                    <m:r>
                      <a:rPr lang="en-US" sz="900" i="0">
                        <a:latin typeface="Cambria Math" panose="02040503050406030204" pitchFamily="18" charset="0"/>
                        <a:ea typeface="Cambria Math" panose="02040503050406030204" pitchFamily="18" charset="0"/>
                        <a:cs typeface="Sora" pitchFamily="2" charset="0"/>
                      </a:rPr>
                      <m:t> +</m:t>
                    </m:r>
                    <m:d>
                      <m:dPr>
                        <m:ctrlPr>
                          <a:rPr lang="en-US" sz="900" b="0" i="1">
                            <a:latin typeface="Cambria Math" panose="02040503050406030204" pitchFamily="18" charset="0"/>
                            <a:ea typeface="Cambria Math" panose="02040503050406030204" pitchFamily="18" charset="0"/>
                            <a:cs typeface="Sora" pitchFamily="2" charset="0"/>
                          </a:rPr>
                        </m:ctrlPr>
                      </m:dPr>
                      <m:e>
                        <m:r>
                          <m:rPr>
                            <m:sty m:val="p"/>
                          </m:rPr>
                          <a:rPr lang="en-US" sz="900" b="0" i="0">
                            <a:latin typeface="Cambria Math" panose="02040503050406030204" pitchFamily="18" charset="0"/>
                            <a:ea typeface="Cambria Math" panose="02040503050406030204" pitchFamily="18" charset="0"/>
                            <a:cs typeface="Sora" pitchFamily="2" charset="0"/>
                          </a:rPr>
                          <m:t>Revenue</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from</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services</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and</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commissions</m:t>
                        </m:r>
                        <m:r>
                          <a:rPr lang="en-US" sz="900" b="0" i="0">
                            <a:latin typeface="Cambria Math" panose="02040503050406030204" pitchFamily="18" charset="0"/>
                            <a:ea typeface="Cambria Math" panose="02040503050406030204" pitchFamily="18" charset="0"/>
                            <a:cs typeface="Sora" pitchFamily="2" charset="0"/>
                          </a:rPr>
                          <m:t>−</m:t>
                        </m:r>
                        <m:r>
                          <m:rPr>
                            <m:sty m:val="p"/>
                          </m:rPr>
                          <a:rPr lang="en-US" sz="900" b="0" i="0">
                            <a:latin typeface="Cambria Math" panose="02040503050406030204" pitchFamily="18" charset="0"/>
                            <a:ea typeface="Cambria Math" panose="02040503050406030204" pitchFamily="18" charset="0"/>
                            <a:cs typeface="Sora" pitchFamily="2" charset="0"/>
                          </a:rPr>
                          <m:t>Cashback</m:t>
                        </m:r>
                        <m:r>
                          <a:rPr lang="en-US" sz="900" b="0" i="0">
                            <a:latin typeface="Cambria Math" panose="02040503050406030204" pitchFamily="18" charset="0"/>
                            <a:ea typeface="Cambria Math" panose="02040503050406030204" pitchFamily="18" charset="0"/>
                            <a:cs typeface="Sora" pitchFamily="2" charset="0"/>
                          </a:rPr>
                          <m:t> </m:t>
                        </m:r>
                        <m:r>
                          <m:rPr>
                            <m:sty m:val="p"/>
                          </m:rPr>
                          <a:rPr lang="en-US" sz="900" b="0" i="0">
                            <a:latin typeface="Cambria Math" panose="02040503050406030204" pitchFamily="18" charset="0"/>
                            <a:ea typeface="Cambria Math" panose="02040503050406030204" pitchFamily="18" charset="0"/>
                            <a:cs typeface="Sora" pitchFamily="2" charset="0"/>
                          </a:rPr>
                          <m:t>expenses</m:t>
                        </m:r>
                        <m:r>
                          <a:rPr lang="en-US" sz="900" b="0" i="0">
                            <a:latin typeface="Cambria Math" panose="02040503050406030204" pitchFamily="18" charset="0"/>
                            <a:ea typeface="Cambria Math" panose="02040503050406030204" pitchFamily="18" charset="0"/>
                            <a:cs typeface="Sora" pitchFamily="2" charset="0"/>
                          </a:rPr>
                          <m:t> −</m:t>
                        </m:r>
                        <m:r>
                          <m:rPr>
                            <m:sty m:val="p"/>
                          </m:rPr>
                          <a:rPr lang="en-US" sz="900" b="0" i="0">
                            <a:latin typeface="Cambria Math" panose="02040503050406030204" pitchFamily="18" charset="0"/>
                            <a:ea typeface="Cambria Math" panose="02040503050406030204" pitchFamily="18" charset="0"/>
                            <a:cs typeface="Sora" pitchFamily="2" charset="0"/>
                          </a:rPr>
                          <m:t>Inter</m:t>
                        </m:r>
                        <m:r>
                          <a:rPr lang="en-US" sz="900" b="0" i="0">
                            <a:latin typeface="Cambria Math" panose="02040503050406030204" pitchFamily="18" charset="0"/>
                            <a:ea typeface="Cambria Math" panose="02040503050406030204" pitchFamily="18" charset="0"/>
                            <a:cs typeface="Sora" pitchFamily="2" charset="0"/>
                          </a:rPr>
                          <m:t> </m:t>
                        </m:r>
                        <m:r>
                          <m:rPr>
                            <m:sty m:val="p"/>
                          </m:rPr>
                          <a:rPr lang="en-US" sz="900" b="0" i="0">
                            <a:latin typeface="Cambria Math" panose="02040503050406030204" pitchFamily="18" charset="0"/>
                            <a:ea typeface="Cambria Math" panose="02040503050406030204" pitchFamily="18" charset="0"/>
                            <a:cs typeface="Sora" pitchFamily="2" charset="0"/>
                          </a:rPr>
                          <m:t>rewards</m:t>
                        </m:r>
                      </m:e>
                    </m:d>
                    <m:r>
                      <a:rPr lang="en-US" sz="900" b="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Income</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from</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securities</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b="0" i="0">
                        <a:latin typeface="Cambria Math" panose="02040503050406030204" pitchFamily="18" charset="0"/>
                        <a:ea typeface="Cambria Math" panose="02040503050406030204" pitchFamily="18" charset="0"/>
                        <a:cs typeface="Sora" pitchFamily="2" charset="0"/>
                      </a:rPr>
                      <m:t>and</m:t>
                    </m:r>
                    <m:r>
                      <a:rPr lang="en-US" sz="900" b="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derivatives</m:t>
                    </m:r>
                    <m:r>
                      <a:rPr lang="en-US" sz="900" i="0">
                        <a:latin typeface="Cambria Math" panose="02040503050406030204" pitchFamily="18" charset="0"/>
                        <a:ea typeface="Cambria Math" panose="02040503050406030204" pitchFamily="18" charset="0"/>
                        <a:cs typeface="Sora" pitchFamily="2" charset="0"/>
                      </a:rPr>
                      <m:t> + </m:t>
                    </m:r>
                    <m:r>
                      <m:rPr>
                        <m:sty m:val="p"/>
                      </m:rPr>
                      <a:rPr lang="en-US" sz="900" i="0">
                        <a:latin typeface="Cambria Math" panose="02040503050406030204" pitchFamily="18" charset="0"/>
                        <a:ea typeface="Cambria Math" panose="02040503050406030204" pitchFamily="18" charset="0"/>
                        <a:cs typeface="Sora" pitchFamily="2" charset="0"/>
                      </a:rPr>
                      <m:t>Other</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revenue</m:t>
                    </m:r>
                  </m:oMath>
                </m:oMathPara>
              </a14:m>
              <a:endParaRPr lang="en-US" sz="9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100">
                <a:solidFill>
                  <a:schemeClr val="tx1">
                    <a:lumMod val="85000"/>
                    <a:lumOff val="15000"/>
                  </a:schemeClr>
                </a:solidFill>
                <a:highlight>
                  <a:srgbClr val="FFFF00"/>
                </a:highlight>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xdr:txBody>
        </xdr:sp>
      </mc:Choice>
      <mc:Fallback xmlns="">
        <xdr:sp macro="" textlink="">
          <xdr:nvSpPr>
            <xdr:cNvPr id="36" name="Retângulo 9">
              <a:extLst>
                <a:ext uri="{FF2B5EF4-FFF2-40B4-BE49-F238E27FC236}">
                  <a16:creationId xmlns:a16="http://schemas.microsoft.com/office/drawing/2014/main" id="{70BBBFDC-97EA-DB78-9935-3D590DAA2910}"/>
                </a:ext>
              </a:extLst>
            </xdr:cNvPr>
            <xdr:cNvSpPr/>
          </xdr:nvSpPr>
          <xdr:spPr>
            <a:xfrm>
              <a:off x="245533" y="32529670"/>
              <a:ext cx="5679293" cy="6413935"/>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NPL &gt; 90 days: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en-US" sz="900" i="0">
                  <a:latin typeface="Cambria Math" panose="02040503050406030204" pitchFamily="18" charset="0"/>
                  <a:ea typeface="Cambria Math" panose="02040503050406030204" pitchFamily="18" charset="0"/>
                </a:rPr>
                <a:t>(Overdue higher than 90 days)/(Loans and Advance to Costumers + Loans to  financial institutions  )</a:t>
              </a:r>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NPL formation:</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en-US" sz="900" i="0">
                  <a:latin typeface="Cambria Math" panose="02040503050406030204" pitchFamily="18" charset="0"/>
                  <a:ea typeface="Cambria Math" panose="02040503050406030204" pitchFamily="18" charset="0"/>
                </a:rPr>
                <a:t>█(Overdue balance higher than 90 days in the current quarter –@Overdue balance higher than 90 days inthe previous quarter +Write−off change in the current quarter)/(</a:t>
              </a:r>
              <a:r>
                <a:rPr lang="en-US" sz="900" b="0" i="0">
                  <a:latin typeface="Cambria Math" panose="02040503050406030204" pitchFamily="18" charset="0"/>
                  <a:ea typeface="Cambria Math" panose="02040503050406030204" pitchFamily="18" charset="0"/>
                </a:rPr>
                <a:t>Total loans and advance to customers </a:t>
              </a:r>
              <a:r>
                <a:rPr lang="en-US" sz="900" i="0">
                  <a:latin typeface="Cambria Math" panose="02040503050406030204" pitchFamily="18" charset="0"/>
                  <a:ea typeface="Cambria Math" panose="02040503050406030204" pitchFamily="18" charset="0"/>
                </a:rPr>
                <a:t>in the previous quarter)</a:t>
              </a: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Personal efficiency ratio:</a:t>
              </a:r>
            </a:p>
            <a:p>
              <a:pPr algn="ctr"/>
              <a:endParaRPr lang="en-US" sz="500">
                <a:latin typeface="Calibri" panose="020F0502020204030204" pitchFamily="34" charset="0"/>
                <a:ea typeface="Cambria Math" panose="02040503050406030204" pitchFamily="18" charset="0"/>
                <a:cs typeface="Calibri" panose="020F0502020204030204" pitchFamily="34" charset="0"/>
              </a:endParaRPr>
            </a:p>
            <a:p>
              <a:pPr algn="ctr"/>
              <a:r>
                <a:rPr lang="en-US" sz="900" i="0">
                  <a:latin typeface="Cambria Math" panose="02040503050406030204" pitchFamily="18" charset="0"/>
                  <a:ea typeface="Cambria Math" panose="02040503050406030204" pitchFamily="18" charset="0"/>
                </a:rPr>
                <a:t>█( @Person</a:t>
              </a:r>
              <a:r>
                <a:rPr lang="en-US" sz="900" b="0" i="0">
                  <a:latin typeface="Cambria Math" panose="02040503050406030204" pitchFamily="18" charset="0"/>
                  <a:ea typeface="Cambria Math" panose="02040503050406030204" pitchFamily="18" charset="0"/>
                </a:rPr>
                <a:t>nel </a:t>
              </a:r>
              <a:r>
                <a:rPr lang="en-US" sz="900" i="0">
                  <a:latin typeface="Cambria Math" panose="02040503050406030204" pitchFamily="18" charset="0"/>
                  <a:ea typeface="Cambria Math" panose="02040503050406030204" pitchFamily="18" charset="0"/>
                </a:rPr>
                <a:t>expense)/(</a:t>
              </a:r>
              <a:r>
                <a:rPr lang="en-US" sz="900" b="0" i="0">
                  <a:latin typeface="Cambria Math" panose="02040503050406030204" pitchFamily="18" charset="0"/>
                  <a:ea typeface="Cambria Math" panose="02040503050406030204" pitchFamily="18" charset="0"/>
                </a:rPr>
                <a:t>Net </a:t>
              </a:r>
              <a:r>
                <a:rPr lang="en-US" sz="900" i="0">
                  <a:latin typeface="Cambria Math" panose="02040503050406030204" pitchFamily="18" charset="0"/>
                  <a:ea typeface="Cambria Math" panose="02040503050406030204" pitchFamily="18" charset="0"/>
                </a:rPr>
                <a:t>Interest Income+Net result from services and comissions+ Other revenue−Tax expense)  </a:t>
              </a:r>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Return on average equity (ROE):</a:t>
              </a:r>
            </a:p>
            <a:p>
              <a:pPr algn="ctr"/>
              <a:endParaRPr lang="en-US" sz="800" b="1">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r>
                <a:rPr lang="en-US" sz="900" i="0">
                  <a:latin typeface="Cambria Math" panose="02040503050406030204" pitchFamily="18" charset="0"/>
                  <a:ea typeface="Cambria Math" panose="02040503050406030204" pitchFamily="18" charset="0"/>
                </a:rPr>
                <a:t>((Profit / (loss) for the </a:t>
              </a:r>
              <a:r>
                <a:rPr lang="en-US" sz="900" b="0" i="0">
                  <a:latin typeface="Cambria Math" panose="02040503050406030204" pitchFamily="18" charset="0"/>
                  <a:ea typeface="Cambria Math" panose="02040503050406030204" pitchFamily="18" charset="0"/>
                </a:rPr>
                <a:t>quarter</a:t>
              </a:r>
              <a:r>
                <a:rPr lang="en-US" sz="900" i="0">
                  <a:latin typeface="Cambria Math" panose="02040503050406030204" pitchFamily="18" charset="0"/>
                  <a:ea typeface="Cambria Math" panose="02040503050406030204" pitchFamily="18" charset="0"/>
                </a:rPr>
                <a:t>)× 4)/(Average of last 2 quarters</a:t>
              </a:r>
              <a:r>
                <a:rPr lang="en-US" sz="900" b="0" i="0">
                  <a:latin typeface="Cambria Math" panose="02040503050406030204" pitchFamily="18" charset="0"/>
                  <a:ea typeface="Cambria Math" panose="02040503050406030204" pitchFamily="18" charset="0"/>
                </a:rPr>
                <a:t> </a:t>
              </a:r>
              <a:r>
                <a:rPr lang="en-US" sz="900" i="0">
                  <a:latin typeface="Cambria Math" panose="02040503050406030204" pitchFamily="18" charset="0"/>
                  <a:ea typeface="Cambria Math" panose="02040503050406030204" pitchFamily="18" charset="0"/>
                </a:rPr>
                <a:t>of total shareholder`s equity)</a:t>
              </a: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ea typeface="Cambria Math" panose="02040503050406030204" pitchFamily="18" charset="0"/>
                  <a:cs typeface="Calibri" panose="020F0502020204030204" pitchFamily="34" charset="0"/>
                </a:rPr>
                <a:t>SG&amp;A:</a:t>
              </a:r>
            </a:p>
            <a:p>
              <a:endParaRPr lang="en-US" sz="900" b="1" i="0">
                <a:latin typeface="Calibri" panose="020F0502020204030204" pitchFamily="34" charset="0"/>
                <a:ea typeface="Cambria Math" panose="02040503050406030204" pitchFamily="18" charset="0"/>
                <a:cs typeface="Calibri" panose="020F0502020204030204" pitchFamily="34" charset="0"/>
              </a:endParaRPr>
            </a:p>
            <a:p>
              <a:pPr algn="ctr"/>
              <a:r>
                <a:rPr lang="en-US" sz="900" i="0">
                  <a:latin typeface="Cambria Math" panose="02040503050406030204" pitchFamily="18" charset="0"/>
                  <a:ea typeface="Cambria Math" panose="02040503050406030204" pitchFamily="18" charset="0"/>
                  <a:cs typeface="Sora" pitchFamily="2" charset="0"/>
                </a:rPr>
                <a:t>Administrative </a:t>
              </a:r>
              <a:r>
                <a:rPr lang="en-US" sz="900">
                  <a:latin typeface="Calibri" panose="020F0502020204030204" pitchFamily="34" charset="0"/>
                  <a:ea typeface="Cambria Math" panose="02040503050406030204" pitchFamily="18" charset="0"/>
                  <a:cs typeface="Calibri" panose="020F0502020204030204" pitchFamily="34" charset="0"/>
                </a:rPr>
                <a:t>Expenses + Personnel Expenses + Depreciation and Amortization</a:t>
              </a: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Stage 3 formation:</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en-US" sz="900" i="0">
                  <a:latin typeface="Cambria Math" panose="02040503050406030204" pitchFamily="18" charset="0"/>
                  <a:ea typeface="Cambria Math" panose="02040503050406030204" pitchFamily="18" charset="0"/>
                </a:rPr>
                <a:t>█(Stage 3 balance in the current quarter –Stage 3 balance in the previous quarter@+Write−off change in the current quarter)/(</a:t>
              </a:r>
              <a:r>
                <a:rPr lang="en-US" sz="900" b="0" i="0">
                  <a:latin typeface="Cambria Math" panose="02040503050406030204" pitchFamily="18" charset="0"/>
                  <a:ea typeface="Cambria Math" panose="02040503050406030204" pitchFamily="18" charset="0"/>
                </a:rPr>
                <a:t>Total loans and advance to customers </a:t>
              </a:r>
              <a:r>
                <a:rPr lang="en-US" sz="900" i="0">
                  <a:latin typeface="Cambria Math" panose="02040503050406030204" pitchFamily="18" charset="0"/>
                  <a:ea typeface="Cambria Math" panose="02040503050406030204" pitchFamily="18" charset="0"/>
                </a:rPr>
                <a:t>in the previous quarter)</a:t>
              </a:r>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Tier I ratio:</a:t>
              </a:r>
            </a:p>
            <a:p>
              <a:endParaRPr lang="en-US" sz="800" b="1">
                <a:highlight>
                  <a:srgbClr val="FFFF00"/>
                </a:highlight>
                <a:latin typeface="Calibri" panose="020F0502020204030204" pitchFamily="34" charset="0"/>
                <a:ea typeface="Cambria Math" panose="02040503050406030204" pitchFamily="18" charset="0"/>
                <a:cs typeface="Calibri" panose="020F0502020204030204" pitchFamily="34" charset="0"/>
              </a:endParaRPr>
            </a:p>
            <a:p>
              <a:pPr algn="ctr"/>
              <a:r>
                <a:rPr lang="en-US" sz="900" i="0">
                  <a:latin typeface="Cambria Math" panose="02040503050406030204" pitchFamily="18" charset="0"/>
                  <a:ea typeface="Cambria Math" panose="02040503050406030204" pitchFamily="18" charset="0"/>
                </a:rPr>
                <a:t>(</a:t>
              </a:r>
              <a:r>
                <a:rPr lang="en-US" sz="900" b="0" i="0">
                  <a:latin typeface="Cambria Math" panose="02040503050406030204" pitchFamily="18" charset="0"/>
                  <a:ea typeface="Cambria Math" panose="02040503050406030204" pitchFamily="18" charset="0"/>
                </a:rPr>
                <a:t>Tier I referential equity)/(Risk weighted assets)</a:t>
              </a: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Total gross revenue:</a:t>
              </a:r>
            </a:p>
            <a:p>
              <a:endParaRPr lang="en-US" sz="5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r>
                <a:rPr lang="en-US" sz="900" i="0">
                  <a:latin typeface="Cambria Math" panose="02040503050406030204" pitchFamily="18" charset="0"/>
                  <a:ea typeface="Cambria Math" panose="02040503050406030204" pitchFamily="18" charset="0"/>
                  <a:cs typeface="Sora" pitchFamily="2" charset="0"/>
                </a:rPr>
                <a:t>Interest income +</a:t>
              </a:r>
              <a:r>
                <a:rPr lang="en-US" sz="900" b="0" i="0">
                  <a:latin typeface="Cambria Math" panose="02040503050406030204" pitchFamily="18" charset="0"/>
                  <a:ea typeface="Cambria Math" panose="02040503050406030204" pitchFamily="18" charset="0"/>
                  <a:cs typeface="Sora" pitchFamily="2" charset="0"/>
                </a:rPr>
                <a:t>(Revenue</a:t>
              </a:r>
              <a:r>
                <a:rPr lang="en-US" sz="900" i="0">
                  <a:latin typeface="Cambria Math" panose="02040503050406030204" pitchFamily="18" charset="0"/>
                  <a:ea typeface="Cambria Math" panose="02040503050406030204" pitchFamily="18" charset="0"/>
                  <a:cs typeface="Sora" pitchFamily="2" charset="0"/>
                </a:rPr>
                <a:t> from services and commissions</a:t>
              </a:r>
              <a:r>
                <a:rPr lang="en-US" sz="900" b="0" i="0">
                  <a:latin typeface="Cambria Math" panose="02040503050406030204" pitchFamily="18" charset="0"/>
                  <a:ea typeface="Cambria Math" panose="02040503050406030204" pitchFamily="18" charset="0"/>
                  <a:cs typeface="Sora" pitchFamily="2" charset="0"/>
                </a:rPr>
                <a:t>−Cashback expenses −Inter rewards)+ </a:t>
              </a:r>
              <a:r>
                <a:rPr lang="en-US" sz="900" i="0">
                  <a:latin typeface="Cambria Math" panose="02040503050406030204" pitchFamily="18" charset="0"/>
                  <a:ea typeface="Cambria Math" panose="02040503050406030204" pitchFamily="18" charset="0"/>
                  <a:cs typeface="Sora" pitchFamily="2" charset="0"/>
                </a:rPr>
                <a:t>Income from securities </a:t>
              </a:r>
              <a:r>
                <a:rPr lang="en-US" sz="900" b="0" i="0">
                  <a:latin typeface="Cambria Math" panose="02040503050406030204" pitchFamily="18" charset="0"/>
                  <a:ea typeface="Cambria Math" panose="02040503050406030204" pitchFamily="18" charset="0"/>
                  <a:cs typeface="Sora" pitchFamily="2" charset="0"/>
                </a:rPr>
                <a:t>and </a:t>
              </a:r>
              <a:r>
                <a:rPr lang="en-US" sz="900" i="0">
                  <a:latin typeface="Cambria Math" panose="02040503050406030204" pitchFamily="18" charset="0"/>
                  <a:ea typeface="Cambria Math" panose="02040503050406030204" pitchFamily="18" charset="0"/>
                  <a:cs typeface="Sora" pitchFamily="2" charset="0"/>
                </a:rPr>
                <a:t>derivatives + Other revenue</a:t>
              </a:r>
              <a:endParaRPr lang="en-US" sz="9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100">
                <a:solidFill>
                  <a:schemeClr val="tx1">
                    <a:lumMod val="85000"/>
                    <a:lumOff val="15000"/>
                  </a:schemeClr>
                </a:solidFill>
                <a:highlight>
                  <a:srgbClr val="FFFF00"/>
                </a:highlight>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xdr:txBody>
        </xdr:sp>
      </mc:Fallback>
    </mc:AlternateContent>
    <xdr:clientData/>
  </xdr:twoCellAnchor>
  <xdr:twoCellAnchor>
    <xdr:from>
      <xdr:col>8</xdr:col>
      <xdr:colOff>115454</xdr:colOff>
      <xdr:row>4</xdr:row>
      <xdr:rowOff>28863</xdr:rowOff>
    </xdr:from>
    <xdr:to>
      <xdr:col>15</xdr:col>
      <xdr:colOff>90481</xdr:colOff>
      <xdr:row>30</xdr:row>
      <xdr:rowOff>107765</xdr:rowOff>
    </xdr:to>
    <mc:AlternateContent xmlns:mc="http://schemas.openxmlformats.org/markup-compatibility/2006" xmlns:a14="http://schemas.microsoft.com/office/drawing/2010/main">
      <mc:Choice Requires="a14">
        <xdr:sp macro="" textlink="">
          <xdr:nvSpPr>
            <xdr:cNvPr id="45" name="Retângulo 9">
              <a:extLst>
                <a:ext uri="{FF2B5EF4-FFF2-40B4-BE49-F238E27FC236}">
                  <a16:creationId xmlns:a16="http://schemas.microsoft.com/office/drawing/2014/main" id="{00000000-0008-0000-1600-00002D000000}"/>
                </a:ext>
              </a:extLst>
            </xdr:cNvPr>
            <xdr:cNvSpPr/>
          </xdr:nvSpPr>
          <xdr:spPr>
            <a:xfrm>
              <a:off x="6741541" y="765095"/>
              <a:ext cx="5772853" cy="486440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solidFill>
                    <a:schemeClr val="tx1"/>
                  </a:solidFill>
                  <a:latin typeface="Calibri" panose="020F0502020204030204" pitchFamily="34" charset="0"/>
                  <a:cs typeface="Calibri" panose="020F0502020204030204" pitchFamily="34" charset="0"/>
                </a:rPr>
                <a:t>Clientes ativos:</a:t>
              </a:r>
            </a:p>
            <a:p>
              <a:pPr algn="just"/>
              <a:r>
                <a:rPr lang="en-US" sz="800">
                  <a:solidFill>
                    <a:schemeClr val="tx1"/>
                  </a:solidFill>
                  <a:latin typeface="Calibri" panose="020F0502020204030204" pitchFamily="34" charset="0"/>
                  <a:ea typeface="Inter Light BETA" panose="020B0402030000000004" pitchFamily="34" charset="0"/>
                  <a:cs typeface="Calibri" panose="020F0502020204030204" pitchFamily="34" charset="0"/>
                </a:rPr>
                <a:t>Nós definimos um cliente ativo como um cliente em qualquer data que foi a fonte de qualquer quantia de receita para nós nos últimos três meses e/ou um cliente que usou produtos nos últimos três meses. Para o Inter Seguros, calculamos o número de clientes ativos para a nossa vertical de corretagem de seguros como o número de beneficiários de apólices de seguro efetivas em uma determinada data. Para a Inter Invest, calculamos o número de clientes ativos como o número de contas individuais que investiram em nossa plataforma durante o período aplicável. </a:t>
              </a:r>
            </a:p>
            <a:p>
              <a:endParaRPr lang="en-US" sz="800" b="1">
                <a:solidFill>
                  <a:schemeClr val="tx1"/>
                </a:solidFill>
                <a:latin typeface="Calibri" panose="020F0502020204030204" pitchFamily="34" charset="0"/>
                <a:cs typeface="Calibri" panose="020F0502020204030204" pitchFamily="34" charset="0"/>
              </a:endParaRPr>
            </a:p>
            <a:p>
              <a:endParaRPr lang="en-US" sz="800" b="1">
                <a:solidFill>
                  <a:schemeClr val="tx1"/>
                </a:solidFill>
                <a:latin typeface="Calibri" panose="020F0502020204030204" pitchFamily="34" charset="0"/>
                <a:cs typeface="Calibri" panose="020F0502020204030204" pitchFamily="34" charset="0"/>
              </a:endParaRPr>
            </a:p>
            <a:p>
              <a:endParaRPr lang="en-US" sz="800" b="1">
                <a:solidFill>
                  <a:schemeClr val="tx1"/>
                </a:solidFill>
                <a:latin typeface="Calibri" panose="020F0502020204030204" pitchFamily="34" charset="0"/>
                <a:cs typeface="Calibri" panose="020F0502020204030204" pitchFamily="34" charset="0"/>
              </a:endParaRPr>
            </a:p>
            <a:p>
              <a:r>
                <a:rPr lang="en-US" sz="800" b="1">
                  <a:solidFill>
                    <a:schemeClr val="tx1"/>
                  </a:solidFill>
                  <a:latin typeface="Calibri" panose="020F0502020204030204" pitchFamily="34" charset="0"/>
                  <a:cs typeface="Calibri" panose="020F0502020204030204" pitchFamily="34" charset="0"/>
                </a:rPr>
                <a:t>Clientes ativos por colaborador:</a:t>
              </a:r>
            </a:p>
            <a:p>
              <a:endParaRPr lang="en-US" sz="800" b="1">
                <a:solidFill>
                  <a:schemeClr val="tx1"/>
                </a:solidFill>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solidFill>
                              <a:schemeClr val="tx1"/>
                            </a:solidFill>
                            <a:latin typeface="Cambria Math" panose="02040503050406030204" pitchFamily="18" charset="0"/>
                            <a:cs typeface="Sora" pitchFamily="2" charset="0"/>
                          </a:rPr>
                        </m:ctrlPr>
                      </m:fPr>
                      <m:num>
                        <m:r>
                          <m:rPr>
                            <m:sty m:val="p"/>
                          </m:rPr>
                          <a:rPr lang="pt-BR" sz="800" b="0" i="0">
                            <a:solidFill>
                              <a:schemeClr val="tx1"/>
                            </a:solidFill>
                            <a:latin typeface="Cambria Math" panose="02040503050406030204" pitchFamily="18" charset="0"/>
                            <a:cs typeface="Sora" pitchFamily="2" charset="0"/>
                          </a:rPr>
                          <m:t>N</m:t>
                        </m:r>
                        <m:r>
                          <a:rPr lang="pt-BR" sz="800" i="0">
                            <a:solidFill>
                              <a:schemeClr val="tx1"/>
                            </a:solidFill>
                            <a:latin typeface="Cambria Math" panose="02040503050406030204" pitchFamily="18" charset="0"/>
                            <a:cs typeface="Sora" pitchFamily="2" charset="0"/>
                          </a:rPr>
                          <m:t>ú</m:t>
                        </m:r>
                        <m:r>
                          <m:rPr>
                            <m:sty m:val="p"/>
                          </m:rPr>
                          <a:rPr lang="pt-BR" sz="800" b="0" i="0">
                            <a:solidFill>
                              <a:schemeClr val="tx1"/>
                            </a:solidFill>
                            <a:latin typeface="Cambria Math" panose="02040503050406030204" pitchFamily="18" charset="0"/>
                            <a:cs typeface="Sora" pitchFamily="2" charset="0"/>
                          </a:rPr>
                          <m:t>mero</m:t>
                        </m:r>
                        <m:r>
                          <a:rPr lang="pt-BR" sz="800" b="0" i="0">
                            <a:solidFill>
                              <a:schemeClr val="tx1"/>
                            </a:solidFill>
                            <a:latin typeface="Cambria Math" panose="02040503050406030204" pitchFamily="18" charset="0"/>
                            <a:cs typeface="Sora" pitchFamily="2" charset="0"/>
                          </a:rPr>
                          <m:t> </m:t>
                        </m:r>
                        <m:r>
                          <m:rPr>
                            <m:sty m:val="p"/>
                          </m:rPr>
                          <a:rPr lang="pt-BR" sz="800" b="0" i="0">
                            <a:solidFill>
                              <a:schemeClr val="tx1"/>
                            </a:solidFill>
                            <a:latin typeface="Cambria Math" panose="02040503050406030204" pitchFamily="18" charset="0"/>
                            <a:cs typeface="Sora" pitchFamily="2" charset="0"/>
                          </a:rPr>
                          <m:t>de</m:t>
                        </m:r>
                        <m:r>
                          <a:rPr lang="pt-BR" sz="800" b="0" i="0">
                            <a:solidFill>
                              <a:schemeClr val="tx1"/>
                            </a:solidFill>
                            <a:latin typeface="Cambria Math" panose="02040503050406030204" pitchFamily="18" charset="0"/>
                            <a:cs typeface="Sora" pitchFamily="2" charset="0"/>
                          </a:rPr>
                          <m:t> </m:t>
                        </m:r>
                        <m:r>
                          <m:rPr>
                            <m:sty m:val="p"/>
                          </m:rPr>
                          <a:rPr lang="pt-BR" sz="800" b="0" i="0">
                            <a:solidFill>
                              <a:schemeClr val="tx1"/>
                            </a:solidFill>
                            <a:latin typeface="Cambria Math" panose="02040503050406030204" pitchFamily="18" charset="0"/>
                            <a:cs typeface="Sora" pitchFamily="2" charset="0"/>
                          </a:rPr>
                          <m:t>clientes</m:t>
                        </m:r>
                        <m:r>
                          <a:rPr lang="pt-BR" sz="800" b="0" i="0">
                            <a:solidFill>
                              <a:schemeClr val="tx1"/>
                            </a:solidFill>
                            <a:latin typeface="Cambria Math" panose="02040503050406030204" pitchFamily="18" charset="0"/>
                            <a:cs typeface="Sora" pitchFamily="2" charset="0"/>
                          </a:rPr>
                          <m:t> </m:t>
                        </m:r>
                        <m:r>
                          <m:rPr>
                            <m:sty m:val="p"/>
                          </m:rPr>
                          <a:rPr lang="pt-BR" sz="800" b="0" i="0">
                            <a:solidFill>
                              <a:schemeClr val="tx1"/>
                            </a:solidFill>
                            <a:latin typeface="Cambria Math" panose="02040503050406030204" pitchFamily="18" charset="0"/>
                            <a:cs typeface="Sora" pitchFamily="2" charset="0"/>
                          </a:rPr>
                          <m:t>ativos</m:t>
                        </m:r>
                        <m:r>
                          <a:rPr lang="pt-BR" sz="800" b="0" i="0">
                            <a:solidFill>
                              <a:schemeClr val="tx1"/>
                            </a:solidFill>
                            <a:latin typeface="Cambria Math" panose="02040503050406030204" pitchFamily="18" charset="0"/>
                            <a:cs typeface="Sora" pitchFamily="2" charset="0"/>
                          </a:rPr>
                          <m:t> </m:t>
                        </m:r>
                        <m:r>
                          <m:rPr>
                            <m:sty m:val="p"/>
                          </m:rPr>
                          <a:rPr lang="pt-BR" sz="800" b="0" i="0">
                            <a:solidFill>
                              <a:schemeClr val="tx1"/>
                            </a:solidFill>
                            <a:latin typeface="Cambria Math" panose="02040503050406030204" pitchFamily="18" charset="0"/>
                            <a:cs typeface="Sora" pitchFamily="2" charset="0"/>
                          </a:rPr>
                          <m:t>no</m:t>
                        </m:r>
                        <m:r>
                          <a:rPr lang="pt-BR" sz="800" b="0" i="0">
                            <a:solidFill>
                              <a:schemeClr val="tx1"/>
                            </a:solidFill>
                            <a:latin typeface="Cambria Math" panose="02040503050406030204" pitchFamily="18" charset="0"/>
                            <a:cs typeface="Sora" pitchFamily="2" charset="0"/>
                          </a:rPr>
                          <m:t> </m:t>
                        </m:r>
                        <m:r>
                          <m:rPr>
                            <m:sty m:val="p"/>
                          </m:rPr>
                          <a:rPr lang="pt-BR" sz="800" b="0" i="0">
                            <a:solidFill>
                              <a:schemeClr val="tx1"/>
                            </a:solidFill>
                            <a:latin typeface="Cambria Math" panose="02040503050406030204" pitchFamily="18" charset="0"/>
                            <a:cs typeface="Sora" pitchFamily="2" charset="0"/>
                          </a:rPr>
                          <m:t>trimestre</m:t>
                        </m:r>
                        <m:r>
                          <a:rPr lang="pt-BR" sz="800" b="0" i="0">
                            <a:solidFill>
                              <a:schemeClr val="tx1"/>
                            </a:solidFill>
                            <a:latin typeface="Cambria Math" panose="02040503050406030204" pitchFamily="18" charset="0"/>
                            <a:cs typeface="Sora" pitchFamily="2" charset="0"/>
                          </a:rPr>
                          <m:t> </m:t>
                        </m:r>
                      </m:num>
                      <m:den>
                        <m:r>
                          <m:rPr>
                            <m:sty m:val="p"/>
                          </m:rPr>
                          <a:rPr lang="pt-BR" sz="800">
                            <a:latin typeface="Cambria Math" panose="02040503050406030204" pitchFamily="18" charset="0"/>
                            <a:cs typeface="Sora" pitchFamily="2" charset="0"/>
                          </a:rPr>
                          <m:t>N</m:t>
                        </m:r>
                        <m:r>
                          <a:rPr lang="pt-BR" sz="800">
                            <a:latin typeface="Cambria Math" panose="02040503050406030204" pitchFamily="18" charset="0"/>
                            <a:cs typeface="Sora" pitchFamily="2" charset="0"/>
                          </a:rPr>
                          <m:t>ú</m:t>
                        </m:r>
                        <m:r>
                          <m:rPr>
                            <m:sty m:val="p"/>
                          </m:rPr>
                          <a:rPr lang="pt-BR" sz="800">
                            <a:latin typeface="Cambria Math" panose="02040503050406030204" pitchFamily="18" charset="0"/>
                            <a:cs typeface="Sora" pitchFamily="2" charset="0"/>
                          </a:rPr>
                          <m:t>mero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total</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colaboradores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no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trimestre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incluindo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estagi</m:t>
                        </m:r>
                        <m:r>
                          <a:rPr lang="pt-BR" sz="800">
                            <a:latin typeface="Cambria Math" panose="02040503050406030204" pitchFamily="18" charset="0"/>
                            <a:cs typeface="Sora" pitchFamily="2" charset="0"/>
                          </a:rPr>
                          <m:t>á</m:t>
                        </m:r>
                        <m:r>
                          <m:rPr>
                            <m:sty m:val="p"/>
                          </m:rPr>
                          <a:rPr lang="pt-BR" sz="800">
                            <a:latin typeface="Cambria Math" panose="02040503050406030204" pitchFamily="18" charset="0"/>
                            <a:cs typeface="Sora" pitchFamily="2" charset="0"/>
                          </a:rPr>
                          <m:t>rios</m:t>
                        </m:r>
                      </m:den>
                    </m:f>
                    <m:r>
                      <a:rPr lang="pt-BR" sz="800" b="0" i="0">
                        <a:solidFill>
                          <a:schemeClr val="tx1"/>
                        </a:solidFill>
                        <a:latin typeface="Cambria Math" panose="02040503050406030204" pitchFamily="18" charset="0"/>
                        <a:cs typeface="Sora" pitchFamily="2" charset="0"/>
                      </a:rPr>
                      <m:t> </m:t>
                    </m:r>
                  </m:oMath>
                </m:oMathPara>
              </a14:m>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rPr>
                <a:t>Custo de aquisição de cliente (CAC):</a:t>
              </a:r>
            </a:p>
            <a:p>
              <a:pPr marL="0" marR="0" lvl="0" indent="0" algn="just" defTabSz="457200" rtl="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rPr>
                <a:t>O custo médio para adicionar um cliente à base, considerando as despesas operacionais para abertura de conta</a:t>
              </a:r>
              <a:r>
                <a:rPr lang="en-US" sz="800">
                  <a:solidFill>
                    <a:schemeClr val="tx1"/>
                  </a:solidFill>
                  <a:latin typeface="Calibri" panose="020F0502020204030204" pitchFamily="34" charset="0"/>
                  <a:ea typeface="Inter Light BETA" panose="020B0402030000000004" pitchFamily="34" charset="0"/>
                  <a:cs typeface="Calibri" panose="020F0502020204030204" pitchFamily="34" charset="0"/>
                </a:rPr>
                <a:t>, </a:t>
              </a:r>
              <a:r>
                <a:rPr kumimoji="0" lang="en-US" sz="800" b="0" i="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rPr>
                <a:t>como pessoal de integração, gravação e envio de cartões, e despesas de marketing digital com foco na captação de clientes dividido pelo número de contas abertas no trimestre.</a:t>
              </a: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0" i="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rPr>
                <a:t>Gross Take Rate:</a:t>
              </a: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pt-BR" sz="800" b="0" i="1" u="none" strike="noStrike" kern="1200" cap="none" spc="0" normalizeH="0" baseline="0">
                            <a:ln>
                              <a:noFill/>
                            </a:ln>
                            <a:solidFill>
                              <a:schemeClr val="tx1"/>
                            </a:solidFill>
                            <a:effectLst/>
                            <a:uLnTx/>
                            <a:uFillTx/>
                            <a:latin typeface="Cambria Math" panose="02040503050406030204" pitchFamily="18" charset="0"/>
                          </a:rPr>
                        </m:ctrlPr>
                      </m:fPr>
                      <m:num>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Receita</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bruta</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Inter</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Shop</m:t>
                        </m:r>
                      </m:num>
                      <m:den>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Volume</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transacionado</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no</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Marketplace</m:t>
                        </m:r>
                      </m:den>
                    </m:f>
                  </m:oMath>
                </m:oMathPara>
              </a14:m>
              <a:endParaRPr kumimoji="0" lang="en-US" sz="800" b="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rPr>
                <a:t>Net Take Rate:</a:t>
              </a:r>
            </a:p>
            <a:p>
              <a:pPr marL="0" marR="0" lvl="0" indent="0" algn="l" defTabSz="457200" rtl="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pt-BR" sz="800" b="0" i="1" u="none" strike="noStrike" kern="1200" cap="none" spc="0" normalizeH="0" baseline="0">
                            <a:ln>
                              <a:noFill/>
                            </a:ln>
                            <a:solidFill>
                              <a:schemeClr val="tx1"/>
                            </a:solidFill>
                            <a:effectLst/>
                            <a:uLnTx/>
                            <a:uFillTx/>
                            <a:latin typeface="Cambria Math" panose="02040503050406030204" pitchFamily="18" charset="0"/>
                          </a:rPr>
                        </m:ctrlPr>
                      </m:fPr>
                      <m:num>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Receita</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l</m:t>
                        </m:r>
                        <m:r>
                          <a:rPr kumimoji="0" lang="pt-BR" sz="800" b="0" i="0" u="none" strike="noStrike" kern="1200" cap="none" spc="0" normalizeH="0" baseline="0">
                            <a:ln>
                              <a:noFill/>
                            </a:ln>
                            <a:solidFill>
                              <a:schemeClr val="tx1"/>
                            </a:solidFill>
                            <a:effectLst/>
                            <a:uLnTx/>
                            <a:uFillTx/>
                            <a:latin typeface="Cambria Math" panose="02040503050406030204" pitchFamily="18" charset="0"/>
                          </a:rPr>
                          <m:t>í</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quida</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Inter</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Shop</m:t>
                        </m:r>
                      </m:num>
                      <m:den>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Volume</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transacionado</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no</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Marketplace</m:t>
                        </m:r>
                      </m:den>
                    </m:f>
                  </m:oMath>
                </m:oMathPara>
              </a14:m>
              <a:endParaRPr kumimoji="0" lang="pt-BR" sz="800" b="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xdr:txBody>
        </xdr:sp>
      </mc:Choice>
      <mc:Fallback xmlns="">
        <xdr:sp macro="" textlink="">
          <xdr:nvSpPr>
            <xdr:cNvPr id="45" name="Retângulo 9">
              <a:extLst>
                <a:ext uri="{FF2B5EF4-FFF2-40B4-BE49-F238E27FC236}">
                  <a16:creationId xmlns:a16="http://schemas.microsoft.com/office/drawing/2014/main" id="{48BBF3E4-0244-D8A6-4858-29E2132863B8}"/>
                </a:ext>
              </a:extLst>
            </xdr:cNvPr>
            <xdr:cNvSpPr/>
          </xdr:nvSpPr>
          <xdr:spPr>
            <a:xfrm>
              <a:off x="6741541" y="765095"/>
              <a:ext cx="5772853" cy="486440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solidFill>
                    <a:schemeClr val="tx1"/>
                  </a:solidFill>
                  <a:latin typeface="Calibri" panose="020F0502020204030204" pitchFamily="34" charset="0"/>
                  <a:cs typeface="Calibri" panose="020F0502020204030204" pitchFamily="34" charset="0"/>
                </a:rPr>
                <a:t>Clientes ativos:</a:t>
              </a:r>
            </a:p>
            <a:p>
              <a:pPr algn="just"/>
              <a:r>
                <a:rPr lang="en-US" sz="800">
                  <a:solidFill>
                    <a:schemeClr val="tx1"/>
                  </a:solidFill>
                  <a:latin typeface="Calibri" panose="020F0502020204030204" pitchFamily="34" charset="0"/>
                  <a:ea typeface="Inter Light BETA" panose="020B0402030000000004" pitchFamily="34" charset="0"/>
                  <a:cs typeface="Calibri" panose="020F0502020204030204" pitchFamily="34" charset="0"/>
                </a:rPr>
                <a:t>Nós definimos um cliente ativo como um cliente em qualquer data que foi a fonte de qualquer quantia de receita para nós nos últimos três meses e/ou um cliente que usou produtos nos últimos três meses. Para o Inter Seguros, calculamos o número de clientes ativos para a nossa vertical de corretagem de seguros como o número de beneficiários de apólices de seguro efetivas em uma determinada data. Para a Inter Invest, calculamos o número de clientes ativos como o número de contas individuais que investiram em nossa plataforma durante o período aplicável. </a:t>
              </a:r>
            </a:p>
            <a:p>
              <a:endParaRPr lang="en-US" sz="800" b="1">
                <a:solidFill>
                  <a:schemeClr val="tx1"/>
                </a:solidFill>
                <a:latin typeface="Calibri" panose="020F0502020204030204" pitchFamily="34" charset="0"/>
                <a:cs typeface="Calibri" panose="020F0502020204030204" pitchFamily="34" charset="0"/>
              </a:endParaRPr>
            </a:p>
            <a:p>
              <a:endParaRPr lang="en-US" sz="800" b="1">
                <a:solidFill>
                  <a:schemeClr val="tx1"/>
                </a:solidFill>
                <a:latin typeface="Calibri" panose="020F0502020204030204" pitchFamily="34" charset="0"/>
                <a:cs typeface="Calibri" panose="020F0502020204030204" pitchFamily="34" charset="0"/>
              </a:endParaRPr>
            </a:p>
            <a:p>
              <a:endParaRPr lang="en-US" sz="800" b="1">
                <a:solidFill>
                  <a:schemeClr val="tx1"/>
                </a:solidFill>
                <a:latin typeface="Calibri" panose="020F0502020204030204" pitchFamily="34" charset="0"/>
                <a:cs typeface="Calibri" panose="020F0502020204030204" pitchFamily="34" charset="0"/>
              </a:endParaRPr>
            </a:p>
            <a:p>
              <a:r>
                <a:rPr lang="en-US" sz="800" b="1">
                  <a:solidFill>
                    <a:schemeClr val="tx1"/>
                  </a:solidFill>
                  <a:latin typeface="Calibri" panose="020F0502020204030204" pitchFamily="34" charset="0"/>
                  <a:cs typeface="Calibri" panose="020F0502020204030204" pitchFamily="34" charset="0"/>
                </a:rPr>
                <a:t>Clientes ativos por colaborador:</a:t>
              </a:r>
            </a:p>
            <a:p>
              <a:endParaRPr lang="en-US" sz="800" b="1">
                <a:solidFill>
                  <a:schemeClr val="tx1"/>
                </a:solidFill>
                <a:latin typeface="Calibri" panose="020F0502020204030204" pitchFamily="34" charset="0"/>
                <a:cs typeface="Calibri" panose="020F0502020204030204" pitchFamily="34" charset="0"/>
              </a:endParaRPr>
            </a:p>
            <a:p>
              <a:pPr/>
              <a:r>
                <a:rPr lang="en-US" sz="800" i="0">
                  <a:solidFill>
                    <a:schemeClr val="tx1"/>
                  </a:solidFill>
                  <a:latin typeface="Cambria Math" panose="02040503050406030204" pitchFamily="18" charset="0"/>
                  <a:cs typeface="Sora" pitchFamily="2" charset="0"/>
                </a:rPr>
                <a:t>(</a:t>
              </a:r>
              <a:r>
                <a:rPr lang="pt-BR" sz="800" b="0" i="0">
                  <a:solidFill>
                    <a:schemeClr val="tx1"/>
                  </a:solidFill>
                  <a:latin typeface="Cambria Math" panose="02040503050406030204" pitchFamily="18" charset="0"/>
                  <a:cs typeface="Sora" pitchFamily="2" charset="0"/>
                </a:rPr>
                <a:t>N</a:t>
              </a:r>
              <a:r>
                <a:rPr lang="pt-BR" sz="800" i="0">
                  <a:solidFill>
                    <a:schemeClr val="tx1"/>
                  </a:solidFill>
                  <a:latin typeface="Cambria Math" panose="02040503050406030204" pitchFamily="18" charset="0"/>
                  <a:cs typeface="Sora" pitchFamily="2" charset="0"/>
                </a:rPr>
                <a:t>ú</a:t>
              </a:r>
              <a:r>
                <a:rPr lang="pt-BR" sz="800" b="0" i="0">
                  <a:solidFill>
                    <a:schemeClr val="tx1"/>
                  </a:solidFill>
                  <a:latin typeface="Cambria Math" panose="02040503050406030204" pitchFamily="18" charset="0"/>
                  <a:cs typeface="Sora" pitchFamily="2" charset="0"/>
                </a:rPr>
                <a:t>mero de clientes ativos no trimestre </a:t>
              </a:r>
              <a:r>
                <a:rPr lang="en-US" sz="800" b="0" i="0">
                  <a:solidFill>
                    <a:schemeClr val="tx1"/>
                  </a:solidFill>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Número total de colaboradores no trimestre, incluindo estagiários</a:t>
              </a:r>
              <a:r>
                <a:rPr lang="en-US" sz="800" i="0">
                  <a:solidFill>
                    <a:schemeClr val="tx1"/>
                  </a:solidFill>
                  <a:latin typeface="Cambria Math" panose="02040503050406030204" pitchFamily="18" charset="0"/>
                  <a:cs typeface="Sora" pitchFamily="2" charset="0"/>
                </a:rPr>
                <a:t>)</a:t>
              </a:r>
              <a:r>
                <a:rPr lang="pt-BR" sz="800" b="0" i="0">
                  <a:solidFill>
                    <a:schemeClr val="tx1"/>
                  </a:solidFill>
                  <a:latin typeface="Cambria Math" panose="02040503050406030204" pitchFamily="18" charset="0"/>
                  <a:cs typeface="Sora" pitchFamily="2" charset="0"/>
                </a:rPr>
                <a:t>  </a:t>
              </a:r>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rPr>
                <a:t>Custo de aquisição de cliente (CAC):</a:t>
              </a:r>
            </a:p>
            <a:p>
              <a:pPr marL="0" marR="0" lvl="0" indent="0" algn="just" defTabSz="457200" rtl="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rPr>
                <a:t>O custo médio para adicionar um cliente à base, considerando as despesas operacionais para abertura de conta</a:t>
              </a:r>
              <a:r>
                <a:rPr lang="en-US" sz="800">
                  <a:solidFill>
                    <a:schemeClr val="tx1"/>
                  </a:solidFill>
                  <a:latin typeface="Calibri" panose="020F0502020204030204" pitchFamily="34" charset="0"/>
                  <a:ea typeface="Inter Light BETA" panose="020B0402030000000004" pitchFamily="34" charset="0"/>
                  <a:cs typeface="Calibri" panose="020F0502020204030204" pitchFamily="34" charset="0"/>
                </a:rPr>
                <a:t>, </a:t>
              </a:r>
              <a:r>
                <a:rPr kumimoji="0" lang="en-US" sz="800" b="0" i="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rPr>
                <a:t>como pessoal de integração, gravação e envio de cartões, e despesas de marketing digital com foco na captação de clientes dividido pelo número de contas abertas no trimestre.</a:t>
              </a: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0" i="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rPr>
                <a:t>Gross Take Rate:</a:t>
              </a: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pt-BR" sz="800" b="0" i="0" u="none" strike="noStrike" kern="1200" cap="none" spc="0" normalizeH="0" baseline="0">
                  <a:ln>
                    <a:noFill/>
                  </a:ln>
                  <a:solidFill>
                    <a:schemeClr val="tx1"/>
                  </a:solidFill>
                  <a:effectLst/>
                  <a:uLnTx/>
                  <a:uFillTx/>
                  <a:latin typeface="Cambria Math" panose="02040503050406030204" pitchFamily="18" charset="0"/>
                </a:rPr>
                <a:t>(Receita bruta Inter Shop)/(Volume transacionado no Marketplace)</a:t>
              </a:r>
              <a:endParaRPr kumimoji="0" lang="en-US" sz="800" b="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rPr>
                <a:t>Net Take Rate:</a:t>
              </a: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pt-BR" sz="800" b="0" i="0" u="none" strike="noStrike" kern="1200" cap="none" spc="0" normalizeH="0" baseline="0">
                  <a:ln>
                    <a:noFill/>
                  </a:ln>
                  <a:solidFill>
                    <a:schemeClr val="tx1"/>
                  </a:solidFill>
                  <a:effectLst/>
                  <a:uLnTx/>
                  <a:uFillTx/>
                  <a:latin typeface="Cambria Math" panose="02040503050406030204" pitchFamily="18" charset="0"/>
                </a:rPr>
                <a:t>(Receita líquida Inter Shop)/(Volume transacionado no Marketplace)</a:t>
              </a:r>
              <a:endParaRPr kumimoji="0" lang="pt-BR" sz="800" b="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xdr:txBody>
        </xdr:sp>
      </mc:Fallback>
    </mc:AlternateContent>
    <xdr:clientData/>
  </xdr:twoCellAnchor>
  <xdr:twoCellAnchor>
    <xdr:from>
      <xdr:col>8</xdr:col>
      <xdr:colOff>135271</xdr:colOff>
      <xdr:row>27</xdr:row>
      <xdr:rowOff>173182</xdr:rowOff>
    </xdr:from>
    <xdr:to>
      <xdr:col>15</xdr:col>
      <xdr:colOff>111553</xdr:colOff>
      <xdr:row>47</xdr:row>
      <xdr:rowOff>78418</xdr:rowOff>
    </xdr:to>
    <mc:AlternateContent xmlns:mc="http://schemas.openxmlformats.org/markup-compatibility/2006" xmlns:a14="http://schemas.microsoft.com/office/drawing/2010/main">
      <mc:Choice Requires="a14">
        <xdr:sp macro="" textlink="">
          <xdr:nvSpPr>
            <xdr:cNvPr id="46" name="Retângulo 9">
              <a:extLst>
                <a:ext uri="{FF2B5EF4-FFF2-40B4-BE49-F238E27FC236}">
                  <a16:creationId xmlns:a16="http://schemas.microsoft.com/office/drawing/2014/main" id="{00000000-0008-0000-1600-00002E000000}"/>
                </a:ext>
              </a:extLst>
            </xdr:cNvPr>
            <xdr:cNvSpPr/>
          </xdr:nvSpPr>
          <xdr:spPr>
            <a:xfrm>
              <a:off x="6831635" y="5628409"/>
              <a:ext cx="5835600" cy="3946145"/>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endParaRPr lang="en-US" sz="800" b="1">
                <a:solidFill>
                  <a:prstClr val="black"/>
                </a:solidFill>
                <a:latin typeface="Calibri" panose="020F0502020204030204" pitchFamily="34" charset="0"/>
                <a:cs typeface="Calibri" panose="020F0502020204030204" pitchFamily="34" charset="0"/>
              </a:endParaRPr>
            </a:p>
            <a:p>
              <a:pPr algn="just"/>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Taxa de ativação:</a:t>
              </a:r>
            </a:p>
            <a:p>
              <a:pPr algn="just"/>
              <a14:m>
                <m:oMathPara xmlns:m="http://schemas.openxmlformats.org/officeDocument/2006/math">
                  <m:oMathParaPr>
                    <m:jc m:val="centerGroup"/>
                  </m:oMathParaPr>
                  <m:oMath xmlns:m="http://schemas.openxmlformats.org/officeDocument/2006/math">
                    <m:f>
                      <m:fPr>
                        <m:ctrlPr>
                          <a:rPr lang="en-US" sz="800" i="1">
                            <a:solidFill>
                              <a:schemeClr val="tx1"/>
                            </a:solidFill>
                            <a:latin typeface="Cambria Math" panose="02040503050406030204" pitchFamily="18" charset="0"/>
                            <a:cs typeface="Sora" pitchFamily="2" charset="0"/>
                          </a:rPr>
                        </m:ctrlPr>
                      </m:fPr>
                      <m:num>
                        <m:r>
                          <m:rPr>
                            <m:sty m:val="p"/>
                          </m:rPr>
                          <a:rPr lang="pt-BR" sz="800" i="0">
                            <a:latin typeface="Cambria Math" panose="02040503050406030204" pitchFamily="18" charset="0"/>
                            <a:cs typeface="Sora" pitchFamily="2" charset="0"/>
                          </a:rPr>
                          <m:t>N</m:t>
                        </m:r>
                        <m:r>
                          <a:rPr lang="pt-BR" sz="800" i="0">
                            <a:latin typeface="Cambria Math" panose="02040503050406030204" pitchFamily="18" charset="0"/>
                            <a:cs typeface="Sora" pitchFamily="2" charset="0"/>
                          </a:rPr>
                          <m:t>ú</m:t>
                        </m:r>
                        <m:r>
                          <m:rPr>
                            <m:sty m:val="p"/>
                          </m:rPr>
                          <a:rPr lang="pt-BR" sz="800" b="0" i="0">
                            <a:latin typeface="Cambria Math" panose="02040503050406030204" pitchFamily="18" charset="0"/>
                            <a:cs typeface="Sora" pitchFamily="2" charset="0"/>
                          </a:rPr>
                          <m:t>mero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clientes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ativos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no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final</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trimestre</m:t>
                        </m:r>
                      </m:num>
                      <m:den>
                        <m:r>
                          <m:rPr>
                            <m:sty m:val="p"/>
                          </m:rPr>
                          <a:rPr lang="pt-BR" sz="800" i="0">
                            <a:solidFill>
                              <a:schemeClr val="tx1"/>
                            </a:solidFill>
                            <a:latin typeface="Cambria Math" panose="02040503050406030204" pitchFamily="18" charset="0"/>
                            <a:cs typeface="Sora" pitchFamily="2" charset="0"/>
                          </a:rPr>
                          <m:t>N</m:t>
                        </m:r>
                        <m:r>
                          <a:rPr lang="pt-BR" sz="800" i="0">
                            <a:latin typeface="Cambria Math" panose="02040503050406030204" pitchFamily="18" charset="0"/>
                            <a:cs typeface="Sora" pitchFamily="2" charset="0"/>
                          </a:rPr>
                          <m:t>ú</m:t>
                        </m:r>
                        <m:r>
                          <m:rPr>
                            <m:sty m:val="p"/>
                          </m:rPr>
                          <a:rPr lang="pt-BR" sz="800" b="0" i="0">
                            <a:latin typeface="Cambria Math" panose="02040503050406030204" pitchFamily="18" charset="0"/>
                            <a:cs typeface="Sora" pitchFamily="2" charset="0"/>
                          </a:rPr>
                          <m:t>mero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total</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clientes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no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final</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trimestre</m:t>
                        </m:r>
                      </m:den>
                    </m:f>
                  </m:oMath>
                </m:oMathPara>
              </a14:m>
              <a:endParaRPr kumimoji="0" lang="en-US" sz="800" b="1"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r>
                <a:rPr lang="en-US" sz="800" b="1">
                  <a:solidFill>
                    <a:prstClr val="black"/>
                  </a:solidFill>
                  <a:latin typeface="Calibri" panose="020F0502020204030204" pitchFamily="34" charset="0"/>
                  <a:cs typeface="Calibri" panose="020F0502020204030204" pitchFamily="34" charset="0"/>
                </a:rPr>
                <a:t>T</a:t>
              </a:r>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PV de Cartões + PIX:</a:t>
              </a:r>
            </a:p>
            <a:p>
              <a:pPr algn="just"/>
              <a:r>
                <a:rPr lang="en-US" sz="800">
                  <a:latin typeface="Calibri" panose="020F0502020204030204" pitchFamily="34" charset="0"/>
                  <a:ea typeface="Inter Light BETA" panose="020B0402030000000004" pitchFamily="34" charset="0"/>
                  <a:cs typeface="Calibri" panose="020F0502020204030204" pitchFamily="34" charset="0"/>
                </a:rPr>
                <a:t>Volumes de transações PIX, débito e crédito e saques de um determinado período. O PIX é uma solução do Banco Central do Brasil para realizar pagamentos instantâneos entre bancos e instituições financeiras no Brasil. </a:t>
              </a: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lumMod val="85000"/>
                    <a:lumOff val="15000"/>
                  </a:prstClr>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algn="just"/>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algn="just"/>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TPV de Cartões + PIX por cliente ativo:</a:t>
              </a:r>
            </a:p>
            <a:p>
              <a:pPr algn="just"/>
              <a:r>
                <a:rPr lang="en-US" sz="800">
                  <a:latin typeface="Calibri" panose="020F0502020204030204" pitchFamily="34" charset="0"/>
                  <a:ea typeface="Inter Light BETA" panose="020B0402030000000004" pitchFamily="34" charset="0"/>
                  <a:cs typeface="Calibri" panose="020F0502020204030204" pitchFamily="34" charset="0"/>
                </a:rPr>
                <a:t>TPV de Cartões+PIX de um determinado período dividido pelo número de clientes ativos referente ao último dia do período. </a:t>
              </a: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prstClr val="black"/>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Volume transacionado no marketplace (GMV):</a:t>
              </a:r>
            </a:p>
            <a:p>
              <a:pPr algn="just"/>
              <a:r>
                <a:rPr lang="en-US" sz="8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rPr>
                <a:t>O valor total de todas as vendas feitas ou iniciadas por meio de nossa plataforma Inter Shop &amp; Commerce Plus, gerenciada pela Inter Shop &amp; Commerce Plus.</a:t>
              </a: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xdr:txBody>
        </xdr:sp>
      </mc:Choice>
      <mc:Fallback xmlns="">
        <xdr:sp macro="" textlink="">
          <xdr:nvSpPr>
            <xdr:cNvPr id="46" name="Retângulo 9">
              <a:extLst>
                <a:ext uri="{FF2B5EF4-FFF2-40B4-BE49-F238E27FC236}">
                  <a16:creationId xmlns:a16="http://schemas.microsoft.com/office/drawing/2014/main" id="{33500F7D-DE20-3699-A953-DA8ABAFC9F69}"/>
                </a:ext>
              </a:extLst>
            </xdr:cNvPr>
            <xdr:cNvSpPr/>
          </xdr:nvSpPr>
          <xdr:spPr>
            <a:xfrm>
              <a:off x="6831635" y="5628409"/>
              <a:ext cx="5835600" cy="3946145"/>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endParaRPr lang="en-US" sz="800" b="1">
                <a:solidFill>
                  <a:prstClr val="black"/>
                </a:solidFill>
                <a:latin typeface="Calibri" panose="020F0502020204030204" pitchFamily="34" charset="0"/>
                <a:cs typeface="Calibri" panose="020F0502020204030204" pitchFamily="34" charset="0"/>
              </a:endParaRPr>
            </a:p>
            <a:p>
              <a:pPr algn="just"/>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Taxa de ativação:</a:t>
              </a:r>
            </a:p>
            <a:p>
              <a:pPr algn="just"/>
              <a:r>
                <a:rPr lang="en-US" sz="800" i="0">
                  <a:solidFill>
                    <a:schemeClr val="tx1"/>
                  </a:solidFill>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Nú</a:t>
              </a:r>
              <a:r>
                <a:rPr lang="pt-BR" sz="800" b="0" i="0">
                  <a:latin typeface="Cambria Math" panose="02040503050406030204" pitchFamily="18" charset="0"/>
                  <a:cs typeface="Sora" pitchFamily="2" charset="0"/>
                </a:rPr>
                <a:t>mero de clientes ativos no final do trimestre</a:t>
              </a:r>
              <a:r>
                <a:rPr lang="en-US" sz="800" b="0" i="0">
                  <a:solidFill>
                    <a:schemeClr val="tx1"/>
                  </a:solidFill>
                  <a:latin typeface="Cambria Math" panose="02040503050406030204" pitchFamily="18" charset="0"/>
                  <a:cs typeface="Sora" pitchFamily="2" charset="0"/>
                </a:rPr>
                <a:t>)/(</a:t>
              </a:r>
              <a:r>
                <a:rPr lang="pt-BR" sz="800" i="0">
                  <a:solidFill>
                    <a:schemeClr val="tx1"/>
                  </a:solidFill>
                  <a:latin typeface="Cambria Math" panose="02040503050406030204" pitchFamily="18" charset="0"/>
                  <a:cs typeface="Sora" pitchFamily="2" charset="0"/>
                </a:rPr>
                <a:t>N</a:t>
              </a:r>
              <a:r>
                <a:rPr lang="pt-BR" sz="800" i="0">
                  <a:latin typeface="Cambria Math" panose="02040503050406030204" pitchFamily="18" charset="0"/>
                  <a:cs typeface="Sora" pitchFamily="2" charset="0"/>
                </a:rPr>
                <a:t>ú</a:t>
              </a:r>
              <a:r>
                <a:rPr lang="pt-BR" sz="800" b="0" i="0">
                  <a:latin typeface="Cambria Math" panose="02040503050406030204" pitchFamily="18" charset="0"/>
                  <a:cs typeface="Sora" pitchFamily="2" charset="0"/>
                </a:rPr>
                <a:t>mero total de clientes no final do trimestre</a:t>
              </a:r>
              <a:r>
                <a:rPr lang="en-US" sz="800" b="0" i="0">
                  <a:solidFill>
                    <a:schemeClr val="tx1"/>
                  </a:solidFill>
                  <a:latin typeface="Cambria Math" panose="02040503050406030204" pitchFamily="18" charset="0"/>
                  <a:cs typeface="Sora" pitchFamily="2" charset="0"/>
                </a:rPr>
                <a:t>)</a:t>
              </a:r>
              <a:endParaRPr kumimoji="0" lang="en-US" sz="800" b="1"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r>
                <a:rPr lang="en-US" sz="800" b="1">
                  <a:solidFill>
                    <a:prstClr val="black"/>
                  </a:solidFill>
                  <a:latin typeface="Calibri" panose="020F0502020204030204" pitchFamily="34" charset="0"/>
                  <a:cs typeface="Calibri" panose="020F0502020204030204" pitchFamily="34" charset="0"/>
                </a:rPr>
                <a:t>T</a:t>
              </a:r>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PV de Cartões + PIX:</a:t>
              </a:r>
            </a:p>
            <a:p>
              <a:pPr algn="just"/>
              <a:r>
                <a:rPr lang="en-US" sz="800">
                  <a:latin typeface="Calibri" panose="020F0502020204030204" pitchFamily="34" charset="0"/>
                  <a:ea typeface="Inter Light BETA" panose="020B0402030000000004" pitchFamily="34" charset="0"/>
                  <a:cs typeface="Calibri" panose="020F0502020204030204" pitchFamily="34" charset="0"/>
                </a:rPr>
                <a:t>Volumes de transações PIX, débito e crédito e saques de um determinado período. O PIX é uma solução do Banco Central do Brasil para realizar pagamentos instantâneos entre bancos e instituições financeiras no Brasil. </a:t>
              </a: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lumMod val="85000"/>
                    <a:lumOff val="15000"/>
                  </a:prstClr>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algn="just"/>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algn="just"/>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TPV de Cartões + PIX por cliente ativo:</a:t>
              </a:r>
            </a:p>
            <a:p>
              <a:pPr algn="just"/>
              <a:r>
                <a:rPr lang="en-US" sz="800">
                  <a:latin typeface="Calibri" panose="020F0502020204030204" pitchFamily="34" charset="0"/>
                  <a:ea typeface="Inter Light BETA" panose="020B0402030000000004" pitchFamily="34" charset="0"/>
                  <a:cs typeface="Calibri" panose="020F0502020204030204" pitchFamily="34" charset="0"/>
                </a:rPr>
                <a:t>TPV de Cartões+PIX de um determinado período dividido pelo número de clientes ativos referente ao último dia do período. </a:t>
              </a: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prstClr val="black"/>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Volume transacionado no marketplace (GMV):</a:t>
              </a:r>
            </a:p>
            <a:p>
              <a:pPr algn="just"/>
              <a:r>
                <a:rPr lang="en-US" sz="8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rPr>
                <a:t>O valor total de todas as vendas feitas ou iniciadas por meio de nossa plataforma Inter Shop &amp; Commerce Plus, gerenciada pela Inter Shop &amp; Commerce Plus.</a:t>
              </a: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xdr:txBody>
        </xdr:sp>
      </mc:Fallback>
    </mc:AlternateContent>
    <xdr:clientData/>
  </xdr:twoCellAnchor>
  <xdr:twoCellAnchor>
    <xdr:from>
      <xdr:col>8</xdr:col>
      <xdr:colOff>86591</xdr:colOff>
      <xdr:row>52</xdr:row>
      <xdr:rowOff>57727</xdr:rowOff>
    </xdr:from>
    <xdr:to>
      <xdr:col>15</xdr:col>
      <xdr:colOff>61618</xdr:colOff>
      <xdr:row>80</xdr:row>
      <xdr:rowOff>144512</xdr:rowOff>
    </xdr:to>
    <mc:AlternateContent xmlns:mc="http://schemas.openxmlformats.org/markup-compatibility/2006" xmlns:a14="http://schemas.microsoft.com/office/drawing/2010/main">
      <mc:Choice Requires="a14">
        <xdr:sp macro="" textlink="">
          <xdr:nvSpPr>
            <xdr:cNvPr id="47" name="Retângulo 9">
              <a:extLst>
                <a:ext uri="{FF2B5EF4-FFF2-40B4-BE49-F238E27FC236}">
                  <a16:creationId xmlns:a16="http://schemas.microsoft.com/office/drawing/2014/main" id="{00000000-0008-0000-1600-00002F000000}"/>
                </a:ext>
              </a:extLst>
            </xdr:cNvPr>
            <xdr:cNvSpPr/>
          </xdr:nvSpPr>
          <xdr:spPr>
            <a:xfrm>
              <a:off x="6712678" y="9628741"/>
              <a:ext cx="5772853" cy="524040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BR" sz="800" b="1">
                  <a:latin typeface="Calibri" panose="020F0502020204030204" pitchFamily="34" charset="0"/>
                  <a:cs typeface="Calibri" panose="020F0502020204030204" pitchFamily="34" charset="0"/>
                </a:rPr>
                <a:t>Antecipação de recebíveis de cartão de crédito:</a:t>
              </a:r>
            </a:p>
            <a:p>
              <a:pPr algn="just"/>
              <a:r>
                <a:rPr lang="pt-BR" sz="800">
                  <a:latin typeface="Calibri" panose="020F0502020204030204" pitchFamily="34" charset="0"/>
                  <a:ea typeface="Inter" panose="020B0502030000000004" pitchFamily="34" charset="0"/>
                  <a:cs typeface="Calibri" panose="020F0502020204030204" pitchFamily="34" charset="0"/>
                </a:rPr>
                <a:t>Divulgados na nota 9.a das Demonstrações Financeiras, na linha "Empréstimos e adiantamentos a instituições financeiras”.</a:t>
              </a: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ARPAC bruto</a:t>
              </a:r>
              <a:r>
                <a:rPr lang="en-US" sz="800" b="1">
                  <a:solidFill>
                    <a:schemeClr val="tx1"/>
                  </a:solidFill>
                  <a:latin typeface="Calibri" panose="020F0502020204030204" pitchFamily="34" charset="0"/>
                  <a:cs typeface="Calibri" panose="020F0502020204030204" pitchFamily="34" charset="0"/>
                </a:rPr>
                <a:t>:</a:t>
              </a:r>
            </a:p>
            <a:p>
              <a:pPr algn="ctr"/>
              <a:br>
                <a:rPr lang="en-US" sz="800" b="1">
                  <a:solidFill>
                    <a:schemeClr val="tx1"/>
                  </a:solidFill>
                  <a:latin typeface="Calibri" panose="020F0502020204030204" pitchFamily="34" charset="0"/>
                  <a:cs typeface="Calibri" panose="020F0502020204030204" pitchFamily="34" charset="0"/>
                </a:rPr>
              </a:br>
              <a14:m>
                <m:oMathPara xmlns:m="http://schemas.openxmlformats.org/officeDocument/2006/math">
                  <m:oMathParaPr>
                    <m:jc m:val="centerGroup"/>
                  </m:oMathParaPr>
                  <m:oMath xmlns:m="http://schemas.openxmlformats.org/officeDocument/2006/math">
                    <m:f>
                      <m:fPr>
                        <m:ctrlPr>
                          <a:rPr lang="en-US" sz="800" i="1">
                            <a:solidFill>
                              <a:schemeClr val="tx1"/>
                            </a:solidFill>
                            <a:latin typeface="Cambria Math" panose="02040503050406030204" pitchFamily="18" charset="0"/>
                            <a:cs typeface="Sora" pitchFamily="2" charset="0"/>
                          </a:rPr>
                        </m:ctrlPr>
                      </m:fPr>
                      <m:num>
                        <m:eqArr>
                          <m:eqArrPr>
                            <m:ctrlPr>
                              <a:rPr lang="en-US" sz="800" i="1">
                                <a:latin typeface="Cambria Math" panose="02040503050406030204" pitchFamily="18" charset="0"/>
                                <a:cs typeface="Sora" pitchFamily="2" charset="0"/>
                              </a:rPr>
                            </m:ctrlPr>
                          </m:eqArrPr>
                          <m:e>
                            <m:r>
                              <m:rPr>
                                <m:sty m:val="p"/>
                              </m:rPr>
                              <a:rPr lang="en-US" sz="800">
                                <a:latin typeface="Cambria Math" panose="02040503050406030204" pitchFamily="18" charset="0"/>
                                <a:cs typeface="Sora" pitchFamily="2" charset="0"/>
                              </a:rPr>
                              <m:t>Receita</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juros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Receitas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servi</m:t>
                            </m:r>
                            <m:r>
                              <a:rPr lang="en-US" sz="800">
                                <a:latin typeface="Cambria Math" panose="02040503050406030204" pitchFamily="18" charset="0"/>
                                <a:cs typeface="Sora" pitchFamily="2" charset="0"/>
                              </a:rPr>
                              <m:t>ç</m:t>
                            </m:r>
                            <m:r>
                              <m:rPr>
                                <m:sty m:val="p"/>
                              </m:rPr>
                              <a:rPr lang="en-US" sz="800">
                                <a:latin typeface="Cambria Math" panose="02040503050406030204" pitchFamily="18" charset="0"/>
                                <a:cs typeface="Sora" pitchFamily="2" charset="0"/>
                              </a:rPr>
                              <m:t>os</m:t>
                            </m:r>
                            <m:r>
                              <a:rPr lang="pt-BR"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comiss</m:t>
                            </m:r>
                            <m:r>
                              <a:rPr lang="en-US" sz="800">
                                <a:latin typeface="Cambria Math" panose="02040503050406030204" pitchFamily="18" charset="0"/>
                                <a:cs typeface="Sora" pitchFamily="2" charset="0"/>
                              </a:rPr>
                              <m:t>õ</m:t>
                            </m:r>
                            <m:r>
                              <m:rPr>
                                <m:sty m:val="p"/>
                              </m:rPr>
                              <a:rPr lang="en-US" sz="800">
                                <a:latin typeface="Cambria Math" panose="02040503050406030204" pitchFamily="18" charset="0"/>
                                <a:cs typeface="Sora" pitchFamily="2" charset="0"/>
                              </a:rPr>
                              <m:t>es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Despesas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cashback</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InterRewards</m:t>
                            </m:r>
                            <m:r>
                              <m:rPr>
                                <m:nor/>
                              </m:rPr>
                              <a:rPr lang="pt-BR" sz="800">
                                <a:latin typeface="Calibri" panose="020F0502020204030204" pitchFamily="34" charset="0"/>
                                <a:cs typeface="Calibri" panose="020F0502020204030204" pitchFamily="34" charset="0"/>
                              </a:rPr>
                              <m:t>) </m:t>
                            </m:r>
                            <m:r>
                              <a:rPr lang="pt-BR" sz="800" i="1">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Re</m:t>
                            </m:r>
                            <m:r>
                              <m:rPr>
                                <m:sty m:val="p"/>
                              </m:rPr>
                              <a:rPr lang="pt-BR" sz="800">
                                <a:latin typeface="Cambria Math" panose="02040503050406030204" pitchFamily="18" charset="0"/>
                                <a:cs typeface="Sora" pitchFamily="2" charset="0"/>
                              </a:rPr>
                              <m:t>sultado</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t</m:t>
                            </m:r>
                            <m:r>
                              <a:rPr lang="en-US" sz="800">
                                <a:latin typeface="Cambria Math" panose="02040503050406030204" pitchFamily="18" charset="0"/>
                                <a:cs typeface="Sora" pitchFamily="2" charset="0"/>
                              </a:rPr>
                              <m:t>í</m:t>
                            </m:r>
                            <m:r>
                              <m:rPr>
                                <m:sty m:val="p"/>
                              </m:rPr>
                              <a:rPr lang="en-US" sz="800">
                                <a:latin typeface="Cambria Math" panose="02040503050406030204" pitchFamily="18" charset="0"/>
                                <a:cs typeface="Sora" pitchFamily="2" charset="0"/>
                              </a:rPr>
                              <m:t>tulos</m:t>
                            </m:r>
                            <m:r>
                              <a:rPr lang="en-US" sz="800">
                                <a:latin typeface="Cambria Math" panose="02040503050406030204" pitchFamily="18" charset="0"/>
                                <a:cs typeface="Sora" pitchFamily="2" charset="0"/>
                              </a:rPr>
                              <m:t> </m:t>
                            </m:r>
                          </m:e>
                          <m:e>
                            <m:r>
                              <m:rPr>
                                <m:sty m:val="p"/>
                              </m:rPr>
                              <a:rPr lang="en-US" sz="800">
                                <a:latin typeface="Cambria Math" panose="02040503050406030204" pitchFamily="18" charset="0"/>
                                <a:cs typeface="Sora" pitchFamily="2" charset="0"/>
                              </a:rPr>
                              <m:t>e</m:t>
                            </m:r>
                            <m:r>
                              <a:rPr lang="pt-BR" sz="800" b="0" i="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valores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mobili</m:t>
                            </m:r>
                            <m:r>
                              <a:rPr lang="en-US" sz="800">
                                <a:latin typeface="Cambria Math" panose="02040503050406030204" pitchFamily="18" charset="0"/>
                                <a:cs typeface="Sora" pitchFamily="2" charset="0"/>
                              </a:rPr>
                              <m:t>á</m:t>
                            </m:r>
                            <m:r>
                              <m:rPr>
                                <m:sty m:val="p"/>
                              </m:rPr>
                              <a:rPr lang="en-US" sz="800">
                                <a:latin typeface="Cambria Math" panose="02040503050406030204" pitchFamily="18" charset="0"/>
                                <a:cs typeface="Sora" pitchFamily="2" charset="0"/>
                              </a:rPr>
                              <m:t>rios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derivativos</m:t>
                            </m:r>
                            <m:r>
                              <a:rPr lang="pt-BR" sz="800">
                                <a:latin typeface="Cambria Math" panose="02040503050406030204" pitchFamily="18" charset="0"/>
                                <a:cs typeface="Sora" pitchFamily="2" charset="0"/>
                              </a:rPr>
                              <m:t>+</m:t>
                            </m:r>
                            <m:r>
                              <m:rPr>
                                <m:sty m:val="p"/>
                              </m:rPr>
                              <a:rPr lang="en-US" sz="800">
                                <a:latin typeface="Cambria Math" panose="02040503050406030204" pitchFamily="18" charset="0"/>
                                <a:cs typeface="Sora" pitchFamily="2" charset="0"/>
                              </a:rPr>
                              <m:t>Outras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receitas</m:t>
                            </m:r>
                            <m:r>
                              <a:rPr lang="en-US" sz="800">
                                <a:latin typeface="Cambria Math" panose="02040503050406030204" pitchFamily="18" charset="0"/>
                                <a:cs typeface="Sora" pitchFamily="2" charset="0"/>
                              </a:rPr>
                              <m:t> ÷3</m:t>
                            </m:r>
                            <m:r>
                              <m:rPr>
                                <m:nor/>
                              </m:rPr>
                              <a:rPr lang="pt-BR" sz="800">
                                <a:latin typeface="Calibri" panose="020F0502020204030204" pitchFamily="34" charset="0"/>
                                <a:cs typeface="Calibri" panose="020F0502020204030204" pitchFamily="34" charset="0"/>
                              </a:rPr>
                              <m:t> </m:t>
                            </m:r>
                          </m:e>
                        </m:eqArr>
                      </m:num>
                      <m:den>
                        <m:r>
                          <m:rPr>
                            <m:sty m:val="p"/>
                          </m:rPr>
                          <a:rPr lang="pt-BR" sz="800" b="0" i="0">
                            <a:solidFill>
                              <a:schemeClr val="tx1"/>
                            </a:solidFill>
                            <a:latin typeface="Cambria Math" panose="02040503050406030204" pitchFamily="18" charset="0"/>
                            <a:cs typeface="Sora" pitchFamily="2" charset="0"/>
                          </a:rPr>
                          <m:t>M</m:t>
                        </m:r>
                        <m:r>
                          <a:rPr lang="pt-BR" sz="800" i="0">
                            <a:latin typeface="Cambria Math" panose="02040503050406030204" pitchFamily="18" charset="0"/>
                            <a:cs typeface="Sora" pitchFamily="2" charset="0"/>
                          </a:rPr>
                          <m:t>é</m:t>
                        </m:r>
                        <m:r>
                          <m:rPr>
                            <m:sty m:val="p"/>
                          </m:rPr>
                          <a:rPr lang="pt-BR" sz="800" b="0" i="0">
                            <a:latin typeface="Cambria Math" panose="02040503050406030204" pitchFamily="18" charset="0"/>
                            <a:cs typeface="Sora" pitchFamily="2" charset="0"/>
                          </a:rPr>
                          <m:t>dia</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clientes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ativos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dos</m:t>
                        </m:r>
                        <m:r>
                          <a:rPr lang="pt-BR" sz="800" b="0" i="0">
                            <a:latin typeface="Cambria Math" panose="02040503050406030204" pitchFamily="18" charset="0"/>
                            <a:cs typeface="Sora" pitchFamily="2" charset="0"/>
                          </a:rPr>
                          <m:t> ú</m:t>
                        </m:r>
                        <m:r>
                          <m:rPr>
                            <m:sty m:val="p"/>
                          </m:rPr>
                          <a:rPr lang="pt-BR" sz="800" b="0" i="0">
                            <a:latin typeface="Cambria Math" panose="02040503050406030204" pitchFamily="18" charset="0"/>
                            <a:cs typeface="Sora" pitchFamily="2" charset="0"/>
                          </a:rPr>
                          <m:t>ltimos</m:t>
                        </m:r>
                        <m:r>
                          <a:rPr lang="pt-BR" sz="800" b="0" i="0">
                            <a:latin typeface="Cambria Math" panose="02040503050406030204" pitchFamily="18" charset="0"/>
                            <a:cs typeface="Sora" pitchFamily="2" charset="0"/>
                          </a:rPr>
                          <m:t> 2 </m:t>
                        </m:r>
                        <m:r>
                          <m:rPr>
                            <m:sty m:val="p"/>
                          </m:rPr>
                          <a:rPr lang="pt-BR" sz="800" b="0" i="0">
                            <a:latin typeface="Cambria Math" panose="02040503050406030204" pitchFamily="18" charset="0"/>
                            <a:cs typeface="Sora" pitchFamily="2" charset="0"/>
                          </a:rPr>
                          <m:t>trimestres</m:t>
                        </m:r>
                      </m:den>
                    </m:f>
                  </m:oMath>
                </m:oMathPara>
              </a14:m>
              <a:endParaRPr lang="en-US" sz="800" b="1">
                <a:solidFill>
                  <a:schemeClr val="tx1"/>
                </a:solidFill>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ARPAC líquido</a:t>
              </a:r>
              <a:r>
                <a:rPr lang="en-US" sz="800" b="1">
                  <a:solidFill>
                    <a:schemeClr val="tx1"/>
                  </a:solidFill>
                  <a:latin typeface="Calibri" panose="020F0502020204030204" pitchFamily="34" charset="0"/>
                  <a:cs typeface="Calibri" panose="020F0502020204030204" pitchFamily="34" charset="0"/>
                </a:rPr>
                <a:t>:</a:t>
              </a:r>
            </a:p>
            <a:p>
              <a:pPr algn="ctr"/>
              <a:br>
                <a:rPr lang="en-US" sz="800" b="1">
                  <a:solidFill>
                    <a:schemeClr val="tx1"/>
                  </a:solidFill>
                  <a:latin typeface="Calibri" panose="020F0502020204030204" pitchFamily="34" charset="0"/>
                  <a:cs typeface="Calibri" panose="020F0502020204030204" pitchFamily="34" charset="0"/>
                </a:rPr>
              </a:br>
              <a14:m>
                <m:oMathPara xmlns:m="http://schemas.openxmlformats.org/officeDocument/2006/math">
                  <m:oMathParaPr>
                    <m:jc m:val="centerGroup"/>
                  </m:oMathParaPr>
                  <m:oMath xmlns:m="http://schemas.openxmlformats.org/officeDocument/2006/math">
                    <m:f>
                      <m:fPr>
                        <m:ctrlPr>
                          <a:rPr lang="en-US" sz="800" i="1">
                            <a:solidFill>
                              <a:schemeClr val="tx1"/>
                            </a:solidFill>
                            <a:latin typeface="Cambria Math" panose="02040503050406030204" pitchFamily="18" charset="0"/>
                            <a:cs typeface="Sora" pitchFamily="2" charset="0"/>
                          </a:rPr>
                        </m:ctrlPr>
                      </m:fPr>
                      <m:num>
                        <m:r>
                          <a:rPr lang="en-US" sz="800" i="0">
                            <a:latin typeface="Cambria Math" panose="02040503050406030204" pitchFamily="18" charset="0"/>
                            <a:cs typeface="Sora" pitchFamily="2" charset="0"/>
                          </a:rPr>
                          <m:t>(</m:t>
                        </m:r>
                        <m:r>
                          <m:rPr>
                            <m:sty m:val="p"/>
                          </m:rPr>
                          <a:rPr lang="en-US" sz="800">
                            <a:latin typeface="Cambria Math" panose="02040503050406030204" pitchFamily="18" charset="0"/>
                            <a:cs typeface="Sora" pitchFamily="2" charset="0"/>
                          </a:rPr>
                          <m:t>Receita</m:t>
                        </m:r>
                        <m:r>
                          <m:rPr>
                            <m:sty m:val="p"/>
                          </m:rPr>
                          <a:rPr lang="pt-BR" sz="800" b="0" i="0">
                            <a:latin typeface="Cambria Math" panose="02040503050406030204" pitchFamily="18" charset="0"/>
                            <a:cs typeface="Sora" pitchFamily="2" charset="0"/>
                          </a:rPr>
                          <m:t>s</m:t>
                        </m:r>
                        <m:r>
                          <a:rPr lang="pt-BR" sz="800" b="0" i="0">
                            <a:latin typeface="Cambria Math" panose="02040503050406030204" pitchFamily="18" charset="0"/>
                            <a:cs typeface="Sora" pitchFamily="2" charset="0"/>
                          </a:rPr>
                          <m:t> −</m:t>
                        </m:r>
                        <m:r>
                          <m:rPr>
                            <m:sty m:val="p"/>
                          </m:rPr>
                          <a:rPr lang="en-US" sz="800" i="0">
                            <a:latin typeface="Cambria Math" panose="02040503050406030204" pitchFamily="18" charset="0"/>
                            <a:cs typeface="Sora" pitchFamily="2" charset="0"/>
                          </a:rPr>
                          <m:t>despesas</m:t>
                        </m:r>
                        <m:r>
                          <a:rPr lang="en-US" sz="800" i="0">
                            <a:latin typeface="Cambria Math" panose="02040503050406030204" pitchFamily="18" charset="0"/>
                            <a:cs typeface="Sora" pitchFamily="2" charset="0"/>
                          </a:rPr>
                          <m:t> </m:t>
                        </m:r>
                        <m:r>
                          <m:rPr>
                            <m:sty m:val="p"/>
                          </m:rPr>
                          <a:rPr lang="en-US" sz="800" i="0">
                            <a:latin typeface="Cambria Math" panose="02040503050406030204" pitchFamily="18" charset="0"/>
                            <a:cs typeface="Sora" pitchFamily="2" charset="0"/>
                          </a:rPr>
                          <m:t>de</m:t>
                        </m:r>
                        <m:r>
                          <a:rPr lang="en-US" sz="800" i="0">
                            <a:latin typeface="Cambria Math" panose="02040503050406030204" pitchFamily="18" charset="0"/>
                            <a:cs typeface="Sora" pitchFamily="2" charset="0"/>
                          </a:rPr>
                          <m:t> </m:t>
                        </m:r>
                        <m:r>
                          <m:rPr>
                            <m:sty m:val="p"/>
                          </m:rPr>
                          <a:rPr lang="en-US" sz="800" i="0">
                            <a:latin typeface="Cambria Math" panose="02040503050406030204" pitchFamily="18" charset="0"/>
                            <a:cs typeface="Sora" pitchFamily="2" charset="0"/>
                          </a:rPr>
                          <m:t>juros</m:t>
                        </m:r>
                        <m:r>
                          <a:rPr lang="en-US" sz="800" i="0">
                            <a:latin typeface="Cambria Math" panose="02040503050406030204" pitchFamily="18" charset="0"/>
                            <a:cs typeface="Sora" pitchFamily="2" charset="0"/>
                          </a:rPr>
                          <m:t>)÷3</m:t>
                        </m:r>
                      </m:num>
                      <m:den>
                        <m:r>
                          <m:rPr>
                            <m:sty m:val="p"/>
                          </m:rPr>
                          <a:rPr lang="pt-BR" sz="800" i="0">
                            <a:latin typeface="Cambria Math" panose="02040503050406030204" pitchFamily="18" charset="0"/>
                            <a:cs typeface="Sora" pitchFamily="2" charset="0"/>
                          </a:rPr>
                          <m:t>M</m:t>
                        </m:r>
                        <m:r>
                          <a:rPr lang="pt-BR" sz="800" i="0">
                            <a:latin typeface="Cambria Math" panose="02040503050406030204" pitchFamily="18" charset="0"/>
                            <a:cs typeface="Sora" pitchFamily="2" charset="0"/>
                          </a:rPr>
                          <m:t>é</m:t>
                        </m:r>
                        <m:r>
                          <m:rPr>
                            <m:sty m:val="p"/>
                          </m:rPr>
                          <a:rPr lang="pt-BR" sz="800" i="0">
                            <a:latin typeface="Cambria Math" panose="02040503050406030204" pitchFamily="18" charset="0"/>
                            <a:cs typeface="Sora" pitchFamily="2" charset="0"/>
                          </a:rPr>
                          <m:t>dia</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clientes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ativos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dos</m:t>
                        </m:r>
                        <m:r>
                          <a:rPr lang="pt-BR" sz="800" i="0">
                            <a:latin typeface="Cambria Math" panose="02040503050406030204" pitchFamily="18" charset="0"/>
                            <a:cs typeface="Sora" pitchFamily="2" charset="0"/>
                          </a:rPr>
                          <m:t> ú</m:t>
                        </m:r>
                        <m:r>
                          <m:rPr>
                            <m:sty m:val="p"/>
                          </m:rPr>
                          <a:rPr lang="pt-BR" sz="800" i="0">
                            <a:latin typeface="Cambria Math" panose="02040503050406030204" pitchFamily="18" charset="0"/>
                            <a:cs typeface="Sora" pitchFamily="2" charset="0"/>
                          </a:rPr>
                          <m:t>ltimos</m:t>
                        </m:r>
                        <m:r>
                          <a:rPr lang="pt-BR" sz="800" i="0">
                            <a:latin typeface="Cambria Math" panose="02040503050406030204" pitchFamily="18" charset="0"/>
                            <a:cs typeface="Sora" pitchFamily="2" charset="0"/>
                          </a:rPr>
                          <m:t> 2 </m:t>
                        </m:r>
                        <m:r>
                          <m:rPr>
                            <m:sty m:val="p"/>
                          </m:rPr>
                          <a:rPr lang="pt-BR" sz="800" i="0">
                            <a:latin typeface="Cambria Math" panose="02040503050406030204" pitchFamily="18" charset="0"/>
                            <a:cs typeface="Sora" pitchFamily="2" charset="0"/>
                          </a:rPr>
                          <m:t>trimestres</m:t>
                        </m:r>
                      </m:den>
                    </m:f>
                  </m:oMath>
                </m:oMathPara>
              </a14:m>
              <a:endParaRPr lang="en-US" sz="800" b="1">
                <a:solidFill>
                  <a:schemeClr val="tx1"/>
                </a:solidFill>
                <a:latin typeface="Calibri" panose="020F0502020204030204" pitchFamily="34" charset="0"/>
                <a:cs typeface="Calibri" panose="020F0502020204030204" pitchFamily="34" charset="0"/>
              </a:endParaRPr>
            </a:p>
            <a:p>
              <a:pPr algn="ctr"/>
              <a:endParaRPr lang="en-US" sz="800">
                <a:solidFill>
                  <a:schemeClr val="tx1"/>
                </a:solidFill>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ARPAC líquido por safras trimestrais:</a:t>
              </a:r>
            </a:p>
            <a:p>
              <a:r>
                <a:rPr lang="en-US" sz="800">
                  <a:latin typeface="Calibri" panose="020F0502020204030204" pitchFamily="34" charset="0"/>
                  <a:ea typeface="Inter Light BETA" panose="020B0402030000000004" pitchFamily="34" charset="0"/>
                  <a:cs typeface="Calibri" panose="020F0502020204030204" pitchFamily="34" charset="0"/>
                </a:rPr>
                <a:t>Receita bruta total líquida de despesas de juros em uma determinada safra dividida pela media do número de clientes ativos no período atual e no anterior (1). Safra é definida como o período em que o cliente começou a relação com o Inter. </a:t>
              </a:r>
              <a:br>
                <a:rPr lang="en-US" sz="800">
                  <a:latin typeface="Calibri" panose="020F0502020204030204" pitchFamily="34" charset="0"/>
                  <a:ea typeface="Inter Light BETA" panose="020B0402030000000004" pitchFamily="34" charset="0"/>
                  <a:cs typeface="Calibri" panose="020F0502020204030204" pitchFamily="34" charset="0"/>
                </a:rPr>
              </a:br>
              <a:endParaRPr lang="en-US" sz="800">
                <a:latin typeface="Calibri" panose="020F0502020204030204" pitchFamily="34" charset="0"/>
                <a:ea typeface="Inter" panose="020B0502030000000004" pitchFamily="34" charset="0"/>
                <a:cs typeface="Calibri" panose="020F0502020204030204" pitchFamily="34" charset="0"/>
              </a:endParaRPr>
            </a:p>
            <a:p>
              <a:r>
                <a:rPr lang="en-US" sz="800" baseline="30000">
                  <a:latin typeface="Calibri" panose="020F0502020204030204" pitchFamily="34" charset="0"/>
                  <a:ea typeface="Inter" panose="020B0502030000000004" pitchFamily="34" charset="0"/>
                  <a:cs typeface="Calibri" panose="020F0502020204030204" pitchFamily="34" charset="0"/>
                </a:rPr>
                <a:t>1 – Média do número de clientes ativos no período atual e no anterior. Para o primeiro período, é utilizado o número total de clientes ativos no final do período. </a:t>
              </a:r>
            </a:p>
            <a:p>
              <a:endParaRPr lang="en-US" sz="800" baseline="30000">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Assets under custody (AuC):</a:t>
              </a:r>
            </a:p>
            <a:p>
              <a:pPr algn="just"/>
              <a:r>
                <a:rPr lang="en-US" sz="800">
                  <a:latin typeface="Calibri" panose="020F0502020204030204" pitchFamily="34" charset="0"/>
                  <a:ea typeface="Inter" panose="020B0502030000000004" pitchFamily="34" charset="0"/>
                  <a:cs typeface="Calibri" panose="020F0502020204030204" pitchFamily="34" charset="0"/>
                </a:rPr>
                <a:t>Calculamos o AUC em uma determinada data como o valor de mercado de todos os ativos de clientes de varejo investidos por meio de nossa plataforma de investimentos na mesma data. Acreditamos que o AUC, por refletir o volume total de ativos investidos em nossa plataforma de investimentos sem levar em conta nossa eficiência operacional, nos fornece informações úteis sobre a atratividade de nossa plataforma. Usamos essa métrica para monitorar o tamanho de nossa plataforma de investimentos.</a:t>
              </a:r>
            </a:p>
            <a:p>
              <a:pPr algn="just"/>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Carteira de crédito bruta:</a:t>
              </a:r>
            </a:p>
            <a:p>
              <a:pPr algn="ctr"/>
              <a:endParaRPr lang="en-US" sz="800" b="1">
                <a:latin typeface="Calibri" panose="020F0502020204030204" pitchFamily="34" charset="0"/>
                <a:cs typeface="Calibri" panose="020F0502020204030204" pitchFamily="34" charset="0"/>
              </a:endParaRPr>
            </a:p>
            <a:p>
              <a:pPr algn="ctr"/>
              <a14:m>
                <m:oMathPara xmlns:m="http://schemas.openxmlformats.org/officeDocument/2006/math">
                  <m:oMathParaPr>
                    <m:jc m:val="center"/>
                  </m:oMathParaPr>
                  <m:oMath xmlns:m="http://schemas.openxmlformats.org/officeDocument/2006/math">
                    <m:r>
                      <m:rPr>
                        <m:sty m:val="p"/>
                      </m:rPr>
                      <a:rPr lang="en-US" sz="800" b="0" i="0">
                        <a:latin typeface="Cambria Math" panose="02040503050406030204" pitchFamily="18" charset="0"/>
                        <a:cs typeface="Sora" pitchFamily="2" charset="0"/>
                      </a:rPr>
                      <m:t>Empr</m:t>
                    </m:r>
                    <m:r>
                      <a:rPr lang="en-US" sz="800" b="0" i="0">
                        <a:latin typeface="Cambria Math" panose="02040503050406030204" pitchFamily="18" charset="0"/>
                        <a:cs typeface="Sora" pitchFamily="2" charset="0"/>
                      </a:rPr>
                      <m:t>é</m:t>
                    </m:r>
                    <m:r>
                      <m:rPr>
                        <m:sty m:val="p"/>
                      </m:rPr>
                      <a:rPr lang="en-US" sz="800" b="0" i="0">
                        <a:latin typeface="Cambria Math" panose="02040503050406030204" pitchFamily="18" charset="0"/>
                        <a:cs typeface="Sora" pitchFamily="2" charset="0"/>
                      </a:rPr>
                      <m:t>stimos</m:t>
                    </m:r>
                    <m:r>
                      <a:rPr lang="en-US" sz="800" b="0" i="0">
                        <a:latin typeface="Cambria Math" panose="02040503050406030204" pitchFamily="18" charset="0"/>
                        <a:cs typeface="Sora" pitchFamily="2" charset="0"/>
                      </a:rPr>
                      <m:t> </m:t>
                    </m:r>
                    <m:r>
                      <m:rPr>
                        <m:sty m:val="p"/>
                      </m:rPr>
                      <a:rPr lang="en-US" sz="800" b="0" i="0">
                        <a:latin typeface="Cambria Math" panose="02040503050406030204" pitchFamily="18" charset="0"/>
                        <a:cs typeface="Sora" pitchFamily="2" charset="0"/>
                      </a:rPr>
                      <m:t>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adiantamentos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a</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clientes</m:t>
                    </m:r>
                    <m:r>
                      <a:rPr lang="pt-BR" sz="800" b="0" i="0">
                        <a:latin typeface="Cambria Math" panose="02040503050406030204" pitchFamily="18" charset="0"/>
                        <a:cs typeface="Sora" pitchFamily="2" charset="0"/>
                      </a:rPr>
                      <m:t>+</m:t>
                    </m:r>
                    <m:r>
                      <m:rPr>
                        <m:sty m:val="p"/>
                      </m:rPr>
                      <a:rPr lang="pt-BR" sz="800" b="0" i="0">
                        <a:latin typeface="Cambria Math" panose="02040503050406030204" pitchFamily="18" charset="0"/>
                        <a:cs typeface="Sora" pitchFamily="2" charset="0"/>
                      </a:rPr>
                      <m:t>Empr</m:t>
                    </m:r>
                    <m:r>
                      <a:rPr lang="pt-BR" sz="800" b="0" i="0">
                        <a:latin typeface="Cambria Math" panose="02040503050406030204" pitchFamily="18" charset="0"/>
                        <a:cs typeface="Sora" pitchFamily="2" charset="0"/>
                      </a:rPr>
                      <m:t>é</m:t>
                    </m:r>
                    <m:r>
                      <m:rPr>
                        <m:sty m:val="p"/>
                      </m:rPr>
                      <a:rPr lang="pt-BR" sz="800" b="0" i="0">
                        <a:latin typeface="Cambria Math" panose="02040503050406030204" pitchFamily="18" charset="0"/>
                        <a:cs typeface="Sora" pitchFamily="2" charset="0"/>
                      </a:rPr>
                      <m:t>stimos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a</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institui</m:t>
                    </m:r>
                    <m:r>
                      <a:rPr lang="pt-BR" sz="800" b="0" i="0">
                        <a:latin typeface="Cambria Math" panose="02040503050406030204" pitchFamily="18" charset="0"/>
                        <a:cs typeface="Sora" pitchFamily="2" charset="0"/>
                      </a:rPr>
                      <m:t>çõ</m:t>
                    </m:r>
                    <m:r>
                      <m:rPr>
                        <m:sty m:val="p"/>
                      </m:rPr>
                      <a:rPr lang="pt-BR" sz="800" b="0" i="0">
                        <a:latin typeface="Cambria Math" panose="02040503050406030204" pitchFamily="18" charset="0"/>
                        <a:cs typeface="Sora" pitchFamily="2" charset="0"/>
                      </a:rPr>
                      <m:t>es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financeiras</m:t>
                    </m:r>
                  </m:oMath>
                </m:oMathPara>
              </a14:m>
              <a:endParaRPr lang="pt-BR" sz="800">
                <a:latin typeface="Calibri" panose="020F0502020204030204" pitchFamily="34" charset="0"/>
                <a:cs typeface="Calibri" panose="020F0502020204030204" pitchFamily="34" charset="0"/>
              </a:endParaRPr>
            </a:p>
            <a:p>
              <a:pPr algn="ctr"/>
              <a:endParaRPr lang="pt-BR" sz="800">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Carteira remunerada:</a:t>
              </a:r>
            </a:p>
            <a:p>
              <a:pPr algn="ctr"/>
              <a:endParaRPr lang="en-US" sz="800" b="1">
                <a:latin typeface="Calibri" panose="020F05020202040302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r>
                      <m:rPr>
                        <m:sty m:val="p"/>
                      </m:rPr>
                      <a:rPr lang="en-US" sz="800" i="1">
                        <a:latin typeface="Cambria Math" panose="02040503050406030204" pitchFamily="18" charset="0"/>
                        <a:cs typeface="Sora" pitchFamily="2" charset="0"/>
                      </a:rPr>
                      <m:t>Empr</m:t>
                    </m:r>
                    <m:r>
                      <a:rPr lang="en-US" sz="800" i="1">
                        <a:latin typeface="Cambria Math" panose="02040503050406030204" pitchFamily="18" charset="0"/>
                        <a:cs typeface="Sora" pitchFamily="2" charset="0"/>
                      </a:rPr>
                      <m:t>é</m:t>
                    </m:r>
                    <m:r>
                      <m:rPr>
                        <m:sty m:val="p"/>
                      </m:rPr>
                      <a:rPr lang="en-US" sz="800" i="1">
                        <a:latin typeface="Cambria Math" panose="02040503050406030204" pitchFamily="18" charset="0"/>
                        <a:cs typeface="Sora" pitchFamily="2" charset="0"/>
                      </a:rPr>
                      <m:t>stimos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e</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adiantamentos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a</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institui</m:t>
                    </m:r>
                    <m:r>
                      <a:rPr lang="en-US" sz="800" i="1">
                        <a:latin typeface="Cambria Math" panose="02040503050406030204" pitchFamily="18" charset="0"/>
                        <a:cs typeface="Sora" pitchFamily="2" charset="0"/>
                      </a:rPr>
                      <m:t>çõ</m:t>
                    </m:r>
                    <m:r>
                      <m:rPr>
                        <m:sty m:val="p"/>
                      </m:rPr>
                      <a:rPr lang="en-US" sz="800" i="1">
                        <a:latin typeface="Cambria Math" panose="02040503050406030204" pitchFamily="18" charset="0"/>
                        <a:cs typeface="Sora" pitchFamily="2" charset="0"/>
                      </a:rPr>
                      <m:t>es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financeiras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T</m:t>
                    </m:r>
                    <m:r>
                      <a:rPr lang="en-US" sz="800" i="1">
                        <a:latin typeface="Cambria Math" panose="02040503050406030204" pitchFamily="18" charset="0"/>
                        <a:cs typeface="Sora" pitchFamily="2" charset="0"/>
                      </a:rPr>
                      <m:t>í</m:t>
                    </m:r>
                    <m:r>
                      <m:rPr>
                        <m:sty m:val="p"/>
                      </m:rPr>
                      <a:rPr lang="en-US" sz="800" i="1">
                        <a:latin typeface="Cambria Math" panose="02040503050406030204" pitchFamily="18" charset="0"/>
                        <a:cs typeface="Sora" pitchFamily="2" charset="0"/>
                      </a:rPr>
                      <m:t>tulos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e</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valores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mobili</m:t>
                    </m:r>
                    <m:r>
                      <a:rPr lang="en-US" sz="800" i="1">
                        <a:latin typeface="Cambria Math" panose="02040503050406030204" pitchFamily="18" charset="0"/>
                        <a:cs typeface="Sora" pitchFamily="2" charset="0"/>
                      </a:rPr>
                      <m:t>á</m:t>
                    </m:r>
                    <m:r>
                      <m:rPr>
                        <m:sty m:val="p"/>
                      </m:rPr>
                      <a:rPr lang="en-US" sz="800" i="1">
                        <a:latin typeface="Cambria Math" panose="02040503050406030204" pitchFamily="18" charset="0"/>
                        <a:cs typeface="Sora" pitchFamily="2" charset="0"/>
                      </a:rPr>
                      <m:t>rios</m:t>
                    </m:r>
                    <m:r>
                      <a:rPr lang="en-US" sz="800" i="1">
                        <a:latin typeface="Cambria Math" panose="02040503050406030204" pitchFamily="18" charset="0"/>
                        <a:cs typeface="Sora" pitchFamily="2" charset="0"/>
                      </a:rPr>
                      <m:t>+</m:t>
                    </m:r>
                    <m:r>
                      <m:rPr>
                        <m:sty m:val="p"/>
                      </m:rPr>
                      <a:rPr lang="en-US" sz="800" i="1">
                        <a:latin typeface="Cambria Math" panose="02040503050406030204" pitchFamily="18" charset="0"/>
                        <a:cs typeface="Sora" pitchFamily="2" charset="0"/>
                      </a:rPr>
                      <m:t>Empr</m:t>
                    </m:r>
                    <m:r>
                      <a:rPr lang="en-US" sz="800" i="1">
                        <a:latin typeface="Cambria Math" panose="02040503050406030204" pitchFamily="18" charset="0"/>
                        <a:cs typeface="Sora" pitchFamily="2" charset="0"/>
                      </a:rPr>
                      <m:t>é</m:t>
                    </m:r>
                    <m:r>
                      <m:rPr>
                        <m:sty m:val="p"/>
                      </m:rPr>
                      <a:rPr lang="en-US" sz="800" i="1">
                        <a:latin typeface="Cambria Math" panose="02040503050406030204" pitchFamily="18" charset="0"/>
                        <a:cs typeface="Sora" pitchFamily="2" charset="0"/>
                      </a:rPr>
                      <m:t>stimos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e</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adiantamentos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a</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clientes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l</m:t>
                    </m:r>
                    <m:r>
                      <a:rPr lang="en-US" sz="800" i="1">
                        <a:latin typeface="Cambria Math" panose="02040503050406030204" pitchFamily="18" charset="0"/>
                        <a:cs typeface="Sora" pitchFamily="2" charset="0"/>
                      </a:rPr>
                      <m:t>í</m:t>
                    </m:r>
                    <m:r>
                      <m:rPr>
                        <m:sty m:val="p"/>
                      </m:rPr>
                      <a:rPr lang="en-US" sz="800" i="1">
                        <a:latin typeface="Cambria Math" panose="02040503050406030204" pitchFamily="18" charset="0"/>
                        <a:cs typeface="Sora" pitchFamily="2" charset="0"/>
                      </a:rPr>
                      <m:t>quidos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de</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provis</m:t>
                    </m:r>
                    <m:r>
                      <a:rPr lang="en-US" sz="800" i="1">
                        <a:latin typeface="Cambria Math" panose="02040503050406030204" pitchFamily="18" charset="0"/>
                        <a:cs typeface="Sora" pitchFamily="2" charset="0"/>
                      </a:rPr>
                      <m:t>ã</m:t>
                    </m:r>
                    <m:r>
                      <m:rPr>
                        <m:sty m:val="p"/>
                      </m:rPr>
                      <a:rPr lang="en-US" sz="800" i="1">
                        <a:latin typeface="Cambria Math" panose="02040503050406030204" pitchFamily="18" charset="0"/>
                        <a:cs typeface="Sora" pitchFamily="2" charset="0"/>
                      </a:rPr>
                      <m:t>o</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para</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perdas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esperadas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Instrumentos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financeiros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derivativos</m:t>
                    </m:r>
                  </m:oMath>
                </m:oMathPara>
              </a14:m>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500">
                <a:latin typeface="Calibri" panose="020F0502020204030204" pitchFamily="34" charset="0"/>
                <a:ea typeface="Cambria Math" panose="02040503050406030204" pitchFamily="18" charset="0"/>
                <a:cs typeface="Calibri" panose="020F0502020204030204" pitchFamily="34" charset="0"/>
              </a:endParaRPr>
            </a:p>
          </xdr:txBody>
        </xdr:sp>
      </mc:Choice>
      <mc:Fallback xmlns="">
        <xdr:sp macro="" textlink="">
          <xdr:nvSpPr>
            <xdr:cNvPr id="47" name="Retângulo 9">
              <a:extLst>
                <a:ext uri="{FF2B5EF4-FFF2-40B4-BE49-F238E27FC236}">
                  <a16:creationId xmlns:a16="http://schemas.microsoft.com/office/drawing/2014/main" id="{7B6548DB-49D2-8B13-2D86-C9DAEC78AA0E}"/>
                </a:ext>
              </a:extLst>
            </xdr:cNvPr>
            <xdr:cNvSpPr/>
          </xdr:nvSpPr>
          <xdr:spPr>
            <a:xfrm>
              <a:off x="6712678" y="9628741"/>
              <a:ext cx="5772853" cy="524040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BR" sz="800" b="1">
                  <a:latin typeface="Calibri" panose="020F0502020204030204" pitchFamily="34" charset="0"/>
                  <a:cs typeface="Calibri" panose="020F0502020204030204" pitchFamily="34" charset="0"/>
                </a:rPr>
                <a:t>Antecipação de recebíveis de cartão de crédito:</a:t>
              </a:r>
            </a:p>
            <a:p>
              <a:pPr algn="just"/>
              <a:r>
                <a:rPr lang="pt-BR" sz="800">
                  <a:latin typeface="Calibri" panose="020F0502020204030204" pitchFamily="34" charset="0"/>
                  <a:ea typeface="Inter" panose="020B0502030000000004" pitchFamily="34" charset="0"/>
                  <a:cs typeface="Calibri" panose="020F0502020204030204" pitchFamily="34" charset="0"/>
                </a:rPr>
                <a:t>Divulgados na nota 9.a das Demonstrações Financeiras, na linha "Empréstimos e adiantamentos a instituições financeiras”.</a:t>
              </a: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ARPAC bruto</a:t>
              </a:r>
              <a:r>
                <a:rPr lang="en-US" sz="800" b="1">
                  <a:solidFill>
                    <a:schemeClr val="tx1"/>
                  </a:solidFill>
                  <a:latin typeface="Calibri" panose="020F0502020204030204" pitchFamily="34" charset="0"/>
                  <a:cs typeface="Calibri" panose="020F0502020204030204" pitchFamily="34" charset="0"/>
                </a:rPr>
                <a:t>:</a:t>
              </a:r>
            </a:p>
            <a:p>
              <a:pPr algn="ctr"/>
              <a:br>
                <a:rPr lang="en-US" sz="800" b="1">
                  <a:solidFill>
                    <a:schemeClr val="tx1"/>
                  </a:solidFill>
                  <a:latin typeface="Calibri" panose="020F0502020204030204" pitchFamily="34" charset="0"/>
                  <a:cs typeface="Calibri" panose="020F0502020204030204" pitchFamily="34" charset="0"/>
                </a:rPr>
              </a:br>
              <a:r>
                <a:rPr lang="en-US" sz="800" i="0">
                  <a:latin typeface="Cambria Math" panose="02040503050406030204" pitchFamily="18" charset="0"/>
                  <a:cs typeface="Sora" pitchFamily="2" charset="0"/>
                </a:rPr>
                <a:t>█(Receita de juros +(Receitas de serviços</a:t>
              </a:r>
              <a:r>
                <a:rPr lang="pt-BR" sz="80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e comissões− Despesas de cashback</a:t>
              </a:r>
              <a:r>
                <a:rPr lang="pt-BR" sz="800" i="0">
                  <a:latin typeface="Cambria Math" panose="02040503050406030204" pitchFamily="18" charset="0"/>
                  <a:cs typeface="Sora" pitchFamily="2" charset="0"/>
                </a:rPr>
                <a:t> −InterRewards"</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a:t>
              </a:r>
              <a:r>
                <a:rPr lang="pt-BR" sz="80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Re</a:t>
              </a:r>
              <a:r>
                <a:rPr lang="pt-BR" sz="800" i="0">
                  <a:latin typeface="Cambria Math" panose="02040503050406030204" pitchFamily="18" charset="0"/>
                  <a:cs typeface="Sora" pitchFamily="2" charset="0"/>
                </a:rPr>
                <a:t>sultado</a:t>
              </a:r>
              <a:r>
                <a:rPr lang="en-US" sz="800" i="0">
                  <a:latin typeface="Cambria Math" panose="02040503050406030204" pitchFamily="18" charset="0"/>
                  <a:cs typeface="Sora" pitchFamily="2" charset="0"/>
                </a:rPr>
                <a:t> de títulos @e</a:t>
              </a:r>
              <a:r>
                <a:rPr lang="pt-BR" sz="800" b="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valores mobiliários</a:t>
              </a:r>
              <a:r>
                <a:rPr lang="pt-BR" sz="800" i="0">
                  <a:latin typeface="Cambria Math" panose="02040503050406030204" pitchFamily="18" charset="0"/>
                  <a:cs typeface="Sora" pitchFamily="2" charset="0"/>
                </a:rPr>
                <a:t> e derivativos+</a:t>
              </a:r>
              <a:r>
                <a:rPr lang="en-US" sz="800" i="0">
                  <a:latin typeface="Cambria Math" panose="02040503050406030204" pitchFamily="18" charset="0"/>
                  <a:cs typeface="Sora" pitchFamily="2" charset="0"/>
                </a:rPr>
                <a:t>Outras receitas ÷3</a:t>
              </a:r>
              <a:r>
                <a:rPr lang="pt-BR" sz="800" i="0">
                  <a:latin typeface="Cambria Math" panose="02040503050406030204" pitchFamily="18" charset="0"/>
                  <a:cs typeface="Sora" pitchFamily="2" charset="0"/>
                </a:rPr>
                <a:t>"</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a:t>
              </a:r>
              <a:r>
                <a:rPr lang="en-US" sz="800" i="0">
                  <a:solidFill>
                    <a:schemeClr val="tx1"/>
                  </a:solidFill>
                  <a:latin typeface="Cambria Math" panose="02040503050406030204" pitchFamily="18" charset="0"/>
                  <a:cs typeface="Calibri" panose="020F0502020204030204" pitchFamily="34" charset="0"/>
                </a:rPr>
                <a:t>/(</a:t>
              </a:r>
              <a:r>
                <a:rPr lang="pt-BR" sz="800" b="0" i="0">
                  <a:solidFill>
                    <a:schemeClr val="tx1"/>
                  </a:solidFill>
                  <a:latin typeface="Cambria Math" panose="02040503050406030204" pitchFamily="18" charset="0"/>
                  <a:cs typeface="Sora" pitchFamily="2" charset="0"/>
                </a:rPr>
                <a:t>M</a:t>
              </a:r>
              <a:r>
                <a:rPr lang="pt-BR" sz="800" i="0">
                  <a:latin typeface="Cambria Math" panose="02040503050406030204" pitchFamily="18" charset="0"/>
                  <a:cs typeface="Sora" pitchFamily="2" charset="0"/>
                </a:rPr>
                <a:t>é</a:t>
              </a:r>
              <a:r>
                <a:rPr lang="pt-BR" sz="800" b="0" i="0">
                  <a:latin typeface="Cambria Math" panose="02040503050406030204" pitchFamily="18" charset="0"/>
                  <a:cs typeface="Sora" pitchFamily="2" charset="0"/>
                </a:rPr>
                <a:t>dia de clientes ativos dos últimos 2 trimestres</a:t>
              </a:r>
              <a:r>
                <a:rPr lang="en-US" sz="800" b="0" i="0">
                  <a:solidFill>
                    <a:schemeClr val="tx1"/>
                  </a:solidFill>
                  <a:latin typeface="Cambria Math" panose="02040503050406030204" pitchFamily="18" charset="0"/>
                  <a:cs typeface="Sora" pitchFamily="2" charset="0"/>
                </a:rPr>
                <a:t>)</a:t>
              </a:r>
              <a:endParaRPr lang="en-US" sz="800" b="1">
                <a:solidFill>
                  <a:schemeClr val="tx1"/>
                </a:solidFill>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ARPAC líquido</a:t>
              </a:r>
              <a:r>
                <a:rPr lang="en-US" sz="800" b="1">
                  <a:solidFill>
                    <a:schemeClr val="tx1"/>
                  </a:solidFill>
                  <a:latin typeface="Calibri" panose="020F0502020204030204" pitchFamily="34" charset="0"/>
                  <a:cs typeface="Calibri" panose="020F0502020204030204" pitchFamily="34" charset="0"/>
                </a:rPr>
                <a:t>:</a:t>
              </a:r>
            </a:p>
            <a:p>
              <a:pPr algn="ctr"/>
              <a:br>
                <a:rPr lang="en-US" sz="800" b="1">
                  <a:solidFill>
                    <a:schemeClr val="tx1"/>
                  </a:solidFill>
                  <a:latin typeface="Calibri" panose="020F0502020204030204" pitchFamily="34" charset="0"/>
                  <a:cs typeface="Calibri" panose="020F0502020204030204" pitchFamily="34" charset="0"/>
                </a:rPr>
              </a:br>
              <a:r>
                <a:rPr lang="en-US" sz="800" i="0">
                  <a:solidFill>
                    <a:schemeClr val="tx1"/>
                  </a:solidFill>
                  <a:latin typeface="Cambria Math" panose="02040503050406030204" pitchFamily="18" charset="0"/>
                  <a:cs typeface="Sora" pitchFamily="2" charset="0"/>
                </a:rPr>
                <a:t>(</a:t>
              </a:r>
              <a:r>
                <a:rPr lang="en-US" sz="800" i="0">
                  <a:latin typeface="Cambria Math" panose="02040503050406030204" pitchFamily="18" charset="0"/>
                  <a:cs typeface="Sora" pitchFamily="2" charset="0"/>
                </a:rPr>
                <a:t>(Receita</a:t>
              </a:r>
              <a:r>
                <a:rPr lang="pt-BR" sz="800" b="0" i="0">
                  <a:latin typeface="Cambria Math" panose="02040503050406030204" pitchFamily="18" charset="0"/>
                  <a:cs typeface="Sora" pitchFamily="2" charset="0"/>
                </a:rPr>
                <a:t>s −</a:t>
              </a:r>
              <a:r>
                <a:rPr lang="en-US" sz="800" i="0">
                  <a:latin typeface="Cambria Math" panose="02040503050406030204" pitchFamily="18" charset="0"/>
                  <a:cs typeface="Sora" pitchFamily="2" charset="0"/>
                </a:rPr>
                <a:t>despesas de juros)÷3</a:t>
              </a:r>
              <a:r>
                <a:rPr lang="en-US" sz="800" i="0">
                  <a:solidFill>
                    <a:schemeClr val="tx1"/>
                  </a:solidFill>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Média de clientes ativos dos últimos 2 trimestres</a:t>
              </a:r>
              <a:r>
                <a:rPr lang="en-US" sz="800" i="0">
                  <a:solidFill>
                    <a:schemeClr val="tx1"/>
                  </a:solidFill>
                  <a:latin typeface="Cambria Math" panose="02040503050406030204" pitchFamily="18" charset="0"/>
                  <a:cs typeface="Sora" pitchFamily="2" charset="0"/>
                </a:rPr>
                <a:t>)</a:t>
              </a:r>
              <a:endParaRPr lang="en-US" sz="800" b="1">
                <a:solidFill>
                  <a:schemeClr val="tx1"/>
                </a:solidFill>
                <a:latin typeface="Calibri" panose="020F0502020204030204" pitchFamily="34" charset="0"/>
                <a:cs typeface="Calibri" panose="020F0502020204030204" pitchFamily="34" charset="0"/>
              </a:endParaRPr>
            </a:p>
            <a:p>
              <a:pPr algn="ctr"/>
              <a:endParaRPr lang="en-US" sz="800">
                <a:solidFill>
                  <a:schemeClr val="tx1"/>
                </a:solidFill>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ARPAC líquido por safras trimestrais:</a:t>
              </a:r>
            </a:p>
            <a:p>
              <a:r>
                <a:rPr lang="en-US" sz="800">
                  <a:latin typeface="Calibri" panose="020F0502020204030204" pitchFamily="34" charset="0"/>
                  <a:ea typeface="Inter Light BETA" panose="020B0402030000000004" pitchFamily="34" charset="0"/>
                  <a:cs typeface="Calibri" panose="020F0502020204030204" pitchFamily="34" charset="0"/>
                </a:rPr>
                <a:t>Receita bruta total líquida de despesas de juros em uma determinada safra dividida pela media do número de clientes ativos no período atual e no anterior (1). Safra é definida como o período em que o cliente começou a relação com o Inter. </a:t>
              </a:r>
              <a:br>
                <a:rPr lang="en-US" sz="800">
                  <a:latin typeface="Calibri" panose="020F0502020204030204" pitchFamily="34" charset="0"/>
                  <a:ea typeface="Inter Light BETA" panose="020B0402030000000004" pitchFamily="34" charset="0"/>
                  <a:cs typeface="Calibri" panose="020F0502020204030204" pitchFamily="34" charset="0"/>
                </a:rPr>
              </a:br>
              <a:endParaRPr lang="en-US" sz="800">
                <a:latin typeface="Calibri" panose="020F0502020204030204" pitchFamily="34" charset="0"/>
                <a:ea typeface="Inter" panose="020B0502030000000004" pitchFamily="34" charset="0"/>
                <a:cs typeface="Calibri" panose="020F0502020204030204" pitchFamily="34" charset="0"/>
              </a:endParaRPr>
            </a:p>
            <a:p>
              <a:r>
                <a:rPr lang="en-US" sz="800" baseline="30000">
                  <a:latin typeface="Calibri" panose="020F0502020204030204" pitchFamily="34" charset="0"/>
                  <a:ea typeface="Inter" panose="020B0502030000000004" pitchFamily="34" charset="0"/>
                  <a:cs typeface="Calibri" panose="020F0502020204030204" pitchFamily="34" charset="0"/>
                </a:rPr>
                <a:t>1 – Média do número de clientes ativos no período atual e no anterior. Para o primeiro período, é utilizado o número total de clientes ativos no final do período. </a:t>
              </a:r>
            </a:p>
            <a:p>
              <a:endParaRPr lang="en-US" sz="800" baseline="30000">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Assets under custody (AuC):</a:t>
              </a:r>
            </a:p>
            <a:p>
              <a:pPr algn="just"/>
              <a:r>
                <a:rPr lang="en-US" sz="800">
                  <a:latin typeface="Calibri" panose="020F0502020204030204" pitchFamily="34" charset="0"/>
                  <a:ea typeface="Inter" panose="020B0502030000000004" pitchFamily="34" charset="0"/>
                  <a:cs typeface="Calibri" panose="020F0502020204030204" pitchFamily="34" charset="0"/>
                </a:rPr>
                <a:t>Calculamos o AUC em uma determinada data como o valor de mercado de todos os ativos de clientes de varejo investidos por meio de nossa plataforma de investimentos na mesma data. Acreditamos que o AUC, por refletir o volume total de ativos investidos em nossa plataforma de investimentos sem levar em conta nossa eficiência operacional, nos fornece informações úteis sobre a atratividade de nossa plataforma. Usamos essa métrica para monitorar o tamanho de nossa plataforma de investimentos.</a:t>
              </a:r>
            </a:p>
            <a:p>
              <a:pPr algn="just"/>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Carteira de crédito bruta:</a:t>
              </a:r>
            </a:p>
            <a:p>
              <a:pPr algn="ctr"/>
              <a:endParaRPr lang="en-US" sz="800" b="1">
                <a:latin typeface="Calibri" panose="020F0502020204030204" pitchFamily="34" charset="0"/>
                <a:cs typeface="Calibri" panose="020F0502020204030204" pitchFamily="34" charset="0"/>
              </a:endParaRPr>
            </a:p>
            <a:p>
              <a:pPr algn="ctr"/>
              <a:r>
                <a:rPr lang="en-US" sz="800" b="0" i="0">
                  <a:latin typeface="Cambria Math" panose="02040503050406030204" pitchFamily="18" charset="0"/>
                  <a:cs typeface="Sora" pitchFamily="2" charset="0"/>
                </a:rPr>
                <a:t>Empréstimos e</a:t>
              </a:r>
              <a:r>
                <a:rPr lang="pt-BR" sz="800" b="0" i="0">
                  <a:latin typeface="Cambria Math" panose="02040503050406030204" pitchFamily="18" charset="0"/>
                  <a:cs typeface="Sora" pitchFamily="2" charset="0"/>
                </a:rPr>
                <a:t> adiantamentos a clientes+Empréstimos a instituições financeiras</a:t>
              </a:r>
              <a:endParaRPr lang="pt-BR" sz="800">
                <a:latin typeface="Calibri" panose="020F0502020204030204" pitchFamily="34" charset="0"/>
                <a:cs typeface="Calibri" panose="020F0502020204030204" pitchFamily="34" charset="0"/>
              </a:endParaRPr>
            </a:p>
            <a:p>
              <a:pPr algn="ctr"/>
              <a:endParaRPr lang="pt-BR" sz="800">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Carteira remunerada:</a:t>
              </a:r>
            </a:p>
            <a:p>
              <a:pPr algn="ctr"/>
              <a:endParaRPr lang="en-US" sz="800" b="1">
                <a:latin typeface="Calibri" panose="020F0502020204030204" pitchFamily="34" charset="0"/>
                <a:cs typeface="Calibri" panose="020F0502020204030204" pitchFamily="34" charset="0"/>
              </a:endParaRPr>
            </a:p>
            <a:p>
              <a:pPr algn="ctr"/>
              <a:r>
                <a:rPr lang="en-US" sz="800" i="0">
                  <a:latin typeface="Cambria Math" panose="02040503050406030204" pitchFamily="18" charset="0"/>
                  <a:cs typeface="Sora" pitchFamily="2" charset="0"/>
                </a:rPr>
                <a:t>Empréstimos e adiantamentos a instituições financeiras +Títulos e valores mobiliários+Empréstimos e adiantamentos a clientes, líquidos de provisão para perdas esperadas +Instrumentos financeiros derivativos</a:t>
              </a:r>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500">
                <a:latin typeface="Calibri" panose="020F0502020204030204" pitchFamily="34" charset="0"/>
                <a:ea typeface="Cambria Math" panose="02040503050406030204" pitchFamily="18" charset="0"/>
                <a:cs typeface="Calibri" panose="020F0502020204030204" pitchFamily="34" charset="0"/>
              </a:endParaRPr>
            </a:p>
          </xdr:txBody>
        </xdr:sp>
      </mc:Fallback>
    </mc:AlternateContent>
    <xdr:clientData/>
  </xdr:twoCellAnchor>
  <xdr:twoCellAnchor>
    <xdr:from>
      <xdr:col>8</xdr:col>
      <xdr:colOff>135271</xdr:colOff>
      <xdr:row>81</xdr:row>
      <xdr:rowOff>144319</xdr:rowOff>
    </xdr:from>
    <xdr:to>
      <xdr:col>15</xdr:col>
      <xdr:colOff>111553</xdr:colOff>
      <xdr:row>114</xdr:row>
      <xdr:rowOff>176629</xdr:rowOff>
    </xdr:to>
    <mc:AlternateContent xmlns:mc="http://schemas.openxmlformats.org/markup-compatibility/2006" xmlns:a14="http://schemas.microsoft.com/office/drawing/2010/main">
      <mc:Choice Requires="a14">
        <xdr:sp macro="" textlink="">
          <xdr:nvSpPr>
            <xdr:cNvPr id="48" name="Retângulo 9">
              <a:extLst>
                <a:ext uri="{FF2B5EF4-FFF2-40B4-BE49-F238E27FC236}">
                  <a16:creationId xmlns:a16="http://schemas.microsoft.com/office/drawing/2014/main" id="{00000000-0008-0000-1600-000030000000}"/>
                </a:ext>
              </a:extLst>
            </xdr:cNvPr>
            <xdr:cNvSpPr/>
          </xdr:nvSpPr>
          <xdr:spPr>
            <a:xfrm>
              <a:off x="6761358" y="15053015"/>
              <a:ext cx="5774108" cy="6106223"/>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Cost of risk:</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cs typeface="Sora" pitchFamily="2" charset="0"/>
                          </a:rPr>
                        </m:ctrlPr>
                      </m:fPr>
                      <m:num>
                        <m:r>
                          <m:rPr>
                            <m:sty m:val="p"/>
                          </m:rPr>
                          <a:rPr lang="pt-BR" sz="800" i="1">
                            <a:latin typeface="Cambria Math" panose="02040503050406030204" pitchFamily="18" charset="0"/>
                            <a:cs typeface="Sora" pitchFamily="2" charset="0"/>
                          </a:rPr>
                          <m:t>Resultado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perdas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por</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redu</m:t>
                        </m:r>
                        <m:r>
                          <a:rPr lang="pt-BR" sz="800" i="1">
                            <a:latin typeface="Cambria Math" panose="02040503050406030204" pitchFamily="18" charset="0"/>
                            <a:cs typeface="Sora" pitchFamily="2" charset="0"/>
                          </a:rPr>
                          <m:t>çã</m:t>
                        </m:r>
                        <m:r>
                          <m:rPr>
                            <m:sty m:val="p"/>
                          </m:rPr>
                          <a:rPr lang="pt-BR" sz="800" i="1">
                            <a:latin typeface="Cambria Math" panose="02040503050406030204" pitchFamily="18" charset="0"/>
                            <a:cs typeface="Sora" pitchFamily="2" charset="0"/>
                          </a:rPr>
                          <m:t>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valor</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recuper</m:t>
                        </m:r>
                        <m:r>
                          <a:rPr lang="pt-BR" sz="800" i="1">
                            <a:latin typeface="Cambria Math" panose="02040503050406030204" pitchFamily="18" charset="0"/>
                            <a:cs typeface="Sora" pitchFamily="2" charset="0"/>
                          </a:rPr>
                          <m:t>á</m:t>
                        </m:r>
                        <m:r>
                          <m:rPr>
                            <m:sty m:val="p"/>
                          </m:rPr>
                          <a:rPr lang="pt-BR" sz="800" i="1">
                            <a:latin typeface="Cambria Math" panose="02040503050406030204" pitchFamily="18" charset="0"/>
                            <a:cs typeface="Sora" pitchFamily="2" charset="0"/>
                          </a:rPr>
                          <m:t>vel</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ativos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financeiros</m:t>
                        </m:r>
                        <m:r>
                          <a:rPr lang="pt-BR" sz="800" i="1">
                            <a:latin typeface="Cambria Math" panose="02040503050406030204" pitchFamily="18" charset="0"/>
                            <a:cs typeface="Sora" pitchFamily="2" charset="0"/>
                          </a:rPr>
                          <m:t> × 4</m:t>
                        </m:r>
                      </m:num>
                      <m:den>
                        <m:r>
                          <m:rPr>
                            <m:sty m:val="p"/>
                          </m:rPr>
                          <a:rPr lang="pt-BR" sz="800" i="1">
                            <a:latin typeface="Cambria Math" panose="02040503050406030204" pitchFamily="18" charset="0"/>
                            <a:cs typeface="Sora" pitchFamily="2" charset="0"/>
                          </a:rPr>
                          <m:t>M</m:t>
                        </m:r>
                        <m:r>
                          <a:rPr lang="pt-BR" sz="800" i="1">
                            <a:latin typeface="Cambria Math" panose="02040503050406030204" pitchFamily="18" charset="0"/>
                            <a:cs typeface="Sora" pitchFamily="2" charset="0"/>
                          </a:rPr>
                          <m:t>é</m:t>
                        </m:r>
                        <m:r>
                          <m:rPr>
                            <m:sty m:val="p"/>
                          </m:rPr>
                          <a:rPr lang="pt-BR" sz="800" i="1">
                            <a:latin typeface="Cambria Math" panose="02040503050406030204" pitchFamily="18" charset="0"/>
                            <a:cs typeface="Sora" pitchFamily="2" charset="0"/>
                          </a:rPr>
                          <m:t>dia</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empr</m:t>
                        </m:r>
                        <m:r>
                          <a:rPr lang="pt-BR" sz="800" i="1">
                            <a:latin typeface="Cambria Math" panose="02040503050406030204" pitchFamily="18" charset="0"/>
                            <a:cs typeface="Sora" pitchFamily="2" charset="0"/>
                          </a:rPr>
                          <m:t>é</m:t>
                        </m:r>
                        <m:r>
                          <m:rPr>
                            <m:sty m:val="p"/>
                          </m:rPr>
                          <a:rPr lang="pt-BR" sz="800" i="1">
                            <a:latin typeface="Cambria Math" panose="02040503050406030204" pitchFamily="18" charset="0"/>
                            <a:cs typeface="Sora" pitchFamily="2" charset="0"/>
                          </a:rPr>
                          <m:t>stimos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adiantamento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clientes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dos</m:t>
                        </m:r>
                        <m:r>
                          <a:rPr lang="pt-BR" sz="800" i="1">
                            <a:latin typeface="Cambria Math" panose="02040503050406030204" pitchFamily="18" charset="0"/>
                            <a:cs typeface="Sora" pitchFamily="2" charset="0"/>
                          </a:rPr>
                          <m:t> ú</m:t>
                        </m:r>
                        <m:r>
                          <m:rPr>
                            <m:sty m:val="p"/>
                          </m:rPr>
                          <a:rPr lang="pt-BR" sz="800" i="1">
                            <a:latin typeface="Cambria Math" panose="02040503050406030204" pitchFamily="18" charset="0"/>
                            <a:cs typeface="Sora" pitchFamily="2" charset="0"/>
                          </a:rPr>
                          <m:t>ltimos</m:t>
                        </m:r>
                        <m:r>
                          <a:rPr lang="pt-BR" sz="800" i="1">
                            <a:latin typeface="Cambria Math" panose="02040503050406030204" pitchFamily="18" charset="0"/>
                            <a:cs typeface="Sora" pitchFamily="2" charset="0"/>
                          </a:rPr>
                          <m:t> 2 </m:t>
                        </m:r>
                        <m:r>
                          <m:rPr>
                            <m:sty m:val="p"/>
                          </m:rPr>
                          <a:rPr lang="pt-BR" sz="800" i="1">
                            <a:latin typeface="Cambria Math" panose="02040503050406030204" pitchFamily="18" charset="0"/>
                            <a:cs typeface="Sora" pitchFamily="2" charset="0"/>
                          </a:rPr>
                          <m:t>trimestres</m:t>
                        </m:r>
                        <m:r>
                          <a:rPr lang="pt-BR" sz="800" i="1">
                            <a:latin typeface="Cambria Math" panose="02040503050406030204" pitchFamily="18" charset="0"/>
                            <a:cs typeface="Sora" pitchFamily="2" charset="0"/>
                          </a:rPr>
                          <m:t> </m:t>
                        </m:r>
                      </m:den>
                    </m:f>
                  </m:oMath>
                </m:oMathPara>
              </a14:m>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Cost of risk excluindo antecipação de recebíveis de cartão de crédito:</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cs typeface="Sora" pitchFamily="2" charset="0"/>
                          </a:rPr>
                        </m:ctrlPr>
                      </m:fPr>
                      <m:num>
                        <m:r>
                          <m:rPr>
                            <m:sty m:val="p"/>
                          </m:rPr>
                          <a:rPr lang="pt-BR" sz="800" i="1">
                            <a:latin typeface="Cambria Math" panose="02040503050406030204" pitchFamily="18" charset="0"/>
                            <a:cs typeface="Sora" pitchFamily="2" charset="0"/>
                          </a:rPr>
                          <m:t>Resultado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perdas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por</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redu</m:t>
                        </m:r>
                        <m:r>
                          <a:rPr lang="pt-BR" sz="800" i="1">
                            <a:latin typeface="Cambria Math" panose="02040503050406030204" pitchFamily="18" charset="0"/>
                            <a:cs typeface="Sora" pitchFamily="2" charset="0"/>
                          </a:rPr>
                          <m:t>çã</m:t>
                        </m:r>
                        <m:r>
                          <m:rPr>
                            <m:sty m:val="p"/>
                          </m:rPr>
                          <a:rPr lang="pt-BR" sz="800" i="1">
                            <a:latin typeface="Cambria Math" panose="02040503050406030204" pitchFamily="18" charset="0"/>
                            <a:cs typeface="Sora" pitchFamily="2" charset="0"/>
                          </a:rPr>
                          <m:t>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valor</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recuper</m:t>
                        </m:r>
                        <m:r>
                          <a:rPr lang="pt-BR" sz="800" i="1">
                            <a:latin typeface="Cambria Math" panose="02040503050406030204" pitchFamily="18" charset="0"/>
                            <a:cs typeface="Sora" pitchFamily="2" charset="0"/>
                          </a:rPr>
                          <m:t>á</m:t>
                        </m:r>
                        <m:r>
                          <m:rPr>
                            <m:sty m:val="p"/>
                          </m:rPr>
                          <a:rPr lang="pt-BR" sz="800" i="1">
                            <a:latin typeface="Cambria Math" panose="02040503050406030204" pitchFamily="18" charset="0"/>
                            <a:cs typeface="Sora" pitchFamily="2" charset="0"/>
                          </a:rPr>
                          <m:t>vel</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ativos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financeiros</m:t>
                        </m:r>
                        <m:r>
                          <a:rPr lang="pt-BR" sz="800" i="1">
                            <a:latin typeface="Cambria Math" panose="02040503050406030204" pitchFamily="18" charset="0"/>
                            <a:cs typeface="Sora" pitchFamily="2" charset="0"/>
                          </a:rPr>
                          <m:t> × 4</m:t>
                        </m:r>
                      </m:num>
                      <m:den>
                        <m:r>
                          <m:rPr>
                            <m:sty m:val="p"/>
                          </m:rPr>
                          <a:rPr lang="pt-BR" sz="800">
                            <a:latin typeface="Cambria Math" panose="02040503050406030204" pitchFamily="18" charset="0"/>
                            <a:cs typeface="Sora" pitchFamily="2" charset="0"/>
                          </a:rPr>
                          <m:t>M</m:t>
                        </m:r>
                        <m:r>
                          <a:rPr lang="pt-BR" sz="800">
                            <a:latin typeface="Cambria Math" panose="02040503050406030204" pitchFamily="18" charset="0"/>
                            <a:cs typeface="Sora" pitchFamily="2" charset="0"/>
                          </a:rPr>
                          <m:t>é</m:t>
                        </m:r>
                        <m:r>
                          <m:rPr>
                            <m:sty m:val="p"/>
                          </m:rPr>
                          <a:rPr lang="pt-BR" sz="800">
                            <a:latin typeface="Cambria Math" panose="02040503050406030204" pitchFamily="18" charset="0"/>
                            <a:cs typeface="Sora" pitchFamily="2" charset="0"/>
                          </a:rPr>
                          <m:t>dia</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empr</m:t>
                        </m:r>
                        <m:r>
                          <a:rPr lang="pt-BR" sz="800">
                            <a:latin typeface="Cambria Math" panose="02040503050406030204" pitchFamily="18" charset="0"/>
                            <a:cs typeface="Sora" pitchFamily="2" charset="0"/>
                          </a:rPr>
                          <m:t>é</m:t>
                        </m:r>
                        <m:r>
                          <m:rPr>
                            <m:sty m:val="p"/>
                          </m:rPr>
                          <a:rPr lang="pt-BR" sz="800">
                            <a:latin typeface="Cambria Math" panose="02040503050406030204" pitchFamily="18" charset="0"/>
                            <a:cs typeface="Sora" pitchFamily="2" charset="0"/>
                          </a:rPr>
                          <m:t>stimos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adiantamento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a</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clientes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dos</m:t>
                        </m:r>
                        <m:r>
                          <a:rPr lang="pt-BR" sz="800">
                            <a:latin typeface="Cambria Math" panose="02040503050406030204" pitchFamily="18" charset="0"/>
                            <a:cs typeface="Sora" pitchFamily="2" charset="0"/>
                          </a:rPr>
                          <m:t> ú</m:t>
                        </m:r>
                        <m:r>
                          <m:rPr>
                            <m:sty m:val="p"/>
                          </m:rPr>
                          <a:rPr lang="pt-BR" sz="800">
                            <a:latin typeface="Cambria Math" panose="02040503050406030204" pitchFamily="18" charset="0"/>
                            <a:cs typeface="Sora" pitchFamily="2" charset="0"/>
                          </a:rPr>
                          <m:t>ltimos</m:t>
                        </m:r>
                        <m:r>
                          <a:rPr lang="pt-BR" sz="800">
                            <a:latin typeface="Cambria Math" panose="02040503050406030204" pitchFamily="18" charset="0"/>
                            <a:cs typeface="Sora" pitchFamily="2" charset="0"/>
                          </a:rPr>
                          <m:t> 2 </m:t>
                        </m:r>
                        <m:r>
                          <m:rPr>
                            <m:sty m:val="p"/>
                          </m:rPr>
                          <a:rPr lang="pt-BR" sz="800">
                            <a:latin typeface="Cambria Math" panose="02040503050406030204" pitchFamily="18" charset="0"/>
                            <a:cs typeface="Sora" pitchFamily="2" charset="0"/>
                          </a:rPr>
                          <m:t>trimestres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excluindoantecipa</m:t>
                        </m:r>
                        <m:r>
                          <a:rPr lang="pt-BR" sz="800">
                            <a:latin typeface="Cambria Math" panose="02040503050406030204" pitchFamily="18" charset="0"/>
                            <a:cs typeface="Sora" pitchFamily="2" charset="0"/>
                          </a:rPr>
                          <m:t>çã</m:t>
                        </m:r>
                        <m:r>
                          <m:rPr>
                            <m:sty m:val="p"/>
                          </m:rPr>
                          <a:rPr lang="pt-BR" sz="800">
                            <a:latin typeface="Cambria Math" panose="02040503050406030204" pitchFamily="18" charset="0"/>
                            <a:cs typeface="Sora" pitchFamily="2" charset="0"/>
                          </a:rPr>
                          <m:t>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receb</m:t>
                        </m:r>
                        <m:r>
                          <a:rPr lang="pt-BR" sz="800">
                            <a:latin typeface="Cambria Math" panose="02040503050406030204" pitchFamily="18" charset="0"/>
                            <a:cs typeface="Sora" pitchFamily="2" charset="0"/>
                          </a:rPr>
                          <m:t>í</m:t>
                        </m:r>
                        <m:r>
                          <m:rPr>
                            <m:sty m:val="p"/>
                          </m:rPr>
                          <a:rPr lang="pt-BR" sz="800">
                            <a:latin typeface="Cambria Math" panose="02040503050406030204" pitchFamily="18" charset="0"/>
                            <a:cs typeface="Sora" pitchFamily="2" charset="0"/>
                          </a:rPr>
                          <m:t>veis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cart</m:t>
                        </m:r>
                        <m:r>
                          <a:rPr lang="pt-BR" sz="800">
                            <a:latin typeface="Cambria Math" panose="02040503050406030204" pitchFamily="18" charset="0"/>
                            <a:cs typeface="Sora" pitchFamily="2" charset="0"/>
                          </a:rPr>
                          <m:t>ã</m:t>
                        </m:r>
                        <m:r>
                          <m:rPr>
                            <m:sty m:val="p"/>
                          </m:rPr>
                          <a:rPr lang="pt-BR" sz="800">
                            <a:latin typeface="Cambria Math" panose="02040503050406030204" pitchFamily="18" charset="0"/>
                            <a:cs typeface="Sora" pitchFamily="2" charset="0"/>
                          </a:rPr>
                          <m:t>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cr</m:t>
                        </m:r>
                        <m:r>
                          <a:rPr lang="pt-BR" sz="800">
                            <a:latin typeface="Cambria Math" panose="02040503050406030204" pitchFamily="18" charset="0"/>
                            <a:cs typeface="Sora" pitchFamily="2" charset="0"/>
                          </a:rPr>
                          <m:t>é</m:t>
                        </m:r>
                        <m:r>
                          <m:rPr>
                            <m:sty m:val="p"/>
                          </m:rPr>
                          <a:rPr lang="pt-BR" sz="800">
                            <a:latin typeface="Cambria Math" panose="02040503050406030204" pitchFamily="18" charset="0"/>
                            <a:cs typeface="Sora" pitchFamily="2" charset="0"/>
                          </a:rPr>
                          <m:t>dito</m:t>
                        </m:r>
                      </m:den>
                    </m:f>
                  </m:oMath>
                </m:oMathPara>
              </a14:m>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Cost of risk excluindo cartão de crédito:</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cs typeface="Sora" pitchFamily="2" charset="0"/>
                          </a:rPr>
                        </m:ctrlPr>
                      </m:fPr>
                      <m:num>
                        <m:r>
                          <m:rPr>
                            <m:sty m:val="p"/>
                          </m:rPr>
                          <a:rPr lang="pt-BR" sz="800" i="1">
                            <a:latin typeface="Cambria Math" panose="02040503050406030204" pitchFamily="18" charset="0"/>
                            <a:cs typeface="Sora" pitchFamily="2" charset="0"/>
                          </a:rPr>
                          <m:t>Resultado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perdas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por</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redu</m:t>
                        </m:r>
                        <m:r>
                          <a:rPr lang="pt-BR" sz="800" i="1">
                            <a:latin typeface="Cambria Math" panose="02040503050406030204" pitchFamily="18" charset="0"/>
                            <a:cs typeface="Sora" pitchFamily="2" charset="0"/>
                          </a:rPr>
                          <m:t>çã</m:t>
                        </m:r>
                        <m:r>
                          <m:rPr>
                            <m:sty m:val="p"/>
                          </m:rPr>
                          <a:rPr lang="pt-BR" sz="800" i="1">
                            <a:latin typeface="Cambria Math" panose="02040503050406030204" pitchFamily="18" charset="0"/>
                            <a:cs typeface="Sora" pitchFamily="2" charset="0"/>
                          </a:rPr>
                          <m:t>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valor</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recuper</m:t>
                        </m:r>
                        <m:r>
                          <a:rPr lang="pt-BR" sz="800" i="1">
                            <a:latin typeface="Cambria Math" panose="02040503050406030204" pitchFamily="18" charset="0"/>
                            <a:cs typeface="Sora" pitchFamily="2" charset="0"/>
                          </a:rPr>
                          <m:t>á</m:t>
                        </m:r>
                        <m:r>
                          <m:rPr>
                            <m:sty m:val="p"/>
                          </m:rPr>
                          <a:rPr lang="pt-BR" sz="800" i="1">
                            <a:latin typeface="Cambria Math" panose="02040503050406030204" pitchFamily="18" charset="0"/>
                            <a:cs typeface="Sora" pitchFamily="2" charset="0"/>
                          </a:rPr>
                          <m:t>vel</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ativos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financeiros</m:t>
                        </m:r>
                        <m:r>
                          <a:rPr lang="pt-BR" sz="800" i="1">
                            <a:latin typeface="Cambria Math" panose="02040503050406030204" pitchFamily="18" charset="0"/>
                            <a:cs typeface="Sora" pitchFamily="2" charset="0"/>
                          </a:rPr>
                          <m:t> × 4</m:t>
                        </m:r>
                      </m:num>
                      <m:den>
                        <m:r>
                          <m:rPr>
                            <m:sty m:val="p"/>
                          </m:rPr>
                          <a:rPr lang="pt-BR" sz="800">
                            <a:latin typeface="Cambria Math" panose="02040503050406030204" pitchFamily="18" charset="0"/>
                            <a:cs typeface="Sora" pitchFamily="2" charset="0"/>
                          </a:rPr>
                          <m:t>M</m:t>
                        </m:r>
                        <m:r>
                          <a:rPr lang="pt-BR" sz="800">
                            <a:latin typeface="Cambria Math" panose="02040503050406030204" pitchFamily="18" charset="0"/>
                            <a:cs typeface="Sora" pitchFamily="2" charset="0"/>
                          </a:rPr>
                          <m:t>é</m:t>
                        </m:r>
                        <m:r>
                          <m:rPr>
                            <m:sty m:val="p"/>
                          </m:rPr>
                          <a:rPr lang="pt-BR" sz="800">
                            <a:latin typeface="Cambria Math" panose="02040503050406030204" pitchFamily="18" charset="0"/>
                            <a:cs typeface="Sora" pitchFamily="2" charset="0"/>
                          </a:rPr>
                          <m:t>dia</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empr</m:t>
                        </m:r>
                        <m:r>
                          <a:rPr lang="pt-BR" sz="800">
                            <a:latin typeface="Cambria Math" panose="02040503050406030204" pitchFamily="18" charset="0"/>
                            <a:cs typeface="Sora" pitchFamily="2" charset="0"/>
                          </a:rPr>
                          <m:t>é</m:t>
                        </m:r>
                        <m:r>
                          <m:rPr>
                            <m:sty m:val="p"/>
                          </m:rPr>
                          <a:rPr lang="pt-BR" sz="800">
                            <a:latin typeface="Cambria Math" panose="02040503050406030204" pitchFamily="18" charset="0"/>
                            <a:cs typeface="Sora" pitchFamily="2" charset="0"/>
                          </a:rPr>
                          <m:t>stimos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adiantamento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a</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clientes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dos</m:t>
                        </m:r>
                        <m:r>
                          <a:rPr lang="pt-BR" sz="800">
                            <a:latin typeface="Cambria Math" panose="02040503050406030204" pitchFamily="18" charset="0"/>
                            <a:cs typeface="Sora" pitchFamily="2" charset="0"/>
                          </a:rPr>
                          <m:t> ú</m:t>
                        </m:r>
                        <m:r>
                          <m:rPr>
                            <m:sty m:val="p"/>
                          </m:rPr>
                          <a:rPr lang="pt-BR" sz="800">
                            <a:latin typeface="Cambria Math" panose="02040503050406030204" pitchFamily="18" charset="0"/>
                            <a:cs typeface="Sora" pitchFamily="2" charset="0"/>
                          </a:rPr>
                          <m:t>ltimos</m:t>
                        </m:r>
                        <m:r>
                          <a:rPr lang="pt-BR" sz="800">
                            <a:latin typeface="Cambria Math" panose="02040503050406030204" pitchFamily="18" charset="0"/>
                            <a:cs typeface="Sora" pitchFamily="2" charset="0"/>
                          </a:rPr>
                          <m:t> 2 </m:t>
                        </m:r>
                        <m:r>
                          <m:rPr>
                            <m:sty m:val="p"/>
                          </m:rPr>
                          <a:rPr lang="pt-BR" sz="800">
                            <a:latin typeface="Cambria Math" panose="02040503050406030204" pitchFamily="18" charset="0"/>
                            <a:cs typeface="Sora" pitchFamily="2" charset="0"/>
                          </a:rPr>
                          <m:t>trimestres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excluindo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cart</m:t>
                        </m:r>
                        <m:r>
                          <a:rPr lang="pt-BR" sz="800">
                            <a:latin typeface="Cambria Math" panose="02040503050406030204" pitchFamily="18" charset="0"/>
                            <a:cs typeface="Sora" pitchFamily="2" charset="0"/>
                          </a:rPr>
                          <m:t>ã</m:t>
                        </m:r>
                        <m:r>
                          <m:rPr>
                            <m:sty m:val="p"/>
                          </m:rPr>
                          <a:rPr lang="pt-BR" sz="800">
                            <a:latin typeface="Cambria Math" panose="02040503050406030204" pitchFamily="18" charset="0"/>
                            <a:cs typeface="Sora" pitchFamily="2" charset="0"/>
                          </a:rPr>
                          <m:t>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cr</m:t>
                        </m:r>
                        <m:r>
                          <a:rPr lang="pt-BR" sz="800">
                            <a:latin typeface="Cambria Math" panose="02040503050406030204" pitchFamily="18" charset="0"/>
                            <a:cs typeface="Sora" pitchFamily="2" charset="0"/>
                          </a:rPr>
                          <m:t>é</m:t>
                        </m:r>
                        <m:r>
                          <m:rPr>
                            <m:sty m:val="p"/>
                          </m:rPr>
                          <a:rPr lang="pt-BR" sz="800">
                            <a:latin typeface="Cambria Math" panose="02040503050406030204" pitchFamily="18" charset="0"/>
                            <a:cs typeface="Sora" pitchFamily="2" charset="0"/>
                          </a:rPr>
                          <m:t>dito</m:t>
                        </m:r>
                      </m:den>
                    </m:f>
                    <m:r>
                      <a:rPr lang="pt-BR" sz="800" i="1">
                        <a:latin typeface="Cambria Math" panose="02040503050406030204" pitchFamily="18" charset="0"/>
                        <a:cs typeface="Sora" pitchFamily="2" charset="0"/>
                      </a:rPr>
                      <m:t> </m:t>
                    </m:r>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Custo de  funding:</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cs typeface="Sora" pitchFamily="2" charset="0"/>
                          </a:rPr>
                        </m:ctrlPr>
                      </m:fPr>
                      <m:num>
                        <m:r>
                          <m:rPr>
                            <m:sty m:val="p"/>
                          </m:rPr>
                          <a:rPr lang="pt-BR" sz="800" b="0" i="0">
                            <a:latin typeface="Cambria Math" panose="02040503050406030204" pitchFamily="18" charset="0"/>
                            <a:cs typeface="Sora" pitchFamily="2" charset="0"/>
                          </a:rPr>
                          <m:t>Despesas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juros</m:t>
                        </m:r>
                        <m:r>
                          <a:rPr lang="pt-BR" sz="800" b="0" i="0">
                            <a:latin typeface="Cambria Math" panose="02040503050406030204" pitchFamily="18" charset="0"/>
                            <a:cs typeface="Sora" pitchFamily="2" charset="0"/>
                          </a:rPr>
                          <m:t> × 4</m:t>
                        </m:r>
                      </m:num>
                      <m:den>
                        <m:eqArr>
                          <m:eqArrPr>
                            <m:ctrlPr>
                              <a:rPr lang="pt-BR" sz="800" i="1">
                                <a:latin typeface="Cambria Math" panose="02040503050406030204" pitchFamily="18" charset="0"/>
                                <a:cs typeface="Sora" pitchFamily="2" charset="0"/>
                              </a:rPr>
                            </m:ctrlPr>
                          </m:eqArrPr>
                          <m:e>
                            <m:r>
                              <m:rPr>
                                <m:sty m:val="p"/>
                              </m:rPr>
                              <a:rPr lang="pt-BR" sz="800" i="0">
                                <a:latin typeface="Cambria Math" panose="02040503050406030204" pitchFamily="18" charset="0"/>
                                <a:cs typeface="Sora" pitchFamily="2" charset="0"/>
                              </a:rPr>
                              <m:t>M</m:t>
                            </m:r>
                            <m:r>
                              <a:rPr lang="pt-BR" sz="800" i="0">
                                <a:latin typeface="Cambria Math" panose="02040503050406030204" pitchFamily="18" charset="0"/>
                                <a:cs typeface="Sora" pitchFamily="2" charset="0"/>
                              </a:rPr>
                              <m:t>é</m:t>
                            </m:r>
                            <m:r>
                              <m:rPr>
                                <m:sty m:val="p"/>
                              </m:rPr>
                              <a:rPr lang="pt-BR" sz="800" i="0">
                                <a:latin typeface="Cambria Math" panose="02040503050406030204" pitchFamily="18" charset="0"/>
                                <a:cs typeface="Sora" pitchFamily="2" charset="0"/>
                              </a:rPr>
                              <m:t>dia</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passivos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remunerados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dos</m:t>
                            </m:r>
                            <m:r>
                              <a:rPr lang="pt-BR" sz="800" i="0">
                                <a:latin typeface="Cambria Math" panose="02040503050406030204" pitchFamily="18" charset="0"/>
                                <a:cs typeface="Sora" pitchFamily="2" charset="0"/>
                              </a:rPr>
                              <m:t> ú</m:t>
                            </m:r>
                            <m:r>
                              <m:rPr>
                                <m:sty m:val="p"/>
                              </m:rPr>
                              <a:rPr lang="pt-BR" sz="800" i="0">
                                <a:latin typeface="Cambria Math" panose="02040503050406030204" pitchFamily="18" charset="0"/>
                                <a:cs typeface="Sora" pitchFamily="2" charset="0"/>
                              </a:rPr>
                              <m:t>ltimos</m:t>
                            </m:r>
                            <m:r>
                              <a:rPr lang="pt-BR" sz="800" i="0">
                                <a:latin typeface="Cambria Math" panose="02040503050406030204" pitchFamily="18" charset="0"/>
                                <a:cs typeface="Sora" pitchFamily="2" charset="0"/>
                              </a:rPr>
                              <m:t> 2 </m:t>
                            </m:r>
                            <m:r>
                              <m:rPr>
                                <m:sty m:val="p"/>
                              </m:rPr>
                              <a:rPr lang="pt-BR" sz="800" i="0">
                                <a:latin typeface="Cambria Math" panose="02040503050406030204" pitchFamily="18" charset="0"/>
                                <a:cs typeface="Sora" pitchFamily="2" charset="0"/>
                              </a:rPr>
                              <m:t>trimestres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dep</m:t>
                            </m:r>
                            <m:r>
                              <a:rPr lang="pt-BR" sz="800" i="0">
                                <a:latin typeface="Cambria Math" panose="02040503050406030204" pitchFamily="18" charset="0"/>
                                <a:cs typeface="Sora" pitchFamily="2" charset="0"/>
                              </a:rPr>
                              <m:t>ó</m:t>
                            </m:r>
                            <m:r>
                              <m:rPr>
                                <m:sty m:val="p"/>
                              </m:rPr>
                              <a:rPr lang="pt-BR" sz="800" i="0">
                                <a:latin typeface="Cambria Math" panose="02040503050406030204" pitchFamily="18" charset="0"/>
                                <a:cs typeface="Sora" pitchFamily="2" charset="0"/>
                              </a:rPr>
                              <m:t>sitos</m:t>
                            </m:r>
                            <m:r>
                              <a:rPr lang="pt-BR" sz="800" i="0">
                                <a:latin typeface="Cambria Math" panose="02040503050406030204" pitchFamily="18" charset="0"/>
                                <a:cs typeface="Sora" pitchFamily="2" charset="0"/>
                              </a:rPr>
                              <m:t> à </m:t>
                            </m:r>
                            <m:r>
                              <m:rPr>
                                <m:sty m:val="p"/>
                              </m:rPr>
                              <a:rPr lang="pt-BR" sz="800" i="0">
                                <a:latin typeface="Cambria Math" panose="02040503050406030204" pitchFamily="18" charset="0"/>
                                <a:cs typeface="Sora" pitchFamily="2" charset="0"/>
                              </a:rPr>
                              <m:t>vista</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dep</m:t>
                            </m:r>
                            <m:r>
                              <a:rPr lang="pt-BR" sz="800" i="0">
                                <a:latin typeface="Cambria Math" panose="02040503050406030204" pitchFamily="18" charset="0"/>
                                <a:cs typeface="Sora" pitchFamily="2" charset="0"/>
                              </a:rPr>
                              <m:t>ó</m:t>
                            </m:r>
                            <m:r>
                              <m:rPr>
                                <m:sty m:val="p"/>
                              </m:rPr>
                              <a:rPr lang="pt-BR" sz="800" i="0">
                                <a:latin typeface="Cambria Math" panose="02040503050406030204" pitchFamily="18" charset="0"/>
                                <a:cs typeface="Sora" pitchFamily="2" charset="0"/>
                              </a:rPr>
                              <m:t>sitos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a</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prazo</m:t>
                            </m:r>
                            <m:r>
                              <a:rPr lang="pt-BR" sz="800" i="0">
                                <a:latin typeface="Cambria Math" panose="02040503050406030204" pitchFamily="18" charset="0"/>
                                <a:cs typeface="Sora" pitchFamily="2" charset="0"/>
                              </a:rPr>
                              <m:t>,</m:t>
                            </m:r>
                            <m:r>
                              <m:rPr>
                                <m:sty m:val="p"/>
                              </m:rPr>
                              <a:rPr lang="pt-BR" sz="800" i="0">
                                <a:latin typeface="Cambria Math" panose="02040503050406030204" pitchFamily="18" charset="0"/>
                                <a:cs typeface="Sora" pitchFamily="2" charset="0"/>
                              </a:rPr>
                              <m:t>poupan</m:t>
                            </m:r>
                            <m:r>
                              <a:rPr lang="pt-BR" sz="800" i="0">
                                <a:latin typeface="Cambria Math" panose="02040503050406030204" pitchFamily="18" charset="0"/>
                                <a:cs typeface="Sora" pitchFamily="2" charset="0"/>
                              </a:rPr>
                              <m:t>ç</m:t>
                            </m:r>
                            <m:r>
                              <m:rPr>
                                <m:sty m:val="p"/>
                              </m:rPr>
                              <a:rPr lang="pt-BR" sz="800" i="0">
                                <a:latin typeface="Cambria Math" panose="02040503050406030204" pitchFamily="18" charset="0"/>
                                <a:cs typeface="Sora" pitchFamily="2" charset="0"/>
                              </a:rPr>
                              <m:t>a</m:t>
                            </m:r>
                            <m:r>
                              <a:rPr lang="pt-BR" sz="800" i="0">
                                <a:latin typeface="Cambria Math" panose="02040503050406030204" pitchFamily="18" charset="0"/>
                                <a:cs typeface="Sora" pitchFamily="2" charset="0"/>
                              </a:rPr>
                              <m:t>, </m:t>
                            </m:r>
                          </m:e>
                          <m:e>
                            <m:r>
                              <m:rPr>
                                <m:sty m:val="p"/>
                              </m:rPr>
                              <a:rPr lang="pt-BR" sz="800" i="0">
                                <a:latin typeface="Cambria Math" panose="02040503050406030204" pitchFamily="18" charset="0"/>
                                <a:cs typeface="Sora" pitchFamily="2" charset="0"/>
                              </a:rPr>
                              <m:t>credores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por</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recursos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a</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liberar</m:t>
                            </m:r>
                            <m:r>
                              <a:rPr lang="pt-BR" sz="800" i="0">
                                <a:latin typeface="Cambria Math" panose="02040503050406030204" pitchFamily="18" charset="0"/>
                                <a:cs typeface="Sora" pitchFamily="2" charset="0"/>
                              </a:rPr>
                              <m:t>,</m:t>
                            </m:r>
                            <m:r>
                              <m:rPr>
                                <m:sty m:val="p"/>
                              </m:rPr>
                              <a:rPr lang="pt-BR" sz="800" i="0">
                                <a:latin typeface="Cambria Math" panose="02040503050406030204" pitchFamily="18" charset="0"/>
                                <a:cs typeface="Sora" pitchFamily="2" charset="0"/>
                              </a:rPr>
                              <m:t>t</m:t>
                            </m:r>
                            <m:r>
                              <a:rPr lang="pt-BR" sz="800" i="0">
                                <a:latin typeface="Cambria Math" panose="02040503050406030204" pitchFamily="18" charset="0"/>
                                <a:cs typeface="Sora" pitchFamily="2" charset="0"/>
                              </a:rPr>
                              <m:t>í</m:t>
                            </m:r>
                            <m:r>
                              <m:rPr>
                                <m:sty m:val="p"/>
                              </m:rPr>
                              <a:rPr lang="pt-BR" sz="800" i="0">
                                <a:latin typeface="Cambria Math" panose="02040503050406030204" pitchFamily="18" charset="0"/>
                                <a:cs typeface="Sora" pitchFamily="2" charset="0"/>
                              </a:rPr>
                              <m:t>tulos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emitidos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obriga</m:t>
                            </m:r>
                            <m:r>
                              <a:rPr lang="pt-BR" sz="800" i="0">
                                <a:latin typeface="Cambria Math" panose="02040503050406030204" pitchFamily="18" charset="0"/>
                                <a:cs typeface="Sora" pitchFamily="2" charset="0"/>
                              </a:rPr>
                              <m:t>çõ</m:t>
                            </m:r>
                            <m:r>
                              <m:rPr>
                                <m:sty m:val="p"/>
                              </m:rPr>
                              <a:rPr lang="pt-BR" sz="800" i="0">
                                <a:latin typeface="Cambria Math" panose="02040503050406030204" pitchFamily="18" charset="0"/>
                                <a:cs typeface="Sora" pitchFamily="2" charset="0"/>
                              </a:rPr>
                              <m:t>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com</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redes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cart</m:t>
                            </m:r>
                            <m:r>
                              <a:rPr lang="pt-BR" sz="800" i="0">
                                <a:latin typeface="Cambria Math" panose="02040503050406030204" pitchFamily="18" charset="0"/>
                                <a:cs typeface="Sora" pitchFamily="2" charset="0"/>
                              </a:rPr>
                              <m:t>ã</m:t>
                            </m:r>
                            <m:r>
                              <m:rPr>
                                <m:sty m:val="p"/>
                              </m:rPr>
                              <a:rPr lang="pt-BR" sz="800" i="0">
                                <a:latin typeface="Cambria Math" panose="02040503050406030204" pitchFamily="18" charset="0"/>
                                <a:cs typeface="Sora" pitchFamily="2" charset="0"/>
                              </a:rPr>
                              <m:t>o</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cr</m:t>
                            </m:r>
                            <m:r>
                              <a:rPr lang="pt-BR" sz="800" i="0">
                                <a:latin typeface="Cambria Math" panose="02040503050406030204" pitchFamily="18" charset="0"/>
                                <a:cs typeface="Sora" pitchFamily="2" charset="0"/>
                              </a:rPr>
                              <m:t>é</m:t>
                            </m:r>
                            <m:r>
                              <m:rPr>
                                <m:sty m:val="p"/>
                              </m:rPr>
                              <a:rPr lang="pt-BR" sz="800" i="0">
                                <a:latin typeface="Cambria Math" panose="02040503050406030204" pitchFamily="18" charset="0"/>
                                <a:cs typeface="Sora" pitchFamily="2" charset="0"/>
                              </a:rPr>
                              <m:t>dito</m:t>
                            </m:r>
                            <m:r>
                              <a:rPr lang="pt-BR" sz="800" i="0">
                                <a:latin typeface="Cambria Math" panose="02040503050406030204" pitchFamily="18" charset="0"/>
                                <a:cs typeface="Sora" pitchFamily="2" charset="0"/>
                              </a:rPr>
                              <m:t>,</m:t>
                            </m:r>
                          </m:e>
                          <m:e>
                            <m:r>
                              <m:rPr>
                                <m:sty m:val="p"/>
                              </m:rPr>
                              <a:rPr lang="pt-BR" sz="800" i="0">
                                <a:latin typeface="Cambria Math" panose="02040503050406030204" pitchFamily="18" charset="0"/>
                                <a:cs typeface="Sora" pitchFamily="2" charset="0"/>
                              </a:rPr>
                              <m:t>obriga</m:t>
                            </m:r>
                            <m:r>
                              <a:rPr lang="pt-BR" sz="800" i="0">
                                <a:latin typeface="Cambria Math" panose="02040503050406030204" pitchFamily="18" charset="0"/>
                                <a:cs typeface="Sora" pitchFamily="2" charset="0"/>
                              </a:rPr>
                              <m:t>çõ</m:t>
                            </m:r>
                            <m:r>
                              <m:rPr>
                                <m:sty m:val="p"/>
                              </m:rPr>
                              <a:rPr lang="pt-BR" sz="800" i="0">
                                <a:latin typeface="Cambria Math" panose="02040503050406030204" pitchFamily="18" charset="0"/>
                                <a:cs typeface="Sora" pitchFamily="2" charset="0"/>
                              </a:rPr>
                              <m:t>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por</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opera</m:t>
                            </m:r>
                            <m:r>
                              <a:rPr lang="pt-BR" sz="800" i="0">
                                <a:latin typeface="Cambria Math" panose="02040503050406030204" pitchFamily="18" charset="0"/>
                                <a:cs typeface="Sora" pitchFamily="2" charset="0"/>
                              </a:rPr>
                              <m:t>çõ</m:t>
                            </m:r>
                            <m:r>
                              <m:rPr>
                                <m:sty m:val="p"/>
                              </m:rPr>
                              <a:rPr lang="pt-BR" sz="800" i="0">
                                <a:latin typeface="Cambria Math" panose="02040503050406030204" pitchFamily="18" charset="0"/>
                                <a:cs typeface="Sora" pitchFamily="2" charset="0"/>
                              </a:rPr>
                              <m:t>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compromissadas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dep</m:t>
                            </m:r>
                            <m:r>
                              <a:rPr lang="pt-BR" sz="800" i="0">
                                <a:latin typeface="Cambria Math" panose="02040503050406030204" pitchFamily="18" charset="0"/>
                                <a:cs typeface="Sora" pitchFamily="2" charset="0"/>
                              </a:rPr>
                              <m:t>ó</m:t>
                            </m:r>
                            <m:r>
                              <m:rPr>
                                <m:sty m:val="p"/>
                              </m:rPr>
                              <a:rPr lang="pt-BR" sz="800" i="0">
                                <a:latin typeface="Cambria Math" panose="02040503050406030204" pitchFamily="18" charset="0"/>
                                <a:cs typeface="Sora" pitchFamily="2" charset="0"/>
                              </a:rPr>
                              <m:t>sitos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interfinanceiros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outros</m:t>
                            </m:r>
                            <m:r>
                              <a:rPr lang="pt-BR" sz="800" i="0">
                                <a:latin typeface="Cambria Math" panose="02040503050406030204" pitchFamily="18" charset="0"/>
                                <a:cs typeface="Sora" pitchFamily="2" charset="0"/>
                              </a:rPr>
                              <m:t>)</m:t>
                            </m:r>
                          </m:e>
                        </m:eqArr>
                      </m:den>
                    </m:f>
                  </m:oMath>
                </m:oMathPara>
              </a14:m>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Custo de servir (CTS):</a:t>
              </a:r>
            </a:p>
            <a:p>
              <a:pPr algn="ctr"/>
              <a:endParaRPr lang="en-US" sz="800">
                <a:solidFill>
                  <a:schemeClr val="tx1">
                    <a:lumMod val="85000"/>
                    <a:lumOff val="15000"/>
                  </a:schemeClr>
                </a:solidFill>
                <a:latin typeface="Calibri" panose="020F05020202040302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a:rPr lang="pt-BR" sz="800">
                            <a:latin typeface="Cambria Math" panose="02040503050406030204" pitchFamily="18" charset="0"/>
                          </a:rPr>
                          <m:t>(</m:t>
                        </m:r>
                        <m:r>
                          <m:rPr>
                            <m:sty m:val="p"/>
                          </m:rPr>
                          <a:rPr lang="en-US" sz="800">
                            <a:solidFill>
                              <a:schemeClr val="tx1">
                                <a:lumMod val="85000"/>
                                <a:lumOff val="15000"/>
                              </a:schemeClr>
                            </a:solidFill>
                            <a:latin typeface="Cambria Math" panose="02040503050406030204" pitchFamily="18" charset="0"/>
                            <a:cs typeface="Sora" pitchFamily="2" charset="0"/>
                          </a:rPr>
                          <m:t>Despesas</m:t>
                        </m:r>
                        <m:r>
                          <a:rPr lang="en-US" sz="800">
                            <a:solidFill>
                              <a:schemeClr val="tx1">
                                <a:lumMod val="85000"/>
                                <a:lumOff val="15000"/>
                              </a:schemeClr>
                            </a:solidFill>
                            <a:latin typeface="Cambria Math" panose="02040503050406030204" pitchFamily="18" charset="0"/>
                            <a:cs typeface="Sora" pitchFamily="2" charset="0"/>
                          </a:rPr>
                          <m:t> </m:t>
                        </m:r>
                        <m:r>
                          <m:rPr>
                            <m:sty m:val="p"/>
                          </m:rPr>
                          <a:rPr lang="en-US" sz="800">
                            <a:solidFill>
                              <a:schemeClr val="tx1">
                                <a:lumMod val="85000"/>
                                <a:lumOff val="15000"/>
                              </a:schemeClr>
                            </a:solidFill>
                            <a:latin typeface="Cambria Math" panose="02040503050406030204" pitchFamily="18" charset="0"/>
                            <a:cs typeface="Sora" pitchFamily="2" charset="0"/>
                          </a:rPr>
                          <m:t>de</m:t>
                        </m:r>
                        <m:r>
                          <a:rPr lang="en-US" sz="800">
                            <a:solidFill>
                              <a:schemeClr val="tx1">
                                <a:lumMod val="85000"/>
                                <a:lumOff val="15000"/>
                              </a:schemeClr>
                            </a:solidFill>
                            <a:latin typeface="Cambria Math" panose="02040503050406030204" pitchFamily="18" charset="0"/>
                            <a:cs typeface="Sora" pitchFamily="2" charset="0"/>
                          </a:rPr>
                          <m:t> </m:t>
                        </m:r>
                        <m:r>
                          <m:rPr>
                            <m:sty m:val="p"/>
                          </m:rPr>
                          <a:rPr lang="en-US" sz="800">
                            <a:solidFill>
                              <a:schemeClr val="tx1">
                                <a:lumMod val="85000"/>
                                <a:lumOff val="15000"/>
                              </a:schemeClr>
                            </a:solidFill>
                            <a:latin typeface="Cambria Math" panose="02040503050406030204" pitchFamily="18" charset="0"/>
                            <a:cs typeface="Sora" pitchFamily="2" charset="0"/>
                          </a:rPr>
                          <m:t>pessoal</m:t>
                        </m:r>
                        <m:r>
                          <a:rPr lang="en-US" sz="800">
                            <a:solidFill>
                              <a:schemeClr val="tx1">
                                <a:lumMod val="85000"/>
                                <a:lumOff val="15000"/>
                              </a:schemeClr>
                            </a:solidFill>
                            <a:latin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cs typeface="Sora" pitchFamily="2" charset="0"/>
                          </a:rPr>
                          <m:t>D</m:t>
                        </m:r>
                        <m:r>
                          <m:rPr>
                            <m:sty m:val="p"/>
                          </m:rPr>
                          <a:rPr lang="en-US" sz="800">
                            <a:solidFill>
                              <a:schemeClr val="tx1">
                                <a:lumMod val="85000"/>
                                <a:lumOff val="15000"/>
                              </a:schemeClr>
                            </a:solidFill>
                            <a:latin typeface="Cambria Math" panose="02040503050406030204" pitchFamily="18" charset="0"/>
                            <a:cs typeface="Sora" pitchFamily="2" charset="0"/>
                          </a:rPr>
                          <m:t>espesas</m:t>
                        </m:r>
                        <m:r>
                          <a:rPr lang="en-US" sz="800">
                            <a:solidFill>
                              <a:schemeClr val="tx1">
                                <a:lumMod val="85000"/>
                                <a:lumOff val="15000"/>
                              </a:schemeClr>
                            </a:solidFill>
                            <a:latin typeface="Cambria Math" panose="02040503050406030204" pitchFamily="18" charset="0"/>
                            <a:cs typeface="Sora" pitchFamily="2" charset="0"/>
                          </a:rPr>
                          <m:t> </m:t>
                        </m:r>
                        <m:r>
                          <m:rPr>
                            <m:sty m:val="p"/>
                          </m:rPr>
                          <a:rPr lang="en-US" sz="800">
                            <a:solidFill>
                              <a:schemeClr val="tx1">
                                <a:lumMod val="85000"/>
                                <a:lumOff val="15000"/>
                              </a:schemeClr>
                            </a:solidFill>
                            <a:latin typeface="Cambria Math" panose="02040503050406030204" pitchFamily="18" charset="0"/>
                            <a:cs typeface="Sora" pitchFamily="2" charset="0"/>
                          </a:rPr>
                          <m:t>administrativas</m:t>
                        </m:r>
                        <m:r>
                          <a:rPr lang="pt-BR" sz="800" i="1">
                            <a:solidFill>
                              <a:schemeClr val="tx1">
                                <a:lumMod val="85000"/>
                                <a:lumOff val="15000"/>
                              </a:schemeClr>
                            </a:solidFill>
                            <a:latin typeface="Cambria Math" panose="02040503050406030204" pitchFamily="18" charset="0"/>
                            <a:cs typeface="Sora" pitchFamily="2" charset="0"/>
                          </a:rPr>
                          <m:t> −</m:t>
                        </m:r>
                        <m:r>
                          <m:rPr>
                            <m:sty m:val="p"/>
                          </m:rPr>
                          <a:rPr lang="en-US" sz="800">
                            <a:solidFill>
                              <a:schemeClr val="tx1">
                                <a:lumMod val="85000"/>
                                <a:lumOff val="15000"/>
                              </a:schemeClr>
                            </a:solidFill>
                            <a:latin typeface="Cambria Math" panose="02040503050406030204" pitchFamily="18" charset="0"/>
                            <a:cs typeface="Sora" pitchFamily="2" charset="0"/>
                          </a:rPr>
                          <m:t>CAC</m:t>
                        </m:r>
                        <m:r>
                          <a:rPr lang="en-US" sz="800">
                            <a:solidFill>
                              <a:schemeClr val="tx1">
                                <a:lumMod val="85000"/>
                                <a:lumOff val="15000"/>
                              </a:schemeClr>
                            </a:solidFill>
                            <a:latin typeface="Cambria Math" panose="02040503050406030204" pitchFamily="18" charset="0"/>
                            <a:cs typeface="Sora" pitchFamily="2" charset="0"/>
                          </a:rPr>
                          <m:t> </m:t>
                        </m:r>
                        <m:r>
                          <m:rPr>
                            <m:sty m:val="p"/>
                          </m:rPr>
                          <a:rPr lang="en-US" sz="800">
                            <a:solidFill>
                              <a:schemeClr val="tx1">
                                <a:lumMod val="85000"/>
                                <a:lumOff val="15000"/>
                              </a:schemeClr>
                            </a:solidFill>
                            <a:latin typeface="Cambria Math" panose="02040503050406030204" pitchFamily="18" charset="0"/>
                            <a:cs typeface="Sora" pitchFamily="2" charset="0"/>
                          </a:rPr>
                          <m:t>Total</m:t>
                        </m:r>
                        <m:r>
                          <a:rPr lang="en-US" sz="800">
                            <a:solidFill>
                              <a:schemeClr val="tx1">
                                <a:lumMod val="85000"/>
                                <a:lumOff val="15000"/>
                              </a:schemeClr>
                            </a:solidFill>
                            <a:latin typeface="Cambria Math" panose="02040503050406030204" pitchFamily="18" charset="0"/>
                            <a:cs typeface="Sora" pitchFamily="2" charset="0"/>
                          </a:rPr>
                          <m:t> )÷</m:t>
                        </m:r>
                        <m:r>
                          <a:rPr lang="pt-BR" sz="800" i="1">
                            <a:solidFill>
                              <a:schemeClr val="tx1">
                                <a:lumMod val="85000"/>
                                <a:lumOff val="15000"/>
                              </a:schemeClr>
                            </a:solidFill>
                            <a:latin typeface="Cambria Math" panose="02040503050406030204" pitchFamily="18" charset="0"/>
                            <a:cs typeface="Sora" pitchFamily="2" charset="0"/>
                          </a:rPr>
                          <m:t>3)</m:t>
                        </m:r>
                      </m:num>
                      <m:den>
                        <m:r>
                          <m:rPr>
                            <m:sty m:val="p"/>
                          </m:rPr>
                          <a:rPr lang="pt-BR" sz="800">
                            <a:latin typeface="Cambria Math" panose="02040503050406030204" pitchFamily="18" charset="0"/>
                            <a:cs typeface="Sora" pitchFamily="2" charset="0"/>
                          </a:rPr>
                          <m:t>M</m:t>
                        </m:r>
                        <m:r>
                          <a:rPr lang="pt-BR" sz="800">
                            <a:latin typeface="Cambria Math" panose="02040503050406030204" pitchFamily="18" charset="0"/>
                            <a:cs typeface="Sora" pitchFamily="2" charset="0"/>
                          </a:rPr>
                          <m:t>é</m:t>
                        </m:r>
                        <m:r>
                          <m:rPr>
                            <m:sty m:val="p"/>
                          </m:rPr>
                          <a:rPr lang="pt-BR" sz="800">
                            <a:latin typeface="Cambria Math" panose="02040503050406030204" pitchFamily="18" charset="0"/>
                            <a:cs typeface="Sora" pitchFamily="2" charset="0"/>
                          </a:rPr>
                          <m:t>dia</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clientes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ativos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dos</m:t>
                        </m:r>
                        <m:r>
                          <a:rPr lang="pt-BR" sz="800">
                            <a:latin typeface="Cambria Math" panose="02040503050406030204" pitchFamily="18" charset="0"/>
                            <a:cs typeface="Sora" pitchFamily="2" charset="0"/>
                          </a:rPr>
                          <m:t> ú</m:t>
                        </m:r>
                        <m:r>
                          <m:rPr>
                            <m:sty m:val="p"/>
                          </m:rPr>
                          <a:rPr lang="pt-BR" sz="800">
                            <a:latin typeface="Cambria Math" panose="02040503050406030204" pitchFamily="18" charset="0"/>
                            <a:cs typeface="Sora" pitchFamily="2" charset="0"/>
                          </a:rPr>
                          <m:t>ltimos</m:t>
                        </m:r>
                        <m:r>
                          <a:rPr lang="pt-BR" sz="800">
                            <a:latin typeface="Cambria Math" panose="02040503050406030204" pitchFamily="18" charset="0"/>
                            <a:cs typeface="Sora" pitchFamily="2" charset="0"/>
                          </a:rPr>
                          <m:t> 2 </m:t>
                        </m:r>
                        <m:r>
                          <m:rPr>
                            <m:sty m:val="p"/>
                          </m:rPr>
                          <a:rPr lang="pt-BR" sz="800">
                            <a:latin typeface="Cambria Math" panose="02040503050406030204" pitchFamily="18" charset="0"/>
                            <a:cs typeface="Sora" pitchFamily="2" charset="0"/>
                          </a:rPr>
                          <m:t>trimestres</m:t>
                        </m:r>
                      </m:den>
                    </m:f>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Fee income ratio:</a:t>
              </a:r>
            </a:p>
            <a:p>
              <a:endParaRPr lang="pt-BR"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Receita</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servi</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ç</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comiss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õ</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Outras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receitas</m:t>
                        </m:r>
                      </m:num>
                      <m:den>
                        <m:r>
                          <m:rPr>
                            <m:sty m:val="p"/>
                          </m:rPr>
                          <a:rPr lang="pt-BR" sz="800">
                            <a:latin typeface="Cambria Math" panose="02040503050406030204" pitchFamily="18" charset="0"/>
                          </a:rPr>
                          <m:t>Resultado</m:t>
                        </m:r>
                        <m:r>
                          <a:rPr lang="pt-BR" sz="800">
                            <a:latin typeface="Cambria Math" panose="02040503050406030204" pitchFamily="18" charset="0"/>
                          </a:rPr>
                          <m:t> </m:t>
                        </m:r>
                        <m:r>
                          <m:rPr>
                            <m:sty m:val="p"/>
                          </m:rPr>
                          <a:rPr lang="pt-BR" sz="800">
                            <a:latin typeface="Cambria Math" panose="02040503050406030204" pitchFamily="18" charset="0"/>
                          </a:rPr>
                          <m:t>l</m:t>
                        </m:r>
                        <m:r>
                          <a:rPr lang="pt-BR" sz="800">
                            <a:latin typeface="Cambria Math" panose="02040503050406030204" pitchFamily="18" charset="0"/>
                          </a:rPr>
                          <m:t>í</m:t>
                        </m:r>
                        <m:r>
                          <m:rPr>
                            <m:sty m:val="p"/>
                          </m:rPr>
                          <a:rPr lang="pt-BR" sz="800">
                            <a:latin typeface="Cambria Math" panose="02040503050406030204" pitchFamily="18" charset="0"/>
                          </a:rPr>
                          <m:t>quido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juros</m:t>
                        </m:r>
                        <m:r>
                          <a:rPr lang="pt-BR" sz="800">
                            <a:latin typeface="Cambria Math" panose="02040503050406030204" pitchFamily="18" charset="0"/>
                          </a:rPr>
                          <m:t> + </m:t>
                        </m:r>
                        <m:r>
                          <m:rPr>
                            <m:sty m:val="p"/>
                          </m:rPr>
                          <a:rPr lang="pt-BR" sz="800">
                            <a:latin typeface="Cambria Math" panose="02040503050406030204" pitchFamily="18" charset="0"/>
                          </a:rPr>
                          <m:t>Resultado</m:t>
                        </m:r>
                        <m:r>
                          <a:rPr lang="pt-BR" sz="800">
                            <a:latin typeface="Cambria Math" panose="02040503050406030204" pitchFamily="18" charset="0"/>
                          </a:rPr>
                          <m:t> </m:t>
                        </m:r>
                        <m:r>
                          <m:rPr>
                            <m:sty m:val="p"/>
                          </m:rPr>
                          <a:rPr lang="pt-BR" sz="800">
                            <a:latin typeface="Cambria Math" panose="02040503050406030204" pitchFamily="18" charset="0"/>
                          </a:rPr>
                          <m:t>l</m:t>
                        </m:r>
                        <m:r>
                          <a:rPr lang="pt-BR" sz="800">
                            <a:latin typeface="Cambria Math" panose="02040503050406030204" pitchFamily="18" charset="0"/>
                          </a:rPr>
                          <m:t>í</m:t>
                        </m:r>
                        <m:r>
                          <m:rPr>
                            <m:sty m:val="p"/>
                          </m:rPr>
                          <a:rPr lang="pt-BR" sz="800">
                            <a:latin typeface="Cambria Math" panose="02040503050406030204" pitchFamily="18" charset="0"/>
                          </a:rPr>
                          <m:t>quido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servi</m:t>
                        </m:r>
                        <m:r>
                          <a:rPr lang="pt-BR" sz="800">
                            <a:latin typeface="Cambria Math" panose="02040503050406030204" pitchFamily="18" charset="0"/>
                          </a:rPr>
                          <m:t>ç</m:t>
                        </m:r>
                        <m:r>
                          <m:rPr>
                            <m:sty m:val="p"/>
                          </m:rPr>
                          <a:rPr lang="pt-BR" sz="800">
                            <a:latin typeface="Cambria Math" panose="02040503050406030204" pitchFamily="18" charset="0"/>
                          </a:rPr>
                          <m:t>os</m:t>
                        </m:r>
                        <m:r>
                          <a:rPr lang="pt-BR" sz="800">
                            <a:latin typeface="Cambria Math" panose="02040503050406030204" pitchFamily="18" charset="0"/>
                          </a:rPr>
                          <m:t> </m:t>
                        </m:r>
                        <m:r>
                          <m:rPr>
                            <m:sty m:val="p"/>
                          </m:rPr>
                          <a:rPr lang="pt-BR" sz="800">
                            <a:latin typeface="Cambria Math" panose="02040503050406030204" pitchFamily="18" charset="0"/>
                          </a:rPr>
                          <m:t>e</m:t>
                        </m:r>
                        <m:r>
                          <a:rPr lang="pt-BR" sz="800">
                            <a:latin typeface="Cambria Math" panose="02040503050406030204" pitchFamily="18" charset="0"/>
                          </a:rPr>
                          <m:t> </m:t>
                        </m:r>
                        <m:r>
                          <m:rPr>
                            <m:sty m:val="p"/>
                          </m:rPr>
                          <a:rPr lang="pt-BR" sz="800">
                            <a:latin typeface="Cambria Math" panose="02040503050406030204" pitchFamily="18" charset="0"/>
                          </a:rPr>
                          <m:t>comiss</m:t>
                        </m:r>
                        <m:r>
                          <a:rPr lang="pt-BR" sz="800">
                            <a:latin typeface="Cambria Math" panose="02040503050406030204" pitchFamily="18" charset="0"/>
                          </a:rPr>
                          <m:t>õ</m:t>
                        </m:r>
                        <m:r>
                          <m:rPr>
                            <m:sty m:val="p"/>
                          </m:rPr>
                          <a:rPr lang="pt-BR" sz="800">
                            <a:latin typeface="Cambria Math" panose="02040503050406030204" pitchFamily="18" charset="0"/>
                          </a:rPr>
                          <m:t>es</m:t>
                        </m:r>
                        <m:r>
                          <a:rPr lang="pt-BR" sz="800">
                            <a:latin typeface="Cambria Math" panose="02040503050406030204" pitchFamily="18" charset="0"/>
                          </a:rPr>
                          <m:t>+</m:t>
                        </m:r>
                        <m:r>
                          <m:rPr>
                            <m:sty m:val="p"/>
                          </m:rPr>
                          <a:rPr lang="pt-BR" sz="800">
                            <a:latin typeface="Cambria Math" panose="02040503050406030204" pitchFamily="18" charset="0"/>
                          </a:rPr>
                          <m:t>Outras</m:t>
                        </m:r>
                        <m:r>
                          <a:rPr lang="pt-BR" sz="800">
                            <a:latin typeface="Cambria Math" panose="02040503050406030204" pitchFamily="18" charset="0"/>
                          </a:rPr>
                          <m:t> </m:t>
                        </m:r>
                        <m:r>
                          <m:rPr>
                            <m:sty m:val="p"/>
                          </m:rPr>
                          <a:rPr lang="pt-BR" sz="800">
                            <a:latin typeface="Cambria Math" panose="02040503050406030204" pitchFamily="18" charset="0"/>
                          </a:rPr>
                          <m:t>Receitas</m:t>
                        </m:r>
                      </m:den>
                    </m:f>
                    <m:r>
                      <a:rPr lang="pt-BR" sz="800" b="0" i="1">
                        <a:latin typeface="Cambria Math" panose="02040503050406030204" pitchFamily="18" charset="0"/>
                      </a:rPr>
                      <m:t> </m:t>
                    </m:r>
                  </m:oMath>
                </m:oMathPara>
              </a14:m>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xdr:txBody>
        </xdr:sp>
      </mc:Choice>
      <mc:Fallback xmlns="">
        <xdr:sp macro="" textlink="">
          <xdr:nvSpPr>
            <xdr:cNvPr id="48" name="Retângulo 9">
              <a:extLst>
                <a:ext uri="{FF2B5EF4-FFF2-40B4-BE49-F238E27FC236}">
                  <a16:creationId xmlns:a16="http://schemas.microsoft.com/office/drawing/2014/main" id="{5B278FE1-A57E-AFEA-C21F-490D8D7CDCD1}"/>
                </a:ext>
              </a:extLst>
            </xdr:cNvPr>
            <xdr:cNvSpPr/>
          </xdr:nvSpPr>
          <xdr:spPr>
            <a:xfrm>
              <a:off x="6761358" y="15053015"/>
              <a:ext cx="5774108" cy="6106223"/>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Cost of risk:</a:t>
              </a:r>
            </a:p>
            <a:p>
              <a:endParaRPr lang="en-US" sz="800" b="1">
                <a:latin typeface="Calibri" panose="020F0502020204030204" pitchFamily="34" charset="0"/>
                <a:cs typeface="Calibri" panose="020F0502020204030204" pitchFamily="34" charset="0"/>
              </a:endParaRPr>
            </a:p>
            <a:p>
              <a:pPr/>
              <a:r>
                <a:rPr lang="en-US" sz="80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Resultado de perdas por redução ao valor recuperável de ativos financeiros × 4</a:t>
              </a:r>
              <a:r>
                <a:rPr lang="en-US" sz="80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Média de empréstimos e adiantamento a clientes dos últimos 2 trimestres </a:t>
              </a:r>
              <a:r>
                <a:rPr lang="en-US" sz="800" i="0">
                  <a:latin typeface="Cambria Math" panose="02040503050406030204" pitchFamily="18" charset="0"/>
                  <a:cs typeface="Sora" pitchFamily="2" charset="0"/>
                </a:rPr>
                <a:t>)</a:t>
              </a: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Cost of risk excluindo antecipação de recebíveis de cartão de crédito:</a:t>
              </a:r>
            </a:p>
            <a:p>
              <a:endParaRPr lang="en-US" sz="800" b="1">
                <a:latin typeface="Calibri" panose="020F0502020204030204" pitchFamily="34" charset="0"/>
                <a:cs typeface="Calibri" panose="020F0502020204030204" pitchFamily="34" charset="0"/>
              </a:endParaRPr>
            </a:p>
            <a:p>
              <a:pPr/>
              <a:r>
                <a:rPr lang="en-US" sz="80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Resultado de perdas por redução ao valor recuperável de ativos financeiros × 4</a:t>
              </a:r>
              <a:r>
                <a:rPr lang="en-US" sz="80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Média de empréstimos e adiantamento a clientes dos últimos 2 trimestres excluindoantecipação de recebíveis de cartão de crédito</a:t>
              </a:r>
              <a:r>
                <a:rPr lang="en-US" sz="800" i="0">
                  <a:latin typeface="Cambria Math" panose="02040503050406030204" pitchFamily="18" charset="0"/>
                  <a:cs typeface="Sora" pitchFamily="2" charset="0"/>
                </a:rPr>
                <a:t>)</a:t>
              </a: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Cost of risk excluindo cartão de crédito:</a:t>
              </a:r>
            </a:p>
            <a:p>
              <a:endParaRPr lang="en-US" sz="800" b="1">
                <a:latin typeface="Calibri" panose="020F0502020204030204" pitchFamily="34" charset="0"/>
                <a:cs typeface="Calibri" panose="020F0502020204030204" pitchFamily="34" charset="0"/>
              </a:endParaRPr>
            </a:p>
            <a:p>
              <a:pPr/>
              <a:r>
                <a:rPr lang="en-US" sz="80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Resultado de perdas por redução ao valor recuperável de ativos financeiros × 4</a:t>
              </a:r>
              <a:r>
                <a:rPr lang="en-US" sz="80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Média de empréstimos e adiantamento a clientes dos últimos 2 trimestres excluindo cartão de crédito</a:t>
              </a:r>
              <a:r>
                <a:rPr lang="en-US" sz="80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  </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Custo de  funding:</a:t>
              </a:r>
            </a:p>
            <a:p>
              <a:endParaRPr lang="en-US" sz="800" b="1">
                <a:latin typeface="Calibri" panose="020F0502020204030204" pitchFamily="34" charset="0"/>
                <a:cs typeface="Calibri" panose="020F0502020204030204" pitchFamily="34" charset="0"/>
              </a:endParaRPr>
            </a:p>
            <a:p>
              <a:pPr/>
              <a:r>
                <a:rPr lang="en-US" sz="800" i="0">
                  <a:latin typeface="Cambria Math" panose="02040503050406030204" pitchFamily="18" charset="0"/>
                  <a:cs typeface="Sora" pitchFamily="2" charset="0"/>
                </a:rPr>
                <a:t>(</a:t>
              </a:r>
              <a:r>
                <a:rPr lang="pt-BR" sz="800" b="0" i="0">
                  <a:latin typeface="Cambria Math" panose="02040503050406030204" pitchFamily="18" charset="0"/>
                  <a:cs typeface="Sora" pitchFamily="2" charset="0"/>
                </a:rPr>
                <a:t>Despesas de juros × 4</a:t>
              </a:r>
              <a:r>
                <a:rPr lang="en-US" sz="800" b="0" i="0">
                  <a:latin typeface="Cambria Math" panose="02040503050406030204" pitchFamily="18" charset="0"/>
                  <a:cs typeface="Sora" pitchFamily="2" charset="0"/>
                </a:rPr>
                <a:t>)/</a:t>
              </a:r>
              <a:r>
                <a:rPr lang="pt-BR" sz="800" b="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Média dos passivos remunerados dos últimos 2 trimestres (depósitos à vista, depósitos a prazo,poupança, @credores por recursos a liberar,títulos emitidos, obrigações com redes de cartão de crédito,@obrigações por operações compromissadas, depósitos interfinanceiros e outros))</a:t>
              </a: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Custo de servir (CTS):</a:t>
              </a:r>
            </a:p>
            <a:p>
              <a:pPr algn="ctr"/>
              <a:endParaRPr lang="en-US" sz="800">
                <a:solidFill>
                  <a:schemeClr val="tx1">
                    <a:lumMod val="85000"/>
                    <a:lumOff val="15000"/>
                  </a:schemeClr>
                </a:solidFill>
                <a:latin typeface="Calibri" panose="020F0502020204030204" pitchFamily="34" charset="0"/>
                <a:cs typeface="Calibri" panose="020F0502020204030204" pitchFamily="34" charset="0"/>
              </a:endParaRPr>
            </a:p>
            <a:p>
              <a:pPr algn="ctr"/>
              <a:r>
                <a:rPr lang="pt-BR" sz="800" i="0">
                  <a:latin typeface="Cambria Math" panose="02040503050406030204" pitchFamily="18" charset="0"/>
                </a:rPr>
                <a:t>((</a:t>
              </a:r>
              <a:r>
                <a:rPr lang="en-US" sz="800" i="0">
                  <a:solidFill>
                    <a:schemeClr val="tx1">
                      <a:lumMod val="85000"/>
                      <a:lumOff val="15000"/>
                    </a:schemeClr>
                  </a:solidFill>
                  <a:latin typeface="Cambria Math" panose="02040503050406030204" pitchFamily="18" charset="0"/>
                  <a:cs typeface="Sora" pitchFamily="2" charset="0"/>
                </a:rPr>
                <a:t>Despesas de pessoal+</a:t>
              </a:r>
              <a:r>
                <a:rPr lang="pt-BR" sz="800" b="0" i="0">
                  <a:solidFill>
                    <a:schemeClr val="tx1">
                      <a:lumMod val="85000"/>
                      <a:lumOff val="15000"/>
                    </a:schemeClr>
                  </a:solidFill>
                  <a:latin typeface="Cambria Math" panose="02040503050406030204" pitchFamily="18" charset="0"/>
                  <a:cs typeface="Sora" pitchFamily="2" charset="0"/>
                </a:rPr>
                <a:t>D</a:t>
              </a:r>
              <a:r>
                <a:rPr lang="en-US" sz="800" i="0">
                  <a:solidFill>
                    <a:schemeClr val="tx1">
                      <a:lumMod val="85000"/>
                      <a:lumOff val="15000"/>
                    </a:schemeClr>
                  </a:solidFill>
                  <a:latin typeface="Cambria Math" panose="02040503050406030204" pitchFamily="18" charset="0"/>
                  <a:cs typeface="Sora" pitchFamily="2" charset="0"/>
                </a:rPr>
                <a:t>espesas administrativas</a:t>
              </a:r>
              <a:r>
                <a:rPr lang="pt-BR" sz="800" i="0">
                  <a:solidFill>
                    <a:schemeClr val="tx1">
                      <a:lumMod val="85000"/>
                      <a:lumOff val="15000"/>
                    </a:schemeClr>
                  </a:solidFill>
                  <a:latin typeface="Cambria Math" panose="02040503050406030204" pitchFamily="18" charset="0"/>
                  <a:cs typeface="Sora" pitchFamily="2" charset="0"/>
                </a:rPr>
                <a:t> −</a:t>
              </a:r>
              <a:r>
                <a:rPr lang="en-US" sz="800" i="0">
                  <a:solidFill>
                    <a:schemeClr val="tx1">
                      <a:lumMod val="85000"/>
                      <a:lumOff val="15000"/>
                    </a:schemeClr>
                  </a:solidFill>
                  <a:latin typeface="Cambria Math" panose="02040503050406030204" pitchFamily="18" charset="0"/>
                  <a:cs typeface="Sora" pitchFamily="2" charset="0"/>
                </a:rPr>
                <a:t>CAC Total )÷</a:t>
              </a:r>
              <a:r>
                <a:rPr lang="pt-BR" sz="800" i="0">
                  <a:solidFill>
                    <a:schemeClr val="tx1">
                      <a:lumMod val="85000"/>
                      <a:lumOff val="15000"/>
                    </a:schemeClr>
                  </a:solidFill>
                  <a:latin typeface="Cambria Math" panose="02040503050406030204" pitchFamily="18" charset="0"/>
                  <a:cs typeface="Sora" pitchFamily="2" charset="0"/>
                </a:rPr>
                <a:t>3))/(</a:t>
              </a:r>
              <a:r>
                <a:rPr lang="pt-BR" sz="800" i="0">
                  <a:latin typeface="Cambria Math" panose="02040503050406030204" pitchFamily="18" charset="0"/>
                  <a:cs typeface="Sora" pitchFamily="2" charset="0"/>
                </a:rPr>
                <a:t>Média de clientes ativos dos últimos 2 trimestres)</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Fee income ratio:</a:t>
              </a:r>
            </a:p>
            <a:p>
              <a:endParaRPr lang="pt-BR" sz="800" b="1">
                <a:latin typeface="Calibri" panose="020F0502020204030204" pitchFamily="34" charset="0"/>
                <a:cs typeface="Calibri" panose="020F0502020204030204" pitchFamily="34" charset="0"/>
              </a:endParaRPr>
            </a:p>
            <a:p>
              <a:pPr/>
              <a:r>
                <a:rPr lang="pt-BR" sz="800" i="0">
                  <a:latin typeface="Cambria Math" panose="02040503050406030204" pitchFamily="18" charset="0"/>
                </a:rPr>
                <a:t>(</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Receita de servi</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ç</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os e comiss</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õ</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es+Outras receitas)/(</a:t>
              </a:r>
              <a:r>
                <a:rPr lang="pt-BR" sz="800" i="0">
                  <a:latin typeface="Cambria Math" panose="02040503050406030204" pitchFamily="18" charset="0"/>
                </a:rPr>
                <a:t>Resultado líquido de juros + Resultado líquido de serviços e comissões+Outras Receitas)</a:t>
              </a:r>
              <a:r>
                <a:rPr lang="pt-BR" sz="800" b="0" i="0">
                  <a:latin typeface="Cambria Math" panose="02040503050406030204" pitchFamily="18" charset="0"/>
                </a:rPr>
                <a:t>  </a:t>
              </a:r>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xdr:txBody>
        </xdr:sp>
      </mc:Fallback>
    </mc:AlternateContent>
    <xdr:clientData/>
  </xdr:twoCellAnchor>
  <xdr:twoCellAnchor>
    <xdr:from>
      <xdr:col>8</xdr:col>
      <xdr:colOff>122382</xdr:colOff>
      <xdr:row>113</xdr:row>
      <xdr:rowOff>127386</xdr:rowOff>
    </xdr:from>
    <xdr:to>
      <xdr:col>15</xdr:col>
      <xdr:colOff>97409</xdr:colOff>
      <xdr:row>143</xdr:row>
      <xdr:rowOff>181212</xdr:rowOff>
    </xdr:to>
    <mc:AlternateContent xmlns:mc="http://schemas.openxmlformats.org/markup-compatibility/2006" xmlns:a14="http://schemas.microsoft.com/office/drawing/2010/main">
      <mc:Choice Requires="a14">
        <xdr:sp macro="" textlink="">
          <xdr:nvSpPr>
            <xdr:cNvPr id="49" name="Retângulo 9">
              <a:extLst>
                <a:ext uri="{FF2B5EF4-FFF2-40B4-BE49-F238E27FC236}">
                  <a16:creationId xmlns:a16="http://schemas.microsoft.com/office/drawing/2014/main" id="{00000000-0008-0000-1600-000031000000}"/>
                </a:ext>
              </a:extLst>
            </xdr:cNvPr>
            <xdr:cNvSpPr/>
          </xdr:nvSpPr>
          <xdr:spPr>
            <a:xfrm>
              <a:off x="6748469" y="20925937"/>
              <a:ext cx="5772853" cy="5575565"/>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Formação de estágio 3:</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a:latin typeface="Cambria Math" panose="02040503050406030204" pitchFamily="18" charset="0"/>
                          </a:rPr>
                          <m:t>Saldo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est</m:t>
                        </m:r>
                        <m:r>
                          <a:rPr lang="pt-BR" sz="800">
                            <a:latin typeface="Cambria Math" panose="02040503050406030204" pitchFamily="18" charset="0"/>
                          </a:rPr>
                          <m:t>á</m:t>
                        </m:r>
                        <m:r>
                          <m:rPr>
                            <m:sty m:val="p"/>
                          </m:rPr>
                          <a:rPr lang="pt-BR" sz="800">
                            <a:latin typeface="Cambria Math" panose="02040503050406030204" pitchFamily="18" charset="0"/>
                          </a:rPr>
                          <m:t>gio</m:t>
                        </m:r>
                        <m:r>
                          <a:rPr lang="pt-BR" sz="800">
                            <a:latin typeface="Cambria Math" panose="02040503050406030204" pitchFamily="18" charset="0"/>
                          </a:rPr>
                          <m:t> 3 </m:t>
                        </m:r>
                        <m:r>
                          <m:rPr>
                            <m:sty m:val="p"/>
                          </m:rPr>
                          <a:rPr lang="pt-BR" sz="800">
                            <a:latin typeface="Cambria Math" panose="02040503050406030204" pitchFamily="18" charset="0"/>
                          </a:rPr>
                          <m:t>do</m:t>
                        </m:r>
                        <m:r>
                          <a:rPr lang="pt-BR" sz="800">
                            <a:latin typeface="Cambria Math" panose="02040503050406030204" pitchFamily="18" charset="0"/>
                          </a:rPr>
                          <m:t> </m:t>
                        </m:r>
                        <m:r>
                          <m:rPr>
                            <m:sty m:val="p"/>
                          </m:rPr>
                          <a:rPr lang="pt-BR" sz="800">
                            <a:latin typeface="Cambria Math" panose="02040503050406030204" pitchFamily="18" charset="0"/>
                          </a:rPr>
                          <m:t>trimestre</m:t>
                        </m:r>
                        <m:r>
                          <a:rPr lang="pt-BR" sz="800">
                            <a:latin typeface="Cambria Math" panose="02040503050406030204" pitchFamily="18" charset="0"/>
                          </a:rPr>
                          <m:t> </m:t>
                        </m:r>
                        <m:r>
                          <m:rPr>
                            <m:sty m:val="p"/>
                          </m:rPr>
                          <a:rPr lang="pt-BR" sz="800">
                            <a:latin typeface="Cambria Math" panose="02040503050406030204" pitchFamily="18" charset="0"/>
                          </a:rPr>
                          <m:t>atual</m:t>
                        </m:r>
                        <m:r>
                          <a:rPr lang="pt-BR" sz="800">
                            <a:latin typeface="Cambria Math" panose="02040503050406030204" pitchFamily="18" charset="0"/>
                          </a:rPr>
                          <m:t> –</m:t>
                        </m:r>
                        <m:r>
                          <m:rPr>
                            <m:sty m:val="p"/>
                          </m:rPr>
                          <a:rPr lang="pt-BR" sz="800">
                            <a:latin typeface="Cambria Math" panose="02040503050406030204" pitchFamily="18" charset="0"/>
                          </a:rPr>
                          <m:t>Saldo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est</m:t>
                        </m:r>
                        <m:r>
                          <a:rPr lang="pt-BR" sz="800">
                            <a:latin typeface="Cambria Math" panose="02040503050406030204" pitchFamily="18" charset="0"/>
                          </a:rPr>
                          <m:t>á</m:t>
                        </m:r>
                        <m:r>
                          <m:rPr>
                            <m:sty m:val="p"/>
                          </m:rPr>
                          <a:rPr lang="pt-BR" sz="800">
                            <a:latin typeface="Cambria Math" panose="02040503050406030204" pitchFamily="18" charset="0"/>
                          </a:rPr>
                          <m:t>gio</m:t>
                        </m:r>
                        <m:r>
                          <a:rPr lang="pt-BR" sz="800">
                            <a:latin typeface="Cambria Math" panose="02040503050406030204" pitchFamily="18" charset="0"/>
                          </a:rPr>
                          <m:t> 3 </m:t>
                        </m:r>
                        <m:r>
                          <m:rPr>
                            <m:sty m:val="p"/>
                          </m:rPr>
                          <a:rPr lang="pt-BR" sz="800">
                            <a:latin typeface="Cambria Math" panose="02040503050406030204" pitchFamily="18" charset="0"/>
                          </a:rPr>
                          <m:t>do</m:t>
                        </m:r>
                        <m:r>
                          <a:rPr lang="pt-BR" sz="800">
                            <a:latin typeface="Cambria Math" panose="02040503050406030204" pitchFamily="18" charset="0"/>
                          </a:rPr>
                          <m:t> </m:t>
                        </m:r>
                        <m:r>
                          <m:rPr>
                            <m:sty m:val="p"/>
                          </m:rPr>
                          <a:rPr lang="pt-BR" sz="800">
                            <a:latin typeface="Cambria Math" panose="02040503050406030204" pitchFamily="18" charset="0"/>
                          </a:rPr>
                          <m:t>trimestre</m:t>
                        </m:r>
                        <m:r>
                          <a:rPr lang="pt-BR" sz="800">
                            <a:latin typeface="Cambria Math" panose="02040503050406030204" pitchFamily="18" charset="0"/>
                          </a:rPr>
                          <m:t> </m:t>
                        </m:r>
                        <m:r>
                          <m:rPr>
                            <m:sty m:val="p"/>
                          </m:rPr>
                          <a:rPr lang="pt-BR" sz="800">
                            <a:latin typeface="Cambria Math" panose="02040503050406030204" pitchFamily="18" charset="0"/>
                          </a:rPr>
                          <m:t>anterior</m:t>
                        </m:r>
                        <m:r>
                          <a:rPr lang="pt-BR" sz="800">
                            <a:latin typeface="Cambria Math" panose="02040503050406030204" pitchFamily="18" charset="0"/>
                          </a:rPr>
                          <m:t> +</m:t>
                        </m:r>
                        <m:r>
                          <m:rPr>
                            <m:sty m:val="p"/>
                          </m:rPr>
                          <a:rPr lang="pt-BR" sz="800">
                            <a:latin typeface="Cambria Math" panose="02040503050406030204" pitchFamily="18" charset="0"/>
                          </a:rPr>
                          <m:t>Migra</m:t>
                        </m:r>
                        <m:r>
                          <a:rPr lang="pt-BR" sz="800">
                            <a:latin typeface="Cambria Math" panose="02040503050406030204" pitchFamily="18" charset="0"/>
                          </a:rPr>
                          <m:t>çã</m:t>
                        </m:r>
                        <m:r>
                          <m:rPr>
                            <m:sty m:val="p"/>
                          </m:rPr>
                          <a:rPr lang="pt-BR" sz="800">
                            <a:latin typeface="Cambria Math" panose="02040503050406030204" pitchFamily="18" charset="0"/>
                          </a:rPr>
                          <m:t>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write</m:t>
                        </m:r>
                        <m:r>
                          <a:rPr lang="pt-BR" sz="800">
                            <a:latin typeface="Cambria Math" panose="02040503050406030204" pitchFamily="18" charset="0"/>
                          </a:rPr>
                          <m:t>−</m:t>
                        </m:r>
                        <m:r>
                          <m:rPr>
                            <m:sty m:val="p"/>
                          </m:rPr>
                          <a:rPr lang="pt-BR" sz="800">
                            <a:latin typeface="Cambria Math" panose="02040503050406030204" pitchFamily="18" charset="0"/>
                          </a:rPr>
                          <m:t>off</m:t>
                        </m:r>
                        <m:r>
                          <a:rPr lang="pt-BR" sz="800">
                            <a:latin typeface="Cambria Math" panose="02040503050406030204" pitchFamily="18" charset="0"/>
                          </a:rPr>
                          <m:t> </m:t>
                        </m:r>
                        <m:r>
                          <m:rPr>
                            <m:sty m:val="p"/>
                          </m:rPr>
                          <a:rPr lang="pt-BR" sz="800">
                            <a:latin typeface="Cambria Math" panose="02040503050406030204" pitchFamily="18" charset="0"/>
                          </a:rPr>
                          <m:t>no</m:t>
                        </m:r>
                        <m:r>
                          <a:rPr lang="pt-BR" sz="800">
                            <a:latin typeface="Cambria Math" panose="02040503050406030204" pitchFamily="18" charset="0"/>
                          </a:rPr>
                          <m:t> </m:t>
                        </m:r>
                        <m:r>
                          <m:rPr>
                            <m:sty m:val="p"/>
                          </m:rPr>
                          <a:rPr lang="pt-BR" sz="800">
                            <a:latin typeface="Cambria Math" panose="02040503050406030204" pitchFamily="18" charset="0"/>
                          </a:rPr>
                          <m:t>trimestre</m:t>
                        </m:r>
                        <m:r>
                          <a:rPr lang="pt-BR" sz="800">
                            <a:latin typeface="Cambria Math" panose="02040503050406030204" pitchFamily="18" charset="0"/>
                          </a:rPr>
                          <m:t> </m:t>
                        </m:r>
                        <m:r>
                          <m:rPr>
                            <m:sty m:val="p"/>
                          </m:rPr>
                          <a:rPr lang="pt-BR" sz="800">
                            <a:latin typeface="Cambria Math" panose="02040503050406030204" pitchFamily="18" charset="0"/>
                          </a:rPr>
                          <m:t>atual</m:t>
                        </m:r>
                      </m:num>
                      <m:den>
                        <m:r>
                          <m:rPr>
                            <m:sty m:val="p"/>
                          </m:rPr>
                          <a:rPr lang="en-US" sz="800" i="0">
                            <a:latin typeface="Cambria Math" panose="02040503050406030204" pitchFamily="18" charset="0"/>
                            <a:cs typeface="Sora" pitchFamily="2" charset="0"/>
                          </a:rPr>
                          <m:t>Empr</m:t>
                        </m:r>
                        <m:r>
                          <a:rPr lang="en-US" sz="800" i="0">
                            <a:latin typeface="Cambria Math" panose="02040503050406030204" pitchFamily="18" charset="0"/>
                            <a:cs typeface="Sora" pitchFamily="2" charset="0"/>
                          </a:rPr>
                          <m:t>é</m:t>
                        </m:r>
                        <m:r>
                          <m:rPr>
                            <m:sty m:val="p"/>
                          </m:rPr>
                          <a:rPr lang="en-US" sz="800" i="0">
                            <a:latin typeface="Cambria Math" panose="02040503050406030204" pitchFamily="18" charset="0"/>
                            <a:cs typeface="Sora" pitchFamily="2" charset="0"/>
                          </a:rPr>
                          <m:t>stimos</m:t>
                        </m:r>
                        <m:r>
                          <a:rPr lang="en-US" sz="800" i="0">
                            <a:latin typeface="Cambria Math" panose="02040503050406030204" pitchFamily="18" charset="0"/>
                            <a:cs typeface="Sora" pitchFamily="2" charset="0"/>
                          </a:rPr>
                          <m:t> </m:t>
                        </m:r>
                        <m:r>
                          <m:rPr>
                            <m:sty m:val="p"/>
                          </m:rPr>
                          <a:rPr lang="en-US" sz="800" i="0">
                            <a:latin typeface="Cambria Math" panose="02040503050406030204" pitchFamily="18" charset="0"/>
                            <a:cs typeface="Sora" pitchFamily="2" charset="0"/>
                          </a:rPr>
                          <m:t>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adiantamentos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a</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clientes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totais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trimestre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anterior</m:t>
                        </m:r>
                      </m:den>
                    </m:f>
                    <m:r>
                      <a:rPr lang="pt-BR" sz="800" b="0" i="1">
                        <a:latin typeface="Cambria Math" panose="02040503050406030204" pitchFamily="18" charset="0"/>
                        <a:cs typeface="Sora" pitchFamily="2" charset="0"/>
                      </a:rPr>
                      <m:t> </m:t>
                    </m:r>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Formação de NPL:</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eqArr>
                          <m:eqArrPr>
                            <m:ctrlPr>
                              <a:rPr lang="pt-BR" sz="800" i="1">
                                <a:latin typeface="Cambria Math" panose="02040503050406030204" pitchFamily="18" charset="0"/>
                              </a:rPr>
                            </m:ctrlPr>
                          </m:eqArrPr>
                          <m:e>
                            <m:r>
                              <m:rPr>
                                <m:sty m:val="p"/>
                              </m:rPr>
                              <a:rPr lang="pt-BR" sz="800">
                                <a:latin typeface="Cambria Math" panose="02040503050406030204" pitchFamily="18" charset="0"/>
                              </a:rPr>
                              <m:t>Saldo</m:t>
                            </m:r>
                            <m:r>
                              <a:rPr lang="pt-BR" sz="800">
                                <a:latin typeface="Cambria Math" panose="02040503050406030204" pitchFamily="18" charset="0"/>
                              </a:rPr>
                              <m:t> </m:t>
                            </m:r>
                            <m:r>
                              <m:rPr>
                                <m:sty m:val="p"/>
                              </m:rPr>
                              <a:rPr lang="pt-BR" sz="800">
                                <a:latin typeface="Cambria Math" panose="02040503050406030204" pitchFamily="18" charset="0"/>
                              </a:rPr>
                              <m:t>vencido</m:t>
                            </m:r>
                            <m:r>
                              <a:rPr lang="pt-BR" sz="800">
                                <a:latin typeface="Cambria Math" panose="02040503050406030204" pitchFamily="18" charset="0"/>
                              </a:rPr>
                              <m:t> </m:t>
                            </m:r>
                            <m:r>
                              <m:rPr>
                                <m:sty m:val="p"/>
                              </m:rPr>
                              <a:rPr lang="pt-BR" sz="800">
                                <a:latin typeface="Cambria Math" panose="02040503050406030204" pitchFamily="18" charset="0"/>
                              </a:rPr>
                              <m:t>h</m:t>
                            </m:r>
                            <m:r>
                              <a:rPr lang="pt-BR" sz="800">
                                <a:latin typeface="Cambria Math" panose="02040503050406030204" pitchFamily="18" charset="0"/>
                              </a:rPr>
                              <m:t>á </m:t>
                            </m:r>
                            <m:r>
                              <m:rPr>
                                <m:sty m:val="p"/>
                              </m:rPr>
                              <a:rPr lang="pt-BR" sz="800">
                                <a:latin typeface="Cambria Math" panose="02040503050406030204" pitchFamily="18" charset="0"/>
                              </a:rPr>
                              <m:t>mais</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90 </m:t>
                            </m:r>
                            <m:r>
                              <m:rPr>
                                <m:sty m:val="p"/>
                              </m:rPr>
                              <a:rPr lang="pt-BR" sz="800">
                                <a:latin typeface="Cambria Math" panose="02040503050406030204" pitchFamily="18" charset="0"/>
                              </a:rPr>
                              <m:t>dias</m:t>
                            </m:r>
                            <m:r>
                              <a:rPr lang="pt-BR" sz="800">
                                <a:latin typeface="Cambria Math" panose="02040503050406030204" pitchFamily="18" charset="0"/>
                              </a:rPr>
                              <m:t> </m:t>
                            </m:r>
                            <m:r>
                              <m:rPr>
                                <m:sty m:val="p"/>
                              </m:rPr>
                              <a:rPr lang="pt-BR" sz="800">
                                <a:latin typeface="Cambria Math" panose="02040503050406030204" pitchFamily="18" charset="0"/>
                              </a:rPr>
                              <m:t>do</m:t>
                            </m:r>
                            <m:r>
                              <a:rPr lang="pt-BR" sz="800">
                                <a:latin typeface="Cambria Math" panose="02040503050406030204" pitchFamily="18" charset="0"/>
                              </a:rPr>
                              <m:t> </m:t>
                            </m:r>
                            <m:r>
                              <m:rPr>
                                <m:sty m:val="p"/>
                              </m:rPr>
                              <a:rPr lang="pt-BR" sz="800">
                                <a:latin typeface="Cambria Math" panose="02040503050406030204" pitchFamily="18" charset="0"/>
                              </a:rPr>
                              <m:t>trimestre</m:t>
                            </m:r>
                            <m:r>
                              <a:rPr lang="pt-BR" sz="800">
                                <a:latin typeface="Cambria Math" panose="02040503050406030204" pitchFamily="18" charset="0"/>
                              </a:rPr>
                              <m:t> </m:t>
                            </m:r>
                            <m:r>
                              <m:rPr>
                                <m:sty m:val="p"/>
                              </m:rPr>
                              <a:rPr lang="pt-BR" sz="800">
                                <a:latin typeface="Cambria Math" panose="02040503050406030204" pitchFamily="18" charset="0"/>
                              </a:rPr>
                              <m:t>atual</m:t>
                            </m:r>
                            <m:r>
                              <a:rPr lang="pt-BR" sz="800">
                                <a:latin typeface="Cambria Math" panose="02040503050406030204" pitchFamily="18" charset="0"/>
                              </a:rPr>
                              <m:t> –</m:t>
                            </m:r>
                            <m:r>
                              <m:rPr>
                                <m:sty m:val="p"/>
                              </m:rPr>
                              <a:rPr lang="pt-BR" sz="800">
                                <a:latin typeface="Cambria Math" panose="02040503050406030204" pitchFamily="18" charset="0"/>
                              </a:rPr>
                              <m:t>Saldo</m:t>
                            </m:r>
                            <m:r>
                              <a:rPr lang="pt-BR" sz="800">
                                <a:latin typeface="Cambria Math" panose="02040503050406030204" pitchFamily="18" charset="0"/>
                              </a:rPr>
                              <m:t> </m:t>
                            </m:r>
                            <m:r>
                              <m:rPr>
                                <m:sty m:val="p"/>
                              </m:rPr>
                              <a:rPr lang="pt-BR" sz="800">
                                <a:latin typeface="Cambria Math" panose="02040503050406030204" pitchFamily="18" charset="0"/>
                              </a:rPr>
                              <m:t>vencido</m:t>
                            </m:r>
                            <m:r>
                              <a:rPr lang="pt-BR" sz="800">
                                <a:latin typeface="Cambria Math" panose="02040503050406030204" pitchFamily="18" charset="0"/>
                              </a:rPr>
                              <m:t> </m:t>
                            </m:r>
                            <m:r>
                              <m:rPr>
                                <m:sty m:val="p"/>
                              </m:rPr>
                              <a:rPr lang="pt-BR" sz="800">
                                <a:latin typeface="Cambria Math" panose="02040503050406030204" pitchFamily="18" charset="0"/>
                              </a:rPr>
                              <m:t>h</m:t>
                            </m:r>
                            <m:r>
                              <a:rPr lang="pt-BR" sz="800">
                                <a:latin typeface="Cambria Math" panose="02040503050406030204" pitchFamily="18" charset="0"/>
                              </a:rPr>
                              <m:t>á </m:t>
                            </m:r>
                            <m:r>
                              <m:rPr>
                                <m:sty m:val="p"/>
                              </m:rPr>
                              <a:rPr lang="pt-BR" sz="800">
                                <a:latin typeface="Cambria Math" panose="02040503050406030204" pitchFamily="18" charset="0"/>
                              </a:rPr>
                              <m:t>mais</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90 </m:t>
                            </m:r>
                            <m:r>
                              <m:rPr>
                                <m:sty m:val="p"/>
                              </m:rPr>
                              <a:rPr lang="pt-BR" sz="800">
                                <a:latin typeface="Cambria Math" panose="02040503050406030204" pitchFamily="18" charset="0"/>
                              </a:rPr>
                              <m:t>dias</m:t>
                            </m:r>
                            <m:r>
                              <a:rPr lang="pt-BR" sz="800">
                                <a:latin typeface="Cambria Math" panose="02040503050406030204" pitchFamily="18" charset="0"/>
                              </a:rPr>
                              <m:t> </m:t>
                            </m:r>
                            <m:r>
                              <m:rPr>
                                <m:sty m:val="p"/>
                              </m:rPr>
                              <a:rPr lang="pt-BR" sz="800">
                                <a:latin typeface="Cambria Math" panose="02040503050406030204" pitchFamily="18" charset="0"/>
                              </a:rPr>
                              <m:t>do</m:t>
                            </m:r>
                            <m:r>
                              <a:rPr lang="pt-BR" sz="800" b="0" i="0">
                                <a:latin typeface="Cambria Math" panose="02040503050406030204" pitchFamily="18" charset="0"/>
                              </a:rPr>
                              <m:t> </m:t>
                            </m:r>
                            <m:r>
                              <m:rPr>
                                <m:sty m:val="p"/>
                              </m:rPr>
                              <a:rPr lang="pt-BR" sz="800">
                                <a:latin typeface="Cambria Math" panose="02040503050406030204" pitchFamily="18" charset="0"/>
                              </a:rPr>
                              <m:t>trimestreanterior</m:t>
                            </m:r>
                            <m:r>
                              <a:rPr lang="pt-BR" sz="800">
                                <a:latin typeface="Cambria Math" panose="02040503050406030204" pitchFamily="18" charset="0"/>
                              </a:rPr>
                              <m:t> +</m:t>
                            </m:r>
                            <m:r>
                              <m:rPr>
                                <m:sty m:val="p"/>
                              </m:rPr>
                              <a:rPr lang="pt-BR" sz="800">
                                <a:latin typeface="Cambria Math" panose="02040503050406030204" pitchFamily="18" charset="0"/>
                              </a:rPr>
                              <m:t>Migra</m:t>
                            </m:r>
                            <m:r>
                              <a:rPr lang="pt-BR" sz="800">
                                <a:latin typeface="Cambria Math" panose="02040503050406030204" pitchFamily="18" charset="0"/>
                              </a:rPr>
                              <m:t>çã</m:t>
                            </m:r>
                            <m:r>
                              <m:rPr>
                                <m:sty m:val="p"/>
                              </m:rPr>
                              <a:rPr lang="pt-BR" sz="800">
                                <a:latin typeface="Cambria Math" panose="02040503050406030204" pitchFamily="18" charset="0"/>
                              </a:rPr>
                              <m:t>o</m:t>
                            </m:r>
                            <m:r>
                              <a:rPr lang="pt-BR" sz="800">
                                <a:latin typeface="Cambria Math" panose="02040503050406030204" pitchFamily="18" charset="0"/>
                              </a:rPr>
                              <m:t> </m:t>
                            </m:r>
                            <m:r>
                              <m:rPr>
                                <m:sty m:val="p"/>
                              </m:rPr>
                              <a:rPr lang="pt-BR" sz="800">
                                <a:latin typeface="Cambria Math" panose="02040503050406030204" pitchFamily="18" charset="0"/>
                              </a:rPr>
                              <m:t>de</m:t>
                            </m:r>
                          </m:e>
                          <m:e>
                            <m:r>
                              <a:rPr lang="pt-BR" sz="800" b="0" i="0">
                                <a:latin typeface="Cambria Math" panose="02040503050406030204" pitchFamily="18" charset="0"/>
                              </a:rPr>
                              <m:t> </m:t>
                            </m:r>
                            <m:r>
                              <m:rPr>
                                <m:sty m:val="p"/>
                              </m:rPr>
                              <a:rPr lang="pt-BR" sz="800">
                                <a:latin typeface="Cambria Math" panose="02040503050406030204" pitchFamily="18" charset="0"/>
                              </a:rPr>
                              <m:t>write</m:t>
                            </m:r>
                            <m:r>
                              <a:rPr lang="pt-BR" sz="800">
                                <a:latin typeface="Cambria Math" panose="02040503050406030204" pitchFamily="18" charset="0"/>
                              </a:rPr>
                              <m:t>−</m:t>
                            </m:r>
                            <m:r>
                              <m:rPr>
                                <m:sty m:val="p"/>
                              </m:rPr>
                              <a:rPr lang="pt-BR" sz="800">
                                <a:latin typeface="Cambria Math" panose="02040503050406030204" pitchFamily="18" charset="0"/>
                              </a:rPr>
                              <m:t>off</m:t>
                            </m:r>
                            <m:r>
                              <a:rPr lang="pt-BR" sz="800">
                                <a:latin typeface="Cambria Math" panose="02040503050406030204" pitchFamily="18" charset="0"/>
                              </a:rPr>
                              <m:t> </m:t>
                            </m:r>
                            <m:r>
                              <m:rPr>
                                <m:sty m:val="p"/>
                              </m:rPr>
                              <a:rPr lang="pt-BR" sz="800">
                                <a:latin typeface="Cambria Math" panose="02040503050406030204" pitchFamily="18" charset="0"/>
                              </a:rPr>
                              <m:t>no</m:t>
                            </m:r>
                            <m:r>
                              <a:rPr lang="pt-BR" sz="800">
                                <a:latin typeface="Cambria Math" panose="02040503050406030204" pitchFamily="18" charset="0"/>
                              </a:rPr>
                              <m:t> </m:t>
                            </m:r>
                            <m:r>
                              <m:rPr>
                                <m:sty m:val="p"/>
                              </m:rPr>
                              <a:rPr lang="pt-BR" sz="800">
                                <a:latin typeface="Cambria Math" panose="02040503050406030204" pitchFamily="18" charset="0"/>
                              </a:rPr>
                              <m:t>trimestre</m:t>
                            </m:r>
                            <m:r>
                              <a:rPr lang="pt-BR" sz="800">
                                <a:latin typeface="Cambria Math" panose="02040503050406030204" pitchFamily="18" charset="0"/>
                              </a:rPr>
                              <m:t> </m:t>
                            </m:r>
                            <m:r>
                              <m:rPr>
                                <m:sty m:val="p"/>
                              </m:rPr>
                              <a:rPr lang="pt-BR" sz="800">
                                <a:latin typeface="Cambria Math" panose="02040503050406030204" pitchFamily="18" charset="0"/>
                              </a:rPr>
                              <m:t>atual</m:t>
                            </m:r>
                            <m:r>
                              <m:rPr>
                                <m:nor/>
                              </m:rPr>
                              <a:rPr lang="pt-BR" sz="800">
                                <a:latin typeface="Calibri" panose="020F0502020204030204" pitchFamily="34" charset="0"/>
                                <a:cs typeface="Calibri" panose="020F0502020204030204" pitchFamily="34" charset="0"/>
                              </a:rPr>
                              <m:t> </m:t>
                            </m:r>
                          </m:e>
                        </m:eqArr>
                      </m:num>
                      <m:den>
                        <m:r>
                          <m:rPr>
                            <m:sty m:val="p"/>
                          </m:rPr>
                          <a:rPr lang="en-US" sz="800" i="0">
                            <a:latin typeface="Cambria Math" panose="02040503050406030204" pitchFamily="18" charset="0"/>
                            <a:cs typeface="Sora" pitchFamily="2" charset="0"/>
                          </a:rPr>
                          <m:t>Empr</m:t>
                        </m:r>
                        <m:r>
                          <a:rPr lang="en-US" sz="800" i="0">
                            <a:latin typeface="Cambria Math" panose="02040503050406030204" pitchFamily="18" charset="0"/>
                            <a:cs typeface="Sora" pitchFamily="2" charset="0"/>
                          </a:rPr>
                          <m:t>é</m:t>
                        </m:r>
                        <m:r>
                          <m:rPr>
                            <m:sty m:val="p"/>
                          </m:rPr>
                          <a:rPr lang="en-US" sz="800" i="0">
                            <a:latin typeface="Cambria Math" panose="02040503050406030204" pitchFamily="18" charset="0"/>
                            <a:cs typeface="Sora" pitchFamily="2" charset="0"/>
                          </a:rPr>
                          <m:t>stimos</m:t>
                        </m:r>
                        <m:r>
                          <a:rPr lang="en-US" sz="800" i="0">
                            <a:latin typeface="Cambria Math" panose="02040503050406030204" pitchFamily="18" charset="0"/>
                            <a:cs typeface="Sora" pitchFamily="2" charset="0"/>
                          </a:rPr>
                          <m:t> </m:t>
                        </m:r>
                        <m:r>
                          <m:rPr>
                            <m:sty m:val="p"/>
                          </m:rPr>
                          <a:rPr lang="en-US" sz="800" i="0">
                            <a:latin typeface="Cambria Math" panose="02040503050406030204" pitchFamily="18" charset="0"/>
                            <a:cs typeface="Sora" pitchFamily="2" charset="0"/>
                          </a:rPr>
                          <m:t>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adiantamentos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a</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clientes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totais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trimestre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anterior</m:t>
                        </m:r>
                      </m:den>
                    </m:f>
                    <m:r>
                      <a:rPr lang="pt-BR" sz="800" i="1">
                        <a:latin typeface="Cambria Math" panose="02040503050406030204" pitchFamily="18" charset="0"/>
                      </a:rPr>
                      <m:t> </m:t>
                    </m:r>
                  </m:oMath>
                </m:oMathPara>
              </a14:m>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Funding:</a:t>
              </a:r>
            </a:p>
            <a:p>
              <a:endParaRPr lang="pt-BR"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ep</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ó</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sitos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à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vista</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dep</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ó</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sitos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prazo</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í</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tulos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emitidos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credores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por</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recursos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liberar</m:t>
                    </m:r>
                  </m:oMath>
                </m:oMathPara>
              </a14:m>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Índice de basiléia:</a:t>
              </a:r>
            </a:p>
            <a:p>
              <a:endParaRPr lang="pt-BR" sz="800" b="1">
                <a:highlight>
                  <a:srgbClr val="FFFF00"/>
                </a:highlight>
                <a:latin typeface="Calibri" panose="020F05020202040302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b="0" i="0">
                            <a:latin typeface="Cambria Math" panose="02040503050406030204" pitchFamily="18" charset="0"/>
                          </a:rPr>
                          <m:t>Patrim</m:t>
                        </m:r>
                        <m:r>
                          <a:rPr lang="pt-BR" sz="800" i="0">
                            <a:latin typeface="Cambria Math" panose="02040503050406030204" pitchFamily="18" charset="0"/>
                          </a:rPr>
                          <m:t>ô</m:t>
                        </m:r>
                        <m:r>
                          <m:rPr>
                            <m:sty m:val="p"/>
                          </m:rPr>
                          <a:rPr lang="pt-BR" sz="800" b="0" i="0">
                            <a:latin typeface="Cambria Math" panose="02040503050406030204" pitchFamily="18" charset="0"/>
                          </a:rPr>
                          <m:t>nio</m:t>
                        </m:r>
                        <m:r>
                          <a:rPr lang="pt-BR" sz="800" b="0" i="0">
                            <a:latin typeface="Cambria Math" panose="02040503050406030204" pitchFamily="18" charset="0"/>
                          </a:rPr>
                          <m:t> </m:t>
                        </m:r>
                        <m:r>
                          <m:rPr>
                            <m:sty m:val="p"/>
                          </m:rPr>
                          <a:rPr lang="pt-BR" sz="800" b="0" i="0">
                            <a:latin typeface="Cambria Math" panose="02040503050406030204" pitchFamily="18" charset="0"/>
                          </a:rPr>
                          <m:t>de</m:t>
                        </m:r>
                        <m:r>
                          <a:rPr lang="pt-BR" sz="800" b="0" i="0">
                            <a:latin typeface="Cambria Math" panose="02040503050406030204" pitchFamily="18" charset="0"/>
                          </a:rPr>
                          <m:t> </m:t>
                        </m:r>
                        <m:r>
                          <m:rPr>
                            <m:sty m:val="p"/>
                          </m:rPr>
                          <a:rPr lang="pt-BR" sz="800" b="0" i="0">
                            <a:latin typeface="Cambria Math" panose="02040503050406030204" pitchFamily="18" charset="0"/>
                          </a:rPr>
                          <m:t>refer</m:t>
                        </m:r>
                        <m:r>
                          <a:rPr lang="pt-BR" sz="800" i="0">
                            <a:latin typeface="Cambria Math" panose="02040503050406030204" pitchFamily="18" charset="0"/>
                          </a:rPr>
                          <m:t>ê</m:t>
                        </m:r>
                        <m:r>
                          <m:rPr>
                            <m:sty m:val="p"/>
                          </m:rPr>
                          <a:rPr lang="pt-BR" sz="800" b="0" i="0">
                            <a:latin typeface="Cambria Math" panose="02040503050406030204" pitchFamily="18" charset="0"/>
                          </a:rPr>
                          <m:t>ncia</m:t>
                        </m:r>
                        <m:r>
                          <a:rPr lang="pt-BR" sz="800" b="0" i="0">
                            <a:latin typeface="Cambria Math" panose="02040503050406030204" pitchFamily="18" charset="0"/>
                          </a:rPr>
                          <m:t> </m:t>
                        </m:r>
                        <m:r>
                          <m:rPr>
                            <m:sty m:val="p"/>
                          </m:rPr>
                          <a:rPr lang="pt-BR" sz="800" b="0" i="0">
                            <a:latin typeface="Cambria Math" panose="02040503050406030204" pitchFamily="18" charset="0"/>
                          </a:rPr>
                          <m:t>n</m:t>
                        </m:r>
                        <m:r>
                          <a:rPr lang="pt-BR" sz="800" i="0">
                            <a:latin typeface="Cambria Math" panose="02040503050406030204" pitchFamily="18" charset="0"/>
                          </a:rPr>
                          <m:t>í</m:t>
                        </m:r>
                        <m:r>
                          <m:rPr>
                            <m:sty m:val="p"/>
                          </m:rPr>
                          <a:rPr lang="pt-BR" sz="800" b="0" i="0">
                            <a:latin typeface="Cambria Math" panose="02040503050406030204" pitchFamily="18" charset="0"/>
                          </a:rPr>
                          <m:t>vel</m:t>
                        </m:r>
                        <m:r>
                          <a:rPr lang="pt-BR" sz="800" b="0" i="0">
                            <a:latin typeface="Cambria Math" panose="02040503050406030204" pitchFamily="18" charset="0"/>
                          </a:rPr>
                          <m:t> </m:t>
                        </m:r>
                        <m:r>
                          <m:rPr>
                            <m:sty m:val="p"/>
                          </m:rPr>
                          <a:rPr lang="pt-BR" sz="800" b="0" i="0">
                            <a:latin typeface="Cambria Math" panose="02040503050406030204" pitchFamily="18" charset="0"/>
                          </a:rPr>
                          <m:t>I</m:t>
                        </m:r>
                      </m:num>
                      <m:den>
                        <m:r>
                          <m:rPr>
                            <m:sty m:val="p"/>
                          </m:rPr>
                          <a:rPr lang="pt-BR" sz="800" b="0" i="0">
                            <a:latin typeface="Cambria Math" panose="02040503050406030204" pitchFamily="18" charset="0"/>
                          </a:rPr>
                          <m:t>Ativos</m:t>
                        </m:r>
                        <m:r>
                          <a:rPr lang="pt-BR" sz="800" b="0" i="0">
                            <a:latin typeface="Cambria Math" panose="02040503050406030204" pitchFamily="18" charset="0"/>
                          </a:rPr>
                          <m:t> </m:t>
                        </m:r>
                        <m:r>
                          <m:rPr>
                            <m:sty m:val="p"/>
                          </m:rPr>
                          <a:rPr lang="pt-BR" sz="800" b="0" i="0">
                            <a:latin typeface="Cambria Math" panose="02040503050406030204" pitchFamily="18" charset="0"/>
                          </a:rPr>
                          <m:t>ponderados</m:t>
                        </m:r>
                        <m:r>
                          <a:rPr lang="pt-BR" sz="800" b="0" i="0">
                            <a:latin typeface="Cambria Math" panose="02040503050406030204" pitchFamily="18" charset="0"/>
                          </a:rPr>
                          <m:t> </m:t>
                        </m:r>
                        <m:r>
                          <m:rPr>
                            <m:sty m:val="p"/>
                          </m:rPr>
                          <a:rPr lang="pt-BR" sz="800" b="0" i="0">
                            <a:latin typeface="Cambria Math" panose="02040503050406030204" pitchFamily="18" charset="0"/>
                          </a:rPr>
                          <m:t>por</m:t>
                        </m:r>
                        <m:r>
                          <a:rPr lang="pt-BR" sz="800" b="0" i="0">
                            <a:latin typeface="Cambria Math" panose="02040503050406030204" pitchFamily="18" charset="0"/>
                          </a:rPr>
                          <m:t> </m:t>
                        </m:r>
                        <m:r>
                          <m:rPr>
                            <m:sty m:val="p"/>
                          </m:rPr>
                          <a:rPr lang="pt-BR" sz="800" b="0" i="0">
                            <a:latin typeface="Cambria Math" panose="02040503050406030204" pitchFamily="18" charset="0"/>
                          </a:rPr>
                          <m:t>risco</m:t>
                        </m:r>
                      </m:den>
                    </m:f>
                  </m:oMath>
                </m:oMathPara>
              </a14:m>
              <a:endParaRPr lang="pt-BR" sz="800">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cobertura:</a:t>
              </a:r>
            </a:p>
            <a:p>
              <a:endParaRPr lang="en-US" sz="8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b="0" i="0">
                            <a:latin typeface="Cambria Math" panose="02040503050406030204" pitchFamily="18" charset="0"/>
                          </a:rPr>
                          <m:t>Provis</m:t>
                        </m:r>
                        <m:r>
                          <a:rPr lang="pt-BR" sz="800" i="0">
                            <a:latin typeface="Cambria Math" panose="02040503050406030204" pitchFamily="18" charset="0"/>
                          </a:rPr>
                          <m:t>ã</m:t>
                        </m:r>
                        <m:r>
                          <m:rPr>
                            <m:sty m:val="p"/>
                          </m:rPr>
                          <a:rPr lang="pt-BR" sz="800" b="0" i="0">
                            <a:latin typeface="Cambria Math" panose="02040503050406030204" pitchFamily="18" charset="0"/>
                          </a:rPr>
                          <m:t>o</m:t>
                        </m:r>
                        <m:r>
                          <a:rPr lang="pt-BR" sz="800" b="0" i="0">
                            <a:latin typeface="Cambria Math" panose="02040503050406030204" pitchFamily="18" charset="0"/>
                          </a:rPr>
                          <m:t> </m:t>
                        </m:r>
                        <m:r>
                          <m:rPr>
                            <m:sty m:val="p"/>
                          </m:rPr>
                          <a:rPr lang="pt-BR" sz="800" b="0" i="0">
                            <a:latin typeface="Cambria Math" panose="02040503050406030204" pitchFamily="18" charset="0"/>
                          </a:rPr>
                          <m:t>de</m:t>
                        </m:r>
                        <m:r>
                          <a:rPr lang="pt-BR" sz="800" b="0" i="0">
                            <a:latin typeface="Cambria Math" panose="02040503050406030204" pitchFamily="18" charset="0"/>
                          </a:rPr>
                          <m:t> </m:t>
                        </m:r>
                        <m:r>
                          <m:rPr>
                            <m:sty m:val="p"/>
                          </m:rPr>
                          <a:rPr lang="pt-BR" sz="800" b="0" i="0">
                            <a:latin typeface="Cambria Math" panose="02040503050406030204" pitchFamily="18" charset="0"/>
                          </a:rPr>
                          <m:t>perdas</m:t>
                        </m:r>
                        <m:r>
                          <a:rPr lang="pt-BR" sz="800" b="0" i="0">
                            <a:latin typeface="Cambria Math" panose="02040503050406030204" pitchFamily="18" charset="0"/>
                          </a:rPr>
                          <m:t> </m:t>
                        </m:r>
                        <m:r>
                          <m:rPr>
                            <m:sty m:val="p"/>
                          </m:rPr>
                          <a:rPr lang="pt-BR" sz="800" b="0" i="0">
                            <a:latin typeface="Cambria Math" panose="02040503050406030204" pitchFamily="18" charset="0"/>
                          </a:rPr>
                          <m:t>esperadas</m:t>
                        </m:r>
                      </m:num>
                      <m:den>
                        <m:r>
                          <m:rPr>
                            <m:sty m:val="p"/>
                          </m:rPr>
                          <a:rPr lang="pt-BR" sz="800" i="0">
                            <a:latin typeface="Cambria Math" panose="02040503050406030204" pitchFamily="18" charset="0"/>
                          </a:rPr>
                          <m:t>NPL</m:t>
                        </m:r>
                        <m:r>
                          <a:rPr lang="pt-BR" sz="800" i="0">
                            <a:latin typeface="Cambria Math" panose="02040503050406030204" pitchFamily="18" charset="0"/>
                          </a:rPr>
                          <m:t>&gt; 90 </m:t>
                        </m:r>
                        <m:r>
                          <m:rPr>
                            <m:sty m:val="p"/>
                          </m:rPr>
                          <a:rPr lang="pt-BR" sz="800" i="0">
                            <a:latin typeface="Cambria Math" panose="02040503050406030204" pitchFamily="18" charset="0"/>
                          </a:rPr>
                          <m:t>dias</m:t>
                        </m:r>
                      </m:den>
                    </m:f>
                    <m:r>
                      <a:rPr lang="pt-BR" sz="800" i="1">
                        <a:latin typeface="Cambria Math" panose="02040503050406030204" pitchFamily="18" charset="0"/>
                      </a:rPr>
                      <m:t> </m:t>
                    </m:r>
                  </m:oMath>
                </m:oMathPara>
              </a14:m>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Funding:</a:t>
              </a:r>
            </a:p>
            <a:p>
              <a:endParaRPr lang="pt-BR"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ep</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ó</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sitos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à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vista</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dep</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ó</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sitos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prazo</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í</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tulos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emitidos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credores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por</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recursos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liberar</m:t>
                    </m:r>
                  </m:oMath>
                </m:oMathPara>
              </a14:m>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Índice de basiléia:</a:t>
              </a:r>
            </a:p>
            <a:p>
              <a:endParaRPr lang="pt-BR" sz="800" b="1">
                <a:highlight>
                  <a:srgbClr val="FFFF00"/>
                </a:highlight>
                <a:latin typeface="Calibri" panose="020F05020202040302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b="0" i="0">
                            <a:latin typeface="Cambria Math" panose="02040503050406030204" pitchFamily="18" charset="0"/>
                          </a:rPr>
                          <m:t>Patrim</m:t>
                        </m:r>
                        <m:r>
                          <a:rPr lang="pt-BR" sz="800" i="0">
                            <a:latin typeface="Cambria Math" panose="02040503050406030204" pitchFamily="18" charset="0"/>
                          </a:rPr>
                          <m:t>ô</m:t>
                        </m:r>
                        <m:r>
                          <m:rPr>
                            <m:sty m:val="p"/>
                          </m:rPr>
                          <a:rPr lang="pt-BR" sz="800" b="0" i="0">
                            <a:latin typeface="Cambria Math" panose="02040503050406030204" pitchFamily="18" charset="0"/>
                          </a:rPr>
                          <m:t>nio</m:t>
                        </m:r>
                        <m:r>
                          <a:rPr lang="pt-BR" sz="800" b="0" i="0">
                            <a:latin typeface="Cambria Math" panose="02040503050406030204" pitchFamily="18" charset="0"/>
                          </a:rPr>
                          <m:t> </m:t>
                        </m:r>
                        <m:r>
                          <m:rPr>
                            <m:sty m:val="p"/>
                          </m:rPr>
                          <a:rPr lang="pt-BR" sz="800" b="0" i="0">
                            <a:latin typeface="Cambria Math" panose="02040503050406030204" pitchFamily="18" charset="0"/>
                          </a:rPr>
                          <m:t>de</m:t>
                        </m:r>
                        <m:r>
                          <a:rPr lang="pt-BR" sz="800" b="0" i="0">
                            <a:latin typeface="Cambria Math" panose="02040503050406030204" pitchFamily="18" charset="0"/>
                          </a:rPr>
                          <m:t> </m:t>
                        </m:r>
                        <m:r>
                          <m:rPr>
                            <m:sty m:val="p"/>
                          </m:rPr>
                          <a:rPr lang="pt-BR" sz="800" b="0" i="0">
                            <a:latin typeface="Cambria Math" panose="02040503050406030204" pitchFamily="18" charset="0"/>
                          </a:rPr>
                          <m:t>refer</m:t>
                        </m:r>
                        <m:r>
                          <a:rPr lang="pt-BR" sz="800" i="0">
                            <a:latin typeface="Cambria Math" panose="02040503050406030204" pitchFamily="18" charset="0"/>
                          </a:rPr>
                          <m:t>ê</m:t>
                        </m:r>
                        <m:r>
                          <m:rPr>
                            <m:sty m:val="p"/>
                          </m:rPr>
                          <a:rPr lang="pt-BR" sz="800" b="0" i="0">
                            <a:latin typeface="Cambria Math" panose="02040503050406030204" pitchFamily="18" charset="0"/>
                          </a:rPr>
                          <m:t>ncia</m:t>
                        </m:r>
                        <m:r>
                          <a:rPr lang="pt-BR" sz="800" b="0" i="0">
                            <a:latin typeface="Cambria Math" panose="02040503050406030204" pitchFamily="18" charset="0"/>
                          </a:rPr>
                          <m:t> </m:t>
                        </m:r>
                        <m:r>
                          <m:rPr>
                            <m:sty m:val="p"/>
                          </m:rPr>
                          <a:rPr lang="pt-BR" sz="800" b="0" i="0">
                            <a:latin typeface="Cambria Math" panose="02040503050406030204" pitchFamily="18" charset="0"/>
                          </a:rPr>
                          <m:t>n</m:t>
                        </m:r>
                        <m:r>
                          <a:rPr lang="pt-BR" sz="800" i="0">
                            <a:latin typeface="Cambria Math" panose="02040503050406030204" pitchFamily="18" charset="0"/>
                          </a:rPr>
                          <m:t>í</m:t>
                        </m:r>
                        <m:r>
                          <m:rPr>
                            <m:sty m:val="p"/>
                          </m:rPr>
                          <a:rPr lang="pt-BR" sz="800" b="0" i="0">
                            <a:latin typeface="Cambria Math" panose="02040503050406030204" pitchFamily="18" charset="0"/>
                          </a:rPr>
                          <m:t>vel</m:t>
                        </m:r>
                        <m:r>
                          <a:rPr lang="pt-BR" sz="800" b="0" i="0">
                            <a:latin typeface="Cambria Math" panose="02040503050406030204" pitchFamily="18" charset="0"/>
                          </a:rPr>
                          <m:t> </m:t>
                        </m:r>
                        <m:r>
                          <m:rPr>
                            <m:sty m:val="p"/>
                          </m:rPr>
                          <a:rPr lang="pt-BR" sz="800" b="0" i="0">
                            <a:latin typeface="Cambria Math" panose="02040503050406030204" pitchFamily="18" charset="0"/>
                          </a:rPr>
                          <m:t>I</m:t>
                        </m:r>
                      </m:num>
                      <m:den>
                        <m:r>
                          <m:rPr>
                            <m:sty m:val="p"/>
                          </m:rPr>
                          <a:rPr lang="pt-BR" sz="800" b="0" i="0">
                            <a:latin typeface="Cambria Math" panose="02040503050406030204" pitchFamily="18" charset="0"/>
                          </a:rPr>
                          <m:t>Ativos</m:t>
                        </m:r>
                        <m:r>
                          <a:rPr lang="pt-BR" sz="800" b="0" i="0">
                            <a:latin typeface="Cambria Math" panose="02040503050406030204" pitchFamily="18" charset="0"/>
                          </a:rPr>
                          <m:t> </m:t>
                        </m:r>
                        <m:r>
                          <m:rPr>
                            <m:sty m:val="p"/>
                          </m:rPr>
                          <a:rPr lang="pt-BR" sz="800" b="0" i="0">
                            <a:latin typeface="Cambria Math" panose="02040503050406030204" pitchFamily="18" charset="0"/>
                          </a:rPr>
                          <m:t>ponderados</m:t>
                        </m:r>
                        <m:r>
                          <a:rPr lang="pt-BR" sz="800" b="0" i="0">
                            <a:latin typeface="Cambria Math" panose="02040503050406030204" pitchFamily="18" charset="0"/>
                          </a:rPr>
                          <m:t> </m:t>
                        </m:r>
                        <m:r>
                          <m:rPr>
                            <m:sty m:val="p"/>
                          </m:rPr>
                          <a:rPr lang="pt-BR" sz="800" b="0" i="0">
                            <a:latin typeface="Cambria Math" panose="02040503050406030204" pitchFamily="18" charset="0"/>
                          </a:rPr>
                          <m:t>por</m:t>
                        </m:r>
                        <m:r>
                          <a:rPr lang="pt-BR" sz="800" b="0" i="0">
                            <a:latin typeface="Cambria Math" panose="02040503050406030204" pitchFamily="18" charset="0"/>
                          </a:rPr>
                          <m:t> </m:t>
                        </m:r>
                        <m:r>
                          <m:rPr>
                            <m:sty m:val="p"/>
                          </m:rPr>
                          <a:rPr lang="pt-BR" sz="800" b="0" i="0">
                            <a:latin typeface="Cambria Math" panose="02040503050406030204" pitchFamily="18" charset="0"/>
                          </a:rPr>
                          <m:t>risco</m:t>
                        </m:r>
                      </m:den>
                    </m:f>
                  </m:oMath>
                </m:oMathPara>
              </a14:m>
              <a:endParaRPr lang="pt-BR" sz="800">
                <a:latin typeface="Calibri" panose="020F05020202040302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xdr:txBody>
        </xdr:sp>
      </mc:Choice>
      <mc:Fallback xmlns="">
        <xdr:sp macro="" textlink="">
          <xdr:nvSpPr>
            <xdr:cNvPr id="49" name="Retângulo 9">
              <a:extLst>
                <a:ext uri="{FF2B5EF4-FFF2-40B4-BE49-F238E27FC236}">
                  <a16:creationId xmlns:a16="http://schemas.microsoft.com/office/drawing/2014/main" id="{D2ED4C4B-0394-2855-8577-585CCB8A4BBD}"/>
                </a:ext>
              </a:extLst>
            </xdr:cNvPr>
            <xdr:cNvSpPr/>
          </xdr:nvSpPr>
          <xdr:spPr>
            <a:xfrm>
              <a:off x="6748469" y="20925937"/>
              <a:ext cx="5772853" cy="5575565"/>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Formação de estágio 3:</a:t>
              </a:r>
            </a:p>
            <a:p>
              <a:endParaRPr lang="en-US" sz="800" b="1">
                <a:latin typeface="Calibri" panose="020F0502020204030204" pitchFamily="34" charset="0"/>
                <a:cs typeface="Calibri" panose="020F0502020204030204" pitchFamily="34" charset="0"/>
              </a:endParaRPr>
            </a:p>
            <a:p>
              <a:pPr/>
              <a:r>
                <a:rPr lang="pt-BR" sz="800" i="0">
                  <a:latin typeface="Cambria Math" panose="02040503050406030204" pitchFamily="18" charset="0"/>
                </a:rPr>
                <a:t>(Saldo de estágio 3 do trimestre atual –Saldo de estágio 3 do trimestre anterior +Migração de write−off no trimestre atual)/(</a:t>
              </a:r>
              <a:r>
                <a:rPr lang="en-US" sz="800" i="0">
                  <a:latin typeface="Cambria Math" panose="02040503050406030204" pitchFamily="18" charset="0"/>
                  <a:cs typeface="Sora" pitchFamily="2" charset="0"/>
                </a:rPr>
                <a:t>Empréstimos e</a:t>
              </a:r>
              <a:r>
                <a:rPr lang="pt-BR" sz="800" i="0">
                  <a:latin typeface="Cambria Math" panose="02040503050406030204" pitchFamily="18" charset="0"/>
                  <a:cs typeface="Sora" pitchFamily="2" charset="0"/>
                </a:rPr>
                <a:t> adiantamentos a clientes</a:t>
              </a:r>
              <a:r>
                <a:rPr lang="pt-BR" sz="800" b="0" i="0">
                  <a:latin typeface="Cambria Math" panose="02040503050406030204" pitchFamily="18" charset="0"/>
                  <a:cs typeface="Sora" pitchFamily="2" charset="0"/>
                </a:rPr>
                <a:t> totais do trimestre anterior)  </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Formação de NPL:</a:t>
              </a:r>
            </a:p>
            <a:p>
              <a:endParaRPr lang="en-US" sz="800" b="1">
                <a:latin typeface="Calibri" panose="020F0502020204030204" pitchFamily="34" charset="0"/>
                <a:cs typeface="Calibri" panose="020F0502020204030204" pitchFamily="34" charset="0"/>
              </a:endParaRPr>
            </a:p>
            <a:p>
              <a:pPr/>
              <a:r>
                <a:rPr lang="pt-BR" sz="800" i="0">
                  <a:latin typeface="Cambria Math" panose="02040503050406030204" pitchFamily="18" charset="0"/>
                </a:rPr>
                <a:t>█(Saldo vencido há mais de 90 dias do trimestre atual –Saldo vencido há mais de 90 dias do</a:t>
              </a:r>
              <a:r>
                <a:rPr lang="pt-BR" sz="800" b="0" i="0">
                  <a:latin typeface="Cambria Math" panose="02040503050406030204" pitchFamily="18" charset="0"/>
                </a:rPr>
                <a:t> </a:t>
              </a:r>
              <a:r>
                <a:rPr lang="pt-BR" sz="800" i="0">
                  <a:latin typeface="Cambria Math" panose="02040503050406030204" pitchFamily="18" charset="0"/>
                </a:rPr>
                <a:t>trimestreanterior +Migração de@</a:t>
              </a:r>
              <a:r>
                <a:rPr lang="pt-BR" sz="800" b="0" i="0">
                  <a:latin typeface="Cambria Math" panose="02040503050406030204" pitchFamily="18" charset="0"/>
                </a:rPr>
                <a:t> </a:t>
              </a:r>
              <a:r>
                <a:rPr lang="pt-BR" sz="800" i="0">
                  <a:latin typeface="Cambria Math" panose="02040503050406030204" pitchFamily="18" charset="0"/>
                </a:rPr>
                <a:t>write−off no trimestre atual"</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a:t>
              </a:r>
              <a:r>
                <a:rPr lang="en-US" sz="800" i="0">
                  <a:latin typeface="Cambria Math" panose="02040503050406030204" pitchFamily="18" charset="0"/>
                  <a:cs typeface="Sora" pitchFamily="2" charset="0"/>
                </a:rPr>
                <a:t>Empréstimos e</a:t>
              </a:r>
              <a:r>
                <a:rPr lang="pt-BR" sz="800" i="0">
                  <a:latin typeface="Cambria Math" panose="02040503050406030204" pitchFamily="18" charset="0"/>
                  <a:cs typeface="Sora" pitchFamily="2" charset="0"/>
                </a:rPr>
                <a:t> adiantamentos a clientes</a:t>
              </a:r>
              <a:r>
                <a:rPr lang="pt-BR" sz="800" b="0" i="0">
                  <a:latin typeface="Cambria Math" panose="02040503050406030204" pitchFamily="18" charset="0"/>
                  <a:cs typeface="Sora" pitchFamily="2" charset="0"/>
                </a:rPr>
                <a:t> totais do trimestre anterior) </a:t>
              </a:r>
              <a:r>
                <a:rPr lang="pt-BR" sz="800" i="0">
                  <a:latin typeface="Cambria Math" panose="02040503050406030204" pitchFamily="18" charset="0"/>
                </a:rPr>
                <a:t> </a:t>
              </a:r>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Funding:</a:t>
              </a:r>
            </a:p>
            <a:p>
              <a:endParaRPr lang="pt-BR" sz="800" b="1">
                <a:latin typeface="Calibri" panose="020F0502020204030204" pitchFamily="34" charset="0"/>
                <a:cs typeface="Calibri" panose="020F0502020204030204" pitchFamily="34" charset="0"/>
              </a:endParaRPr>
            </a:p>
            <a:p>
              <a:pP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D</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ep</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ó</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sitos à vista+dep</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ó</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sitos a prazo+t</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í</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tulos emitidos+credores por recursos a liberar</a:t>
              </a:r>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Índice de basiléia:</a:t>
              </a:r>
            </a:p>
            <a:p>
              <a:endParaRPr lang="pt-BR" sz="800" b="1">
                <a:highlight>
                  <a:srgbClr val="FFFF00"/>
                </a:highlight>
                <a:latin typeface="Calibri" panose="020F0502020204030204" pitchFamily="34" charset="0"/>
                <a:cs typeface="Calibri" panose="020F0502020204030204" pitchFamily="34" charset="0"/>
              </a:endParaRPr>
            </a:p>
            <a:p>
              <a:pPr algn="ctr"/>
              <a:r>
                <a:rPr lang="pt-BR" sz="800" i="0">
                  <a:latin typeface="Cambria Math" panose="02040503050406030204" pitchFamily="18" charset="0"/>
                </a:rPr>
                <a:t>(</a:t>
              </a:r>
              <a:r>
                <a:rPr lang="pt-BR" sz="800" b="0" i="0">
                  <a:latin typeface="Cambria Math" panose="02040503050406030204" pitchFamily="18" charset="0"/>
                </a:rPr>
                <a:t>Patrim</a:t>
              </a:r>
              <a:r>
                <a:rPr lang="pt-BR" sz="800" i="0">
                  <a:latin typeface="Cambria Math" panose="02040503050406030204" pitchFamily="18" charset="0"/>
                </a:rPr>
                <a:t>ô</a:t>
              </a:r>
              <a:r>
                <a:rPr lang="pt-BR" sz="800" b="0" i="0">
                  <a:latin typeface="Cambria Math" panose="02040503050406030204" pitchFamily="18" charset="0"/>
                </a:rPr>
                <a:t>nio de refer</a:t>
              </a:r>
              <a:r>
                <a:rPr lang="pt-BR" sz="800" i="0">
                  <a:latin typeface="Cambria Math" panose="02040503050406030204" pitchFamily="18" charset="0"/>
                </a:rPr>
                <a:t>ê</a:t>
              </a:r>
              <a:r>
                <a:rPr lang="pt-BR" sz="800" b="0" i="0">
                  <a:latin typeface="Cambria Math" panose="02040503050406030204" pitchFamily="18" charset="0"/>
                </a:rPr>
                <a:t>ncia n</a:t>
              </a:r>
              <a:r>
                <a:rPr lang="pt-BR" sz="800" i="0">
                  <a:latin typeface="Cambria Math" panose="02040503050406030204" pitchFamily="18" charset="0"/>
                </a:rPr>
                <a:t>í</a:t>
              </a:r>
              <a:r>
                <a:rPr lang="pt-BR" sz="800" b="0" i="0">
                  <a:latin typeface="Cambria Math" panose="02040503050406030204" pitchFamily="18" charset="0"/>
                </a:rPr>
                <a:t>vel I)/(Ativos ponderados por risco)</a:t>
              </a:r>
              <a:endParaRPr lang="pt-BR" sz="800">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cobertura:</a:t>
              </a:r>
            </a:p>
            <a:p>
              <a:endParaRPr lang="en-US" sz="8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r>
                <a:rPr lang="pt-BR" sz="800" i="0">
                  <a:latin typeface="Cambria Math" panose="02040503050406030204" pitchFamily="18" charset="0"/>
                </a:rPr>
                <a:t>(</a:t>
              </a:r>
              <a:r>
                <a:rPr lang="pt-BR" sz="800" b="0" i="0">
                  <a:latin typeface="Cambria Math" panose="02040503050406030204" pitchFamily="18" charset="0"/>
                </a:rPr>
                <a:t>Provis</a:t>
              </a:r>
              <a:r>
                <a:rPr lang="pt-BR" sz="800" i="0">
                  <a:latin typeface="Cambria Math" panose="02040503050406030204" pitchFamily="18" charset="0"/>
                </a:rPr>
                <a:t>ã</a:t>
              </a:r>
              <a:r>
                <a:rPr lang="pt-BR" sz="800" b="0" i="0">
                  <a:latin typeface="Cambria Math" panose="02040503050406030204" pitchFamily="18" charset="0"/>
                </a:rPr>
                <a:t>o de perdas esperadas)/(</a:t>
              </a:r>
              <a:r>
                <a:rPr lang="pt-BR" sz="800" i="0">
                  <a:latin typeface="Cambria Math" panose="02040503050406030204" pitchFamily="18" charset="0"/>
                </a:rPr>
                <a:t>NPL&gt; 90 dias)  </a:t>
              </a:r>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Funding:</a:t>
              </a:r>
            </a:p>
            <a:p>
              <a:endParaRPr lang="pt-BR" sz="800" b="1">
                <a:latin typeface="Calibri" panose="020F0502020204030204" pitchFamily="34" charset="0"/>
                <a:cs typeface="Calibri" panose="020F0502020204030204" pitchFamily="34" charset="0"/>
              </a:endParaRPr>
            </a:p>
            <a:p>
              <a:pP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D</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ep</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ó</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sitos à vista+dep</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ó</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sitos a prazo+t</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í</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tulos emitidos+credores por recursos a liberar</a:t>
              </a:r>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Índice de basiléia:</a:t>
              </a:r>
            </a:p>
            <a:p>
              <a:endParaRPr lang="pt-BR" sz="800" b="1">
                <a:highlight>
                  <a:srgbClr val="FFFF00"/>
                </a:highlight>
                <a:latin typeface="Calibri" panose="020F0502020204030204" pitchFamily="34" charset="0"/>
                <a:cs typeface="Calibri" panose="020F0502020204030204" pitchFamily="34" charset="0"/>
              </a:endParaRPr>
            </a:p>
            <a:p>
              <a:pPr algn="ctr"/>
              <a:r>
                <a:rPr lang="pt-BR" sz="800" i="0">
                  <a:latin typeface="Cambria Math" panose="02040503050406030204" pitchFamily="18" charset="0"/>
                </a:rPr>
                <a:t>(</a:t>
              </a:r>
              <a:r>
                <a:rPr lang="pt-BR" sz="800" b="0" i="0">
                  <a:latin typeface="Cambria Math" panose="02040503050406030204" pitchFamily="18" charset="0"/>
                </a:rPr>
                <a:t>Patrim</a:t>
              </a:r>
              <a:r>
                <a:rPr lang="pt-BR" sz="800" i="0">
                  <a:latin typeface="Cambria Math" panose="02040503050406030204" pitchFamily="18" charset="0"/>
                </a:rPr>
                <a:t>ô</a:t>
              </a:r>
              <a:r>
                <a:rPr lang="pt-BR" sz="800" b="0" i="0">
                  <a:latin typeface="Cambria Math" panose="02040503050406030204" pitchFamily="18" charset="0"/>
                </a:rPr>
                <a:t>nio de refer</a:t>
              </a:r>
              <a:r>
                <a:rPr lang="pt-BR" sz="800" i="0">
                  <a:latin typeface="Cambria Math" panose="02040503050406030204" pitchFamily="18" charset="0"/>
                </a:rPr>
                <a:t>ê</a:t>
              </a:r>
              <a:r>
                <a:rPr lang="pt-BR" sz="800" b="0" i="0">
                  <a:latin typeface="Cambria Math" panose="02040503050406030204" pitchFamily="18" charset="0"/>
                </a:rPr>
                <a:t>ncia n</a:t>
              </a:r>
              <a:r>
                <a:rPr lang="pt-BR" sz="800" i="0">
                  <a:latin typeface="Cambria Math" panose="02040503050406030204" pitchFamily="18" charset="0"/>
                </a:rPr>
                <a:t>í</a:t>
              </a:r>
              <a:r>
                <a:rPr lang="pt-BR" sz="800" b="0" i="0">
                  <a:latin typeface="Cambria Math" panose="02040503050406030204" pitchFamily="18" charset="0"/>
                </a:rPr>
                <a:t>vel I)/(Ativos ponderados por risco)</a:t>
              </a:r>
              <a:endParaRPr lang="pt-BR" sz="800">
                <a:latin typeface="Calibri" panose="020F05020202040302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xdr:txBody>
        </xdr:sp>
      </mc:Fallback>
    </mc:AlternateContent>
    <xdr:clientData/>
  </xdr:twoCellAnchor>
  <xdr:twoCellAnchor>
    <xdr:from>
      <xdr:col>8</xdr:col>
      <xdr:colOff>135270</xdr:colOff>
      <xdr:row>140</xdr:row>
      <xdr:rowOff>86591</xdr:rowOff>
    </xdr:from>
    <xdr:to>
      <xdr:col>15</xdr:col>
      <xdr:colOff>111552</xdr:colOff>
      <xdr:row>171</xdr:row>
      <xdr:rowOff>33303</xdr:rowOff>
    </xdr:to>
    <mc:AlternateContent xmlns:mc="http://schemas.openxmlformats.org/markup-compatibility/2006" xmlns:a14="http://schemas.microsoft.com/office/drawing/2010/main">
      <mc:Choice Requires="a14">
        <xdr:sp macro="" textlink="">
          <xdr:nvSpPr>
            <xdr:cNvPr id="50" name="Retângulo 9">
              <a:extLst>
                <a:ext uri="{FF2B5EF4-FFF2-40B4-BE49-F238E27FC236}">
                  <a16:creationId xmlns:a16="http://schemas.microsoft.com/office/drawing/2014/main" id="{00000000-0008-0000-1600-000032000000}"/>
                </a:ext>
              </a:extLst>
            </xdr:cNvPr>
            <xdr:cNvSpPr/>
          </xdr:nvSpPr>
          <xdr:spPr>
            <a:xfrm>
              <a:off x="6761357" y="25854707"/>
              <a:ext cx="5774108" cy="565250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cobertura:</a:t>
              </a:r>
            </a:p>
            <a:p>
              <a:endParaRPr lang="en-US" sz="8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b="0" i="0">
                            <a:latin typeface="Cambria Math" panose="02040503050406030204" pitchFamily="18" charset="0"/>
                          </a:rPr>
                          <m:t>Provis</m:t>
                        </m:r>
                        <m:r>
                          <a:rPr lang="pt-BR" sz="800" i="0">
                            <a:latin typeface="Cambria Math" panose="02040503050406030204" pitchFamily="18" charset="0"/>
                          </a:rPr>
                          <m:t>ã</m:t>
                        </m:r>
                        <m:r>
                          <m:rPr>
                            <m:sty m:val="p"/>
                          </m:rPr>
                          <a:rPr lang="pt-BR" sz="800" b="0" i="0">
                            <a:latin typeface="Cambria Math" panose="02040503050406030204" pitchFamily="18" charset="0"/>
                          </a:rPr>
                          <m:t>o</m:t>
                        </m:r>
                        <m:r>
                          <a:rPr lang="pt-BR" sz="800" b="0" i="0">
                            <a:latin typeface="Cambria Math" panose="02040503050406030204" pitchFamily="18" charset="0"/>
                          </a:rPr>
                          <m:t> </m:t>
                        </m:r>
                        <m:r>
                          <m:rPr>
                            <m:sty m:val="p"/>
                          </m:rPr>
                          <a:rPr lang="pt-BR" sz="800" b="0" i="0">
                            <a:latin typeface="Cambria Math" panose="02040503050406030204" pitchFamily="18" charset="0"/>
                          </a:rPr>
                          <m:t>de</m:t>
                        </m:r>
                        <m:r>
                          <a:rPr lang="pt-BR" sz="800" b="0" i="0">
                            <a:latin typeface="Cambria Math" panose="02040503050406030204" pitchFamily="18" charset="0"/>
                          </a:rPr>
                          <m:t> </m:t>
                        </m:r>
                        <m:r>
                          <m:rPr>
                            <m:sty m:val="p"/>
                          </m:rPr>
                          <a:rPr lang="pt-BR" sz="800" b="0" i="0">
                            <a:latin typeface="Cambria Math" panose="02040503050406030204" pitchFamily="18" charset="0"/>
                          </a:rPr>
                          <m:t>perdas</m:t>
                        </m:r>
                        <m:r>
                          <a:rPr lang="pt-BR" sz="800" b="0" i="0">
                            <a:latin typeface="Cambria Math" panose="02040503050406030204" pitchFamily="18" charset="0"/>
                          </a:rPr>
                          <m:t> </m:t>
                        </m:r>
                        <m:r>
                          <m:rPr>
                            <m:sty m:val="p"/>
                          </m:rPr>
                          <a:rPr lang="pt-BR" sz="800" b="0" i="0">
                            <a:latin typeface="Cambria Math" panose="02040503050406030204" pitchFamily="18" charset="0"/>
                          </a:rPr>
                          <m:t>esperadas</m:t>
                        </m:r>
                      </m:num>
                      <m:den>
                        <m:r>
                          <m:rPr>
                            <m:sty m:val="p"/>
                          </m:rPr>
                          <a:rPr lang="pt-BR" sz="800" i="0">
                            <a:latin typeface="Cambria Math" panose="02040503050406030204" pitchFamily="18" charset="0"/>
                          </a:rPr>
                          <m:t>NPL</m:t>
                        </m:r>
                        <m:r>
                          <a:rPr lang="pt-BR" sz="800" i="0">
                            <a:latin typeface="Cambria Math" panose="02040503050406030204" pitchFamily="18" charset="0"/>
                          </a:rPr>
                          <m:t>&gt; 90 </m:t>
                        </m:r>
                        <m:r>
                          <m:rPr>
                            <m:sty m:val="p"/>
                          </m:rPr>
                          <a:rPr lang="pt-BR" sz="800" i="0">
                            <a:latin typeface="Cambria Math" panose="02040503050406030204" pitchFamily="18" charset="0"/>
                          </a:rPr>
                          <m:t>dias</m:t>
                        </m:r>
                      </m:den>
                    </m:f>
                  </m:oMath>
                </m:oMathPara>
              </a14:m>
              <a:endParaRPr lang="en-US" sz="800">
                <a:latin typeface="Calibri" panose="020F0502020204030204" pitchFamily="34" charset="0"/>
                <a:ea typeface="Inter Light BETA" panose="020B04020300000000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eficiência:</a:t>
              </a:r>
            </a:p>
            <a:p>
              <a:pPr algn="ctr"/>
              <a:endParaRPr lang="en-US" sz="800">
                <a:latin typeface="Calibri" panose="020F0502020204030204" pitchFamily="34" charset="0"/>
                <a:ea typeface="Inter" panose="020B05020300000000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eqArr>
                          <m:eqArrPr>
                            <m:ctrlPr>
                              <a:rPr lang="pt-BR" sz="800" i="1">
                                <a:latin typeface="Cambria Math" panose="02040503050406030204" pitchFamily="18" charset="0"/>
                              </a:rPr>
                            </m:ctrlPr>
                          </m:eqArrPr>
                          <m:e>
                            <m:r>
                              <a:rPr lang="pt-BR" sz="800" i="0">
                                <a:latin typeface="Cambria Math" panose="02040503050406030204" pitchFamily="18" charset="0"/>
                              </a:rPr>
                              <m:t> </m:t>
                            </m:r>
                          </m:e>
                          <m:e>
                            <m:r>
                              <m:rPr>
                                <m:sty m:val="p"/>
                              </m:rPr>
                              <a:rPr lang="pt-BR" sz="800" i="0">
                                <a:latin typeface="Cambria Math" panose="02040503050406030204" pitchFamily="18" charset="0"/>
                              </a:rPr>
                              <m:t>Despesa</m:t>
                            </m:r>
                            <m:r>
                              <a:rPr lang="pt-BR" sz="800" i="0">
                                <a:latin typeface="Cambria Math" panose="02040503050406030204" pitchFamily="18" charset="0"/>
                              </a:rPr>
                              <m:t> </m:t>
                            </m:r>
                            <m:r>
                              <m:rPr>
                                <m:sty m:val="p"/>
                              </m:rPr>
                              <a:rPr lang="pt-BR" sz="800" i="0">
                                <a:latin typeface="Cambria Math" panose="02040503050406030204" pitchFamily="18" charset="0"/>
                              </a:rPr>
                              <m:t>de</m:t>
                            </m:r>
                            <m:r>
                              <a:rPr lang="pt-BR" sz="800" i="0">
                                <a:latin typeface="Cambria Math" panose="02040503050406030204" pitchFamily="18" charset="0"/>
                              </a:rPr>
                              <m:t> </m:t>
                            </m:r>
                            <m:r>
                              <m:rPr>
                                <m:sty m:val="p"/>
                              </m:rPr>
                              <a:rPr lang="pt-BR" sz="800" i="0">
                                <a:latin typeface="Cambria Math" panose="02040503050406030204" pitchFamily="18" charset="0"/>
                              </a:rPr>
                              <m:t>pessoal</m:t>
                            </m:r>
                            <m:r>
                              <a:rPr lang="pt-BR" sz="800" i="0">
                                <a:latin typeface="Cambria Math" panose="02040503050406030204" pitchFamily="18" charset="0"/>
                              </a:rPr>
                              <m:t>+</m:t>
                            </m:r>
                            <m:r>
                              <m:rPr>
                                <m:sty m:val="p"/>
                              </m:rPr>
                              <a:rPr lang="pt-BR" sz="800">
                                <a:latin typeface="Cambria Math" panose="02040503050406030204" pitchFamily="18" charset="0"/>
                              </a:rPr>
                              <m:t>Despesas</m:t>
                            </m:r>
                            <m:r>
                              <a:rPr lang="pt-BR" sz="800">
                                <a:latin typeface="Cambria Math" panose="02040503050406030204" pitchFamily="18" charset="0"/>
                              </a:rPr>
                              <m:t> </m:t>
                            </m:r>
                            <m:r>
                              <m:rPr>
                                <m:sty m:val="p"/>
                              </m:rPr>
                              <a:rPr lang="pt-BR" sz="800">
                                <a:latin typeface="Cambria Math" panose="02040503050406030204" pitchFamily="18" charset="0"/>
                              </a:rPr>
                              <m:t>administrativas</m:t>
                            </m:r>
                            <m:r>
                              <a:rPr lang="pt-BR" sz="800" b="0" i="0">
                                <a:latin typeface="Cambria Math" panose="02040503050406030204" pitchFamily="18" charset="0"/>
                              </a:rPr>
                              <m:t>+</m:t>
                            </m:r>
                            <m:r>
                              <m:rPr>
                                <m:sty m:val="p"/>
                              </m:rPr>
                              <a:rPr lang="pt-BR" sz="800" b="0" i="0">
                                <a:latin typeface="Cambria Math" panose="02040503050406030204" pitchFamily="18" charset="0"/>
                              </a:rPr>
                              <m:t>Deprecia</m:t>
                            </m:r>
                            <m:r>
                              <a:rPr lang="pt-BR" sz="800" i="0">
                                <a:latin typeface="Cambria Math" panose="02040503050406030204" pitchFamily="18" charset="0"/>
                              </a:rPr>
                              <m:t>çã</m:t>
                            </m:r>
                            <m:r>
                              <m:rPr>
                                <m:sty m:val="p"/>
                              </m:rPr>
                              <a:rPr lang="pt-BR" sz="800" b="0" i="0">
                                <a:latin typeface="Cambria Math" panose="02040503050406030204" pitchFamily="18" charset="0"/>
                              </a:rPr>
                              <m:t>o</m:t>
                            </m:r>
                            <m:r>
                              <a:rPr lang="pt-BR" sz="800" b="0" i="0">
                                <a:latin typeface="Cambria Math" panose="02040503050406030204" pitchFamily="18" charset="0"/>
                              </a:rPr>
                              <m:t> </m:t>
                            </m:r>
                            <m:r>
                              <m:rPr>
                                <m:sty m:val="p"/>
                              </m:rPr>
                              <a:rPr lang="pt-BR" sz="800" b="0" i="0">
                                <a:latin typeface="Cambria Math" panose="02040503050406030204" pitchFamily="18" charset="0"/>
                              </a:rPr>
                              <m:t>e</m:t>
                            </m:r>
                            <m:r>
                              <a:rPr lang="pt-BR" sz="800" b="0" i="0">
                                <a:latin typeface="Cambria Math" panose="02040503050406030204" pitchFamily="18" charset="0"/>
                              </a:rPr>
                              <m:t> </m:t>
                            </m:r>
                            <m:r>
                              <m:rPr>
                                <m:sty m:val="p"/>
                              </m:rPr>
                              <a:rPr lang="pt-BR" sz="800" b="0" i="0">
                                <a:latin typeface="Cambria Math" panose="02040503050406030204" pitchFamily="18" charset="0"/>
                              </a:rPr>
                              <m:t>amortiza</m:t>
                            </m:r>
                            <m:r>
                              <a:rPr lang="pt-BR" sz="800" i="0">
                                <a:latin typeface="Cambria Math" panose="02040503050406030204" pitchFamily="18" charset="0"/>
                              </a:rPr>
                              <m:t>çã</m:t>
                            </m:r>
                            <m:r>
                              <m:rPr>
                                <m:sty m:val="p"/>
                              </m:rPr>
                              <a:rPr lang="pt-BR" sz="800" b="0" i="0">
                                <a:latin typeface="Cambria Math" panose="02040503050406030204" pitchFamily="18" charset="0"/>
                              </a:rPr>
                              <m:t>o</m:t>
                            </m:r>
                          </m:e>
                        </m:eqArr>
                      </m:num>
                      <m:den>
                        <m:eqArr>
                          <m:eqArrPr>
                            <m:ctrlPr>
                              <a:rPr lang="pt-BR" sz="800" i="1">
                                <a:latin typeface="Cambria Math" panose="02040503050406030204" pitchFamily="18" charset="0"/>
                              </a:rPr>
                            </m:ctrlPr>
                          </m:eqArrPr>
                          <m:e>
                            <m:r>
                              <m:rPr>
                                <m:sty m:val="p"/>
                              </m:rPr>
                              <a:rPr lang="pt-BR" sz="800">
                                <a:latin typeface="Cambria Math" panose="02040503050406030204" pitchFamily="18" charset="0"/>
                              </a:rPr>
                              <m:t>Receita</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juros</m:t>
                            </m:r>
                            <m:r>
                              <a:rPr lang="pt-BR" sz="800">
                                <a:latin typeface="Cambria Math" panose="02040503050406030204" pitchFamily="18" charset="0"/>
                              </a:rPr>
                              <m:t>+</m:t>
                            </m:r>
                            <m:r>
                              <m:rPr>
                                <m:sty m:val="p"/>
                              </m:rPr>
                              <a:rPr lang="pt-BR" sz="800">
                                <a:latin typeface="Cambria Math" panose="02040503050406030204" pitchFamily="18" charset="0"/>
                              </a:rPr>
                              <m:t>Resultado</m:t>
                            </m:r>
                            <m:r>
                              <a:rPr lang="pt-BR" sz="800">
                                <a:latin typeface="Cambria Math" panose="02040503050406030204" pitchFamily="18" charset="0"/>
                              </a:rPr>
                              <m:t> </m:t>
                            </m:r>
                            <m:r>
                              <m:rPr>
                                <m:sty m:val="p"/>
                              </m:rPr>
                              <a:rPr lang="pt-BR" sz="800">
                                <a:latin typeface="Cambria Math" panose="02040503050406030204" pitchFamily="18" charset="0"/>
                              </a:rPr>
                              <m:t>l</m:t>
                            </m:r>
                            <m:r>
                              <a:rPr lang="pt-BR" sz="800">
                                <a:latin typeface="Cambria Math" panose="02040503050406030204" pitchFamily="18" charset="0"/>
                              </a:rPr>
                              <m:t>í</m:t>
                            </m:r>
                            <m:r>
                              <m:rPr>
                                <m:sty m:val="p"/>
                              </m:rPr>
                              <a:rPr lang="pt-BR" sz="800">
                                <a:latin typeface="Cambria Math" panose="02040503050406030204" pitchFamily="18" charset="0"/>
                              </a:rPr>
                              <m:t>quido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servi</m:t>
                            </m:r>
                            <m:r>
                              <a:rPr lang="pt-BR" sz="800">
                                <a:latin typeface="Cambria Math" panose="02040503050406030204" pitchFamily="18" charset="0"/>
                              </a:rPr>
                              <m:t>ç</m:t>
                            </m:r>
                            <m:r>
                              <m:rPr>
                                <m:sty m:val="p"/>
                              </m:rPr>
                              <a:rPr lang="pt-BR" sz="800">
                                <a:latin typeface="Cambria Math" panose="02040503050406030204" pitchFamily="18" charset="0"/>
                              </a:rPr>
                              <m:t>os</m:t>
                            </m:r>
                            <m:r>
                              <a:rPr lang="pt-BR" sz="800">
                                <a:latin typeface="Cambria Math" panose="02040503050406030204" pitchFamily="18" charset="0"/>
                              </a:rPr>
                              <m:t> </m:t>
                            </m:r>
                            <m:r>
                              <m:rPr>
                                <m:sty m:val="p"/>
                              </m:rPr>
                              <a:rPr lang="pt-BR" sz="800">
                                <a:latin typeface="Cambria Math" panose="02040503050406030204" pitchFamily="18" charset="0"/>
                              </a:rPr>
                              <m:t>e</m:t>
                            </m:r>
                            <m:r>
                              <a:rPr lang="pt-BR" sz="800">
                                <a:latin typeface="Cambria Math" panose="02040503050406030204" pitchFamily="18" charset="0"/>
                              </a:rPr>
                              <m:t> </m:t>
                            </m:r>
                            <m:r>
                              <m:rPr>
                                <m:sty m:val="p"/>
                              </m:rPr>
                              <a:rPr lang="pt-BR" sz="800">
                                <a:latin typeface="Cambria Math" panose="02040503050406030204" pitchFamily="18" charset="0"/>
                              </a:rPr>
                              <m:t>comiss</m:t>
                            </m:r>
                            <m:r>
                              <a:rPr lang="pt-BR" sz="800">
                                <a:latin typeface="Cambria Math" panose="02040503050406030204" pitchFamily="18" charset="0"/>
                              </a:rPr>
                              <m:t>õ</m:t>
                            </m:r>
                            <m:r>
                              <m:rPr>
                                <m:sty m:val="p"/>
                              </m:rPr>
                              <a:rPr lang="pt-BR" sz="800">
                                <a:latin typeface="Cambria Math" panose="02040503050406030204" pitchFamily="18" charset="0"/>
                              </a:rPr>
                              <m:t>es</m:t>
                            </m:r>
                            <m:r>
                              <a:rPr lang="pt-BR" sz="800">
                                <a:latin typeface="Cambria Math" panose="02040503050406030204" pitchFamily="18" charset="0"/>
                              </a:rPr>
                              <m:t>+</m:t>
                            </m:r>
                            <m:r>
                              <m:rPr>
                                <m:nor/>
                              </m:rPr>
                              <a:rPr lang="pt-BR" sz="800">
                                <a:latin typeface="Calibri" panose="020F0502020204030204" pitchFamily="34" charset="0"/>
                                <a:cs typeface="Calibri" panose="020F0502020204030204" pitchFamily="34" charset="0"/>
                              </a:rPr>
                              <m:t> </m:t>
                            </m:r>
                            <m:r>
                              <m:rPr>
                                <m:sty m:val="p"/>
                              </m:rPr>
                              <a:rPr lang="en-US" sz="800">
                                <a:latin typeface="Cambria Math" panose="02040503050406030204" pitchFamily="18" charset="0"/>
                                <a:cs typeface="Sora" pitchFamily="2" charset="0"/>
                              </a:rPr>
                              <m:t>Re</m:t>
                            </m:r>
                            <m:r>
                              <m:rPr>
                                <m:sty m:val="p"/>
                              </m:rPr>
                              <a:rPr lang="pt-BR" sz="800">
                                <a:latin typeface="Cambria Math" panose="02040503050406030204" pitchFamily="18" charset="0"/>
                                <a:cs typeface="Sora" pitchFamily="2" charset="0"/>
                              </a:rPr>
                              <m:t>sultado</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t</m:t>
                            </m:r>
                            <m:r>
                              <a:rPr lang="en-US" sz="800">
                                <a:latin typeface="Cambria Math" panose="02040503050406030204" pitchFamily="18" charset="0"/>
                                <a:cs typeface="Sora" pitchFamily="2" charset="0"/>
                              </a:rPr>
                              <m:t>í</m:t>
                            </m:r>
                            <m:r>
                              <m:rPr>
                                <m:sty m:val="p"/>
                              </m:rPr>
                              <a:rPr lang="en-US" sz="800">
                                <a:latin typeface="Cambria Math" panose="02040503050406030204" pitchFamily="18" charset="0"/>
                                <a:cs typeface="Sora" pitchFamily="2" charset="0"/>
                              </a:rPr>
                              <m:t>tulos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e</m:t>
                            </m:r>
                            <m:r>
                              <a:rPr lang="pt-BR" sz="800" b="0" i="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valores</m:t>
                            </m:r>
                            <m:r>
                              <a:rPr lang="pt-BR" sz="800" b="0" i="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mobili</m:t>
                            </m:r>
                            <m:r>
                              <a:rPr lang="en-US" sz="800">
                                <a:latin typeface="Cambria Math" panose="02040503050406030204" pitchFamily="18" charset="0"/>
                                <a:cs typeface="Sora" pitchFamily="2" charset="0"/>
                              </a:rPr>
                              <m:t>á</m:t>
                            </m:r>
                            <m:r>
                              <m:rPr>
                                <m:sty m:val="p"/>
                              </m:rPr>
                              <a:rPr lang="en-US" sz="800">
                                <a:latin typeface="Cambria Math" panose="02040503050406030204" pitchFamily="18" charset="0"/>
                                <a:cs typeface="Sora" pitchFamily="2" charset="0"/>
                              </a:rPr>
                              <m:t>rios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derivativos</m:t>
                            </m:r>
                            <m:r>
                              <a:rPr lang="pt-BR" sz="800">
                                <a:latin typeface="Cambria Math" panose="02040503050406030204" pitchFamily="18" charset="0"/>
                              </a:rPr>
                              <m:t>+ </m:t>
                            </m:r>
                            <m:r>
                              <m:rPr>
                                <m:sty m:val="p"/>
                              </m:rPr>
                              <a:rPr lang="pt-BR" sz="800">
                                <a:latin typeface="Cambria Math" panose="02040503050406030204" pitchFamily="18" charset="0"/>
                              </a:rPr>
                              <m:t>Outras</m:t>
                            </m:r>
                          </m:e>
                          <m:e>
                            <m:r>
                              <m:rPr>
                                <m:sty m:val="p"/>
                              </m:rPr>
                              <a:rPr lang="pt-BR" sz="800">
                                <a:latin typeface="Cambria Math" panose="02040503050406030204" pitchFamily="18" charset="0"/>
                              </a:rPr>
                              <m:t>receitas</m:t>
                            </m:r>
                            <m:r>
                              <a:rPr lang="pt-BR" sz="800">
                                <a:latin typeface="Cambria Math" panose="02040503050406030204" pitchFamily="18" charset="0"/>
                              </a:rPr>
                              <m:t>−</m:t>
                            </m:r>
                            <m:r>
                              <m:rPr>
                                <m:sty m:val="p"/>
                              </m:rPr>
                              <a:rPr lang="pt-BR" sz="800">
                                <a:latin typeface="Cambria Math" panose="02040503050406030204" pitchFamily="18" charset="0"/>
                              </a:rPr>
                              <m:t>Despesas</m:t>
                            </m:r>
                            <m:r>
                              <a:rPr lang="pt-BR" sz="800">
                                <a:latin typeface="Cambria Math" panose="02040503050406030204" pitchFamily="18" charset="0"/>
                              </a:rPr>
                              <m:t> </m:t>
                            </m:r>
                            <m:r>
                              <m:rPr>
                                <m:sty m:val="p"/>
                              </m:rPr>
                              <a:rPr lang="pt-BR" sz="800">
                                <a:latin typeface="Cambria Math" panose="02040503050406030204" pitchFamily="18" charset="0"/>
                              </a:rPr>
                              <m:t>tribut</m:t>
                            </m:r>
                            <m:r>
                              <a:rPr lang="pt-BR" sz="800">
                                <a:latin typeface="Cambria Math" panose="02040503050406030204" pitchFamily="18" charset="0"/>
                              </a:rPr>
                              <m:t>á</m:t>
                            </m:r>
                            <m:r>
                              <m:rPr>
                                <m:sty m:val="p"/>
                              </m:rPr>
                              <a:rPr lang="pt-BR" sz="800">
                                <a:latin typeface="Cambria Math" panose="02040503050406030204" pitchFamily="18" charset="0"/>
                              </a:rPr>
                              <m:t>rias</m:t>
                            </m:r>
                            <m:r>
                              <m:rPr>
                                <m:nor/>
                              </m:rPr>
                              <a:rPr lang="pt-BR" sz="800">
                                <a:latin typeface="Calibri" panose="020F0502020204030204" pitchFamily="34" charset="0"/>
                                <a:cs typeface="Calibri" panose="020F0502020204030204" pitchFamily="34" charset="0"/>
                              </a:rPr>
                              <m:t> </m:t>
                            </m:r>
                          </m:e>
                        </m:eqArr>
                      </m:den>
                    </m:f>
                    <m:r>
                      <a:rPr lang="pt-BR" sz="800" i="1">
                        <a:latin typeface="Cambria Math" panose="02040503050406030204" pitchFamily="18" charset="0"/>
                      </a:rPr>
                      <m:t> </m:t>
                    </m:r>
                  </m:oMath>
                </m:oMathPara>
              </a14:m>
              <a:endParaRPr lang="en-US" sz="800" b="1">
                <a:latin typeface="Calibri" panose="020F0502020204030204" pitchFamily="34" charset="0"/>
                <a:cs typeface="Calibri" panose="020F0502020204030204" pitchFamily="34" charset="0"/>
              </a:endParaRPr>
            </a:p>
            <a:p>
              <a:pPr algn="ct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eficiência administrativo:</a:t>
              </a:r>
            </a:p>
            <a:p>
              <a:pPr algn="ctr"/>
              <a:endParaRPr lang="en-US" sz="800">
                <a:latin typeface="Calibri" panose="020F0502020204030204" pitchFamily="34" charset="0"/>
                <a:ea typeface="Inter" panose="020B05020300000000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a:latin typeface="Cambria Math" panose="02040503050406030204" pitchFamily="18" charset="0"/>
                          </a:rPr>
                          <m:t>Despesas</m:t>
                        </m:r>
                        <m:r>
                          <a:rPr lang="pt-BR" sz="800">
                            <a:latin typeface="Cambria Math" panose="02040503050406030204" pitchFamily="18" charset="0"/>
                          </a:rPr>
                          <m:t> </m:t>
                        </m:r>
                        <m:r>
                          <m:rPr>
                            <m:sty m:val="p"/>
                          </m:rPr>
                          <a:rPr lang="pt-BR" sz="800">
                            <a:latin typeface="Cambria Math" panose="02040503050406030204" pitchFamily="18" charset="0"/>
                          </a:rPr>
                          <m:t>administrativas</m:t>
                        </m:r>
                        <m:r>
                          <a:rPr lang="pt-BR" sz="800">
                            <a:latin typeface="Cambria Math" panose="02040503050406030204" pitchFamily="18" charset="0"/>
                          </a:rPr>
                          <m:t>+</m:t>
                        </m:r>
                        <m:r>
                          <m:rPr>
                            <m:sty m:val="p"/>
                          </m:rPr>
                          <a:rPr lang="pt-BR" sz="800">
                            <a:latin typeface="Cambria Math" panose="02040503050406030204" pitchFamily="18" charset="0"/>
                          </a:rPr>
                          <m:t>Deprecia</m:t>
                        </m:r>
                        <m:r>
                          <a:rPr lang="pt-BR" sz="800">
                            <a:latin typeface="Cambria Math" panose="02040503050406030204" pitchFamily="18" charset="0"/>
                          </a:rPr>
                          <m:t>çã</m:t>
                        </m:r>
                        <m:r>
                          <m:rPr>
                            <m:sty m:val="p"/>
                          </m:rPr>
                          <a:rPr lang="pt-BR" sz="800">
                            <a:latin typeface="Cambria Math" panose="02040503050406030204" pitchFamily="18" charset="0"/>
                          </a:rPr>
                          <m:t>o</m:t>
                        </m:r>
                        <m:r>
                          <a:rPr lang="pt-BR" sz="800">
                            <a:latin typeface="Cambria Math" panose="02040503050406030204" pitchFamily="18" charset="0"/>
                          </a:rPr>
                          <m:t> </m:t>
                        </m:r>
                        <m:r>
                          <m:rPr>
                            <m:sty m:val="p"/>
                          </m:rPr>
                          <a:rPr lang="pt-BR" sz="800">
                            <a:latin typeface="Cambria Math" panose="02040503050406030204" pitchFamily="18" charset="0"/>
                          </a:rPr>
                          <m:t>e</m:t>
                        </m:r>
                        <m:r>
                          <a:rPr lang="pt-BR" sz="800">
                            <a:latin typeface="Cambria Math" panose="02040503050406030204" pitchFamily="18" charset="0"/>
                          </a:rPr>
                          <m:t> </m:t>
                        </m:r>
                        <m:r>
                          <m:rPr>
                            <m:sty m:val="p"/>
                          </m:rPr>
                          <a:rPr lang="pt-BR" sz="800">
                            <a:latin typeface="Cambria Math" panose="02040503050406030204" pitchFamily="18" charset="0"/>
                          </a:rPr>
                          <m:t>amortiza</m:t>
                        </m:r>
                        <m:r>
                          <a:rPr lang="pt-BR" sz="800">
                            <a:latin typeface="Cambria Math" panose="02040503050406030204" pitchFamily="18" charset="0"/>
                          </a:rPr>
                          <m:t>çã</m:t>
                        </m:r>
                        <m:r>
                          <m:rPr>
                            <m:sty m:val="p"/>
                          </m:rPr>
                          <a:rPr lang="pt-BR" sz="800">
                            <a:latin typeface="Cambria Math" panose="02040503050406030204" pitchFamily="18" charset="0"/>
                          </a:rPr>
                          <m:t>o</m:t>
                        </m:r>
                      </m:num>
                      <m:den>
                        <m:eqArr>
                          <m:eqArrPr>
                            <m:ctrlPr>
                              <a:rPr lang="pt-BR" sz="800" i="1">
                                <a:latin typeface="Cambria Math" panose="02040503050406030204" pitchFamily="18" charset="0"/>
                              </a:rPr>
                            </m:ctrlPr>
                          </m:eqArrPr>
                          <m:e>
                            <m:r>
                              <m:rPr>
                                <m:sty m:val="p"/>
                              </m:rPr>
                              <a:rPr lang="pt-BR" sz="800">
                                <a:latin typeface="Cambria Math" panose="02040503050406030204" pitchFamily="18" charset="0"/>
                              </a:rPr>
                              <m:t>Receita</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juros</m:t>
                            </m:r>
                            <m:r>
                              <a:rPr lang="pt-BR" sz="800">
                                <a:latin typeface="Cambria Math" panose="02040503050406030204" pitchFamily="18" charset="0"/>
                              </a:rPr>
                              <m:t>+</m:t>
                            </m:r>
                            <m:r>
                              <m:rPr>
                                <m:sty m:val="p"/>
                              </m:rPr>
                              <a:rPr lang="pt-BR" sz="800">
                                <a:latin typeface="Cambria Math" panose="02040503050406030204" pitchFamily="18" charset="0"/>
                              </a:rPr>
                              <m:t>Resultado</m:t>
                            </m:r>
                            <m:r>
                              <a:rPr lang="pt-BR" sz="800">
                                <a:latin typeface="Cambria Math" panose="02040503050406030204" pitchFamily="18" charset="0"/>
                              </a:rPr>
                              <m:t> </m:t>
                            </m:r>
                            <m:r>
                              <m:rPr>
                                <m:sty m:val="p"/>
                              </m:rPr>
                              <a:rPr lang="pt-BR" sz="800">
                                <a:latin typeface="Cambria Math" panose="02040503050406030204" pitchFamily="18" charset="0"/>
                              </a:rPr>
                              <m:t>l</m:t>
                            </m:r>
                            <m:r>
                              <a:rPr lang="pt-BR" sz="800">
                                <a:latin typeface="Cambria Math" panose="02040503050406030204" pitchFamily="18" charset="0"/>
                              </a:rPr>
                              <m:t>í</m:t>
                            </m:r>
                            <m:r>
                              <m:rPr>
                                <m:sty m:val="p"/>
                              </m:rPr>
                              <a:rPr lang="pt-BR" sz="800">
                                <a:latin typeface="Cambria Math" panose="02040503050406030204" pitchFamily="18" charset="0"/>
                              </a:rPr>
                              <m:t>quido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servi</m:t>
                            </m:r>
                            <m:r>
                              <a:rPr lang="pt-BR" sz="800">
                                <a:latin typeface="Cambria Math" panose="02040503050406030204" pitchFamily="18" charset="0"/>
                              </a:rPr>
                              <m:t>ç</m:t>
                            </m:r>
                            <m:r>
                              <m:rPr>
                                <m:sty m:val="p"/>
                              </m:rPr>
                              <a:rPr lang="pt-BR" sz="800">
                                <a:latin typeface="Cambria Math" panose="02040503050406030204" pitchFamily="18" charset="0"/>
                              </a:rPr>
                              <m:t>os</m:t>
                            </m:r>
                            <m:r>
                              <a:rPr lang="pt-BR" sz="800">
                                <a:latin typeface="Cambria Math" panose="02040503050406030204" pitchFamily="18" charset="0"/>
                              </a:rPr>
                              <m:t> </m:t>
                            </m:r>
                            <m:r>
                              <m:rPr>
                                <m:sty m:val="p"/>
                              </m:rPr>
                              <a:rPr lang="pt-BR" sz="800">
                                <a:latin typeface="Cambria Math" panose="02040503050406030204" pitchFamily="18" charset="0"/>
                              </a:rPr>
                              <m:t>e</m:t>
                            </m:r>
                            <m:r>
                              <a:rPr lang="pt-BR" sz="800">
                                <a:latin typeface="Cambria Math" panose="02040503050406030204" pitchFamily="18" charset="0"/>
                              </a:rPr>
                              <m:t> </m:t>
                            </m:r>
                            <m:r>
                              <m:rPr>
                                <m:sty m:val="p"/>
                              </m:rPr>
                              <a:rPr lang="pt-BR" sz="800">
                                <a:latin typeface="Cambria Math" panose="02040503050406030204" pitchFamily="18" charset="0"/>
                              </a:rPr>
                              <m:t>comiss</m:t>
                            </m:r>
                            <m:r>
                              <a:rPr lang="pt-BR" sz="800">
                                <a:latin typeface="Cambria Math" panose="02040503050406030204" pitchFamily="18" charset="0"/>
                              </a:rPr>
                              <m:t>õ</m:t>
                            </m:r>
                            <m:r>
                              <m:rPr>
                                <m:sty m:val="p"/>
                              </m:rPr>
                              <a:rPr lang="pt-BR" sz="800">
                                <a:latin typeface="Cambria Math" panose="02040503050406030204" pitchFamily="18" charset="0"/>
                              </a:rPr>
                              <m:t>es</m:t>
                            </m:r>
                            <m:r>
                              <a:rPr lang="pt-BR" sz="800">
                                <a:latin typeface="Cambria Math" panose="02040503050406030204" pitchFamily="18" charset="0"/>
                              </a:rPr>
                              <m:t>+</m:t>
                            </m:r>
                            <m:r>
                              <m:rPr>
                                <m:nor/>
                              </m:rPr>
                              <a:rPr lang="pt-BR" sz="800">
                                <a:latin typeface="Calibri" panose="020F0502020204030204" pitchFamily="34" charset="0"/>
                                <a:cs typeface="Calibri" panose="020F0502020204030204" pitchFamily="34" charset="0"/>
                              </a:rPr>
                              <m:t> </m:t>
                            </m:r>
                            <m:r>
                              <m:rPr>
                                <m:sty m:val="p"/>
                              </m:rPr>
                              <a:rPr lang="en-US" sz="800">
                                <a:latin typeface="Cambria Math" panose="02040503050406030204" pitchFamily="18" charset="0"/>
                                <a:cs typeface="Sora" pitchFamily="2" charset="0"/>
                              </a:rPr>
                              <m:t>Re</m:t>
                            </m:r>
                            <m:r>
                              <m:rPr>
                                <m:sty m:val="p"/>
                              </m:rPr>
                              <a:rPr lang="pt-BR" sz="800">
                                <a:latin typeface="Cambria Math" panose="02040503050406030204" pitchFamily="18" charset="0"/>
                                <a:cs typeface="Sora" pitchFamily="2" charset="0"/>
                              </a:rPr>
                              <m:t>sultado</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t</m:t>
                            </m:r>
                            <m:r>
                              <a:rPr lang="en-US" sz="800">
                                <a:latin typeface="Cambria Math" panose="02040503050406030204" pitchFamily="18" charset="0"/>
                                <a:cs typeface="Sora" pitchFamily="2" charset="0"/>
                              </a:rPr>
                              <m:t>í</m:t>
                            </m:r>
                            <m:r>
                              <m:rPr>
                                <m:sty m:val="p"/>
                              </m:rPr>
                              <a:rPr lang="en-US" sz="800">
                                <a:latin typeface="Cambria Math" panose="02040503050406030204" pitchFamily="18" charset="0"/>
                                <a:cs typeface="Sora" pitchFamily="2" charset="0"/>
                              </a:rPr>
                              <m:t>tulos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e</m:t>
                            </m:r>
                            <m:r>
                              <a:rPr lang="pt-BR" sz="800" b="0" i="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valores</m:t>
                            </m:r>
                            <m:r>
                              <a:rPr lang="pt-BR" sz="800" b="0" i="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mobili</m:t>
                            </m:r>
                            <m:r>
                              <a:rPr lang="en-US" sz="800">
                                <a:latin typeface="Cambria Math" panose="02040503050406030204" pitchFamily="18" charset="0"/>
                                <a:cs typeface="Sora" pitchFamily="2" charset="0"/>
                              </a:rPr>
                              <m:t>á</m:t>
                            </m:r>
                            <m:r>
                              <m:rPr>
                                <m:sty m:val="p"/>
                              </m:rPr>
                              <a:rPr lang="en-US" sz="800">
                                <a:latin typeface="Cambria Math" panose="02040503050406030204" pitchFamily="18" charset="0"/>
                                <a:cs typeface="Sora" pitchFamily="2" charset="0"/>
                              </a:rPr>
                              <m:t>rios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derivativos</m:t>
                            </m:r>
                            <m:r>
                              <a:rPr lang="pt-BR" sz="800">
                                <a:latin typeface="Cambria Math" panose="02040503050406030204" pitchFamily="18" charset="0"/>
                              </a:rPr>
                              <m:t>+ </m:t>
                            </m:r>
                            <m:r>
                              <m:rPr>
                                <m:sty m:val="p"/>
                              </m:rPr>
                              <a:rPr lang="pt-BR" sz="800">
                                <a:latin typeface="Cambria Math" panose="02040503050406030204" pitchFamily="18" charset="0"/>
                              </a:rPr>
                              <m:t>Outras</m:t>
                            </m:r>
                          </m:e>
                          <m:e>
                            <m:r>
                              <m:rPr>
                                <m:sty m:val="p"/>
                              </m:rPr>
                              <a:rPr lang="pt-BR" sz="800">
                                <a:latin typeface="Cambria Math" panose="02040503050406030204" pitchFamily="18" charset="0"/>
                              </a:rPr>
                              <m:t>receitas</m:t>
                            </m:r>
                            <m:r>
                              <a:rPr lang="pt-BR" sz="800">
                                <a:latin typeface="Cambria Math" panose="02040503050406030204" pitchFamily="18" charset="0"/>
                              </a:rPr>
                              <m:t>−</m:t>
                            </m:r>
                            <m:r>
                              <m:rPr>
                                <m:sty m:val="p"/>
                              </m:rPr>
                              <a:rPr lang="pt-BR" sz="800">
                                <a:latin typeface="Cambria Math" panose="02040503050406030204" pitchFamily="18" charset="0"/>
                              </a:rPr>
                              <m:t>Despesas</m:t>
                            </m:r>
                            <m:r>
                              <a:rPr lang="pt-BR" sz="800">
                                <a:latin typeface="Cambria Math" panose="02040503050406030204" pitchFamily="18" charset="0"/>
                              </a:rPr>
                              <m:t> </m:t>
                            </m:r>
                            <m:r>
                              <m:rPr>
                                <m:sty m:val="p"/>
                              </m:rPr>
                              <a:rPr lang="pt-BR" sz="800">
                                <a:latin typeface="Cambria Math" panose="02040503050406030204" pitchFamily="18" charset="0"/>
                              </a:rPr>
                              <m:t>tribut</m:t>
                            </m:r>
                            <m:r>
                              <a:rPr lang="pt-BR" sz="800">
                                <a:latin typeface="Cambria Math" panose="02040503050406030204" pitchFamily="18" charset="0"/>
                              </a:rPr>
                              <m:t>á</m:t>
                            </m:r>
                            <m:r>
                              <m:rPr>
                                <m:sty m:val="p"/>
                              </m:rPr>
                              <a:rPr lang="pt-BR" sz="800">
                                <a:latin typeface="Cambria Math" panose="02040503050406030204" pitchFamily="18" charset="0"/>
                              </a:rPr>
                              <m:t>rias</m:t>
                            </m:r>
                            <m:r>
                              <m:rPr>
                                <m:nor/>
                              </m:rPr>
                              <a:rPr lang="pt-BR" sz="800">
                                <a:latin typeface="Calibri" panose="020F0502020204030204" pitchFamily="34" charset="0"/>
                                <a:cs typeface="Calibri" panose="020F0502020204030204" pitchFamily="34" charset="0"/>
                              </a:rPr>
                              <m:t> </m:t>
                            </m:r>
                          </m:e>
                        </m:eqArr>
                      </m:den>
                    </m:f>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eficiência de pessoal:</a:t>
              </a:r>
            </a:p>
            <a:p>
              <a:pPr algn="ctr"/>
              <a:endParaRPr lang="en-US" sz="800">
                <a:latin typeface="Calibri" panose="020F0502020204030204" pitchFamily="34" charset="0"/>
                <a:ea typeface="Inter" panose="020B05020300000000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eqArr>
                          <m:eqArrPr>
                            <m:ctrlPr>
                              <a:rPr lang="pt-BR" sz="800" i="1">
                                <a:latin typeface="Cambria Math" panose="02040503050406030204" pitchFamily="18" charset="0"/>
                              </a:rPr>
                            </m:ctrlPr>
                          </m:eqArrPr>
                          <m:e>
                            <m:r>
                              <a:rPr lang="pt-BR" sz="800" i="0">
                                <a:latin typeface="Cambria Math" panose="02040503050406030204" pitchFamily="18" charset="0"/>
                              </a:rPr>
                              <m:t> </m:t>
                            </m:r>
                          </m:e>
                          <m:e>
                            <m:r>
                              <m:rPr>
                                <m:sty m:val="p"/>
                              </m:rPr>
                              <a:rPr lang="pt-BR" sz="800" i="0">
                                <a:latin typeface="Cambria Math" panose="02040503050406030204" pitchFamily="18" charset="0"/>
                              </a:rPr>
                              <m:t>Despesa</m:t>
                            </m:r>
                            <m:r>
                              <a:rPr lang="pt-BR" sz="800" i="0">
                                <a:latin typeface="Cambria Math" panose="02040503050406030204" pitchFamily="18" charset="0"/>
                              </a:rPr>
                              <m:t> </m:t>
                            </m:r>
                            <m:r>
                              <m:rPr>
                                <m:sty m:val="p"/>
                              </m:rPr>
                              <a:rPr lang="pt-BR" sz="800" i="0">
                                <a:latin typeface="Cambria Math" panose="02040503050406030204" pitchFamily="18" charset="0"/>
                              </a:rPr>
                              <m:t>de</m:t>
                            </m:r>
                            <m:r>
                              <a:rPr lang="pt-BR" sz="800" i="0">
                                <a:latin typeface="Cambria Math" panose="02040503050406030204" pitchFamily="18" charset="0"/>
                              </a:rPr>
                              <m:t> </m:t>
                            </m:r>
                            <m:r>
                              <m:rPr>
                                <m:sty m:val="p"/>
                              </m:rPr>
                              <a:rPr lang="pt-BR" sz="800" i="0">
                                <a:latin typeface="Cambria Math" panose="02040503050406030204" pitchFamily="18" charset="0"/>
                              </a:rPr>
                              <m:t>pessoal</m:t>
                            </m:r>
                          </m:e>
                        </m:eqArr>
                      </m:num>
                      <m:den>
                        <m:eqArr>
                          <m:eqArrPr>
                            <m:ctrlPr>
                              <a:rPr lang="pt-BR" sz="800" i="1">
                                <a:latin typeface="Cambria Math" panose="02040503050406030204" pitchFamily="18" charset="0"/>
                              </a:rPr>
                            </m:ctrlPr>
                          </m:eqArrPr>
                          <m:e>
                            <m:r>
                              <m:rPr>
                                <m:sty m:val="p"/>
                              </m:rPr>
                              <a:rPr lang="pt-BR" sz="800">
                                <a:latin typeface="Cambria Math" panose="02040503050406030204" pitchFamily="18" charset="0"/>
                              </a:rPr>
                              <m:t>Receita</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juros</m:t>
                            </m:r>
                            <m:r>
                              <a:rPr lang="pt-BR" sz="800">
                                <a:latin typeface="Cambria Math" panose="02040503050406030204" pitchFamily="18" charset="0"/>
                              </a:rPr>
                              <m:t>+</m:t>
                            </m:r>
                            <m:r>
                              <m:rPr>
                                <m:sty m:val="p"/>
                              </m:rPr>
                              <a:rPr lang="pt-BR" sz="800">
                                <a:latin typeface="Cambria Math" panose="02040503050406030204" pitchFamily="18" charset="0"/>
                              </a:rPr>
                              <m:t>Resultado</m:t>
                            </m:r>
                            <m:r>
                              <a:rPr lang="pt-BR" sz="800">
                                <a:latin typeface="Cambria Math" panose="02040503050406030204" pitchFamily="18" charset="0"/>
                              </a:rPr>
                              <m:t> </m:t>
                            </m:r>
                            <m:r>
                              <m:rPr>
                                <m:sty m:val="p"/>
                              </m:rPr>
                              <a:rPr lang="pt-BR" sz="800">
                                <a:latin typeface="Cambria Math" panose="02040503050406030204" pitchFamily="18" charset="0"/>
                              </a:rPr>
                              <m:t>l</m:t>
                            </m:r>
                            <m:r>
                              <a:rPr lang="pt-BR" sz="800">
                                <a:latin typeface="Cambria Math" panose="02040503050406030204" pitchFamily="18" charset="0"/>
                              </a:rPr>
                              <m:t>í</m:t>
                            </m:r>
                            <m:r>
                              <m:rPr>
                                <m:sty m:val="p"/>
                              </m:rPr>
                              <a:rPr lang="pt-BR" sz="800">
                                <a:latin typeface="Cambria Math" panose="02040503050406030204" pitchFamily="18" charset="0"/>
                              </a:rPr>
                              <m:t>quido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servi</m:t>
                            </m:r>
                            <m:r>
                              <a:rPr lang="pt-BR" sz="800">
                                <a:latin typeface="Cambria Math" panose="02040503050406030204" pitchFamily="18" charset="0"/>
                              </a:rPr>
                              <m:t>ç</m:t>
                            </m:r>
                            <m:r>
                              <m:rPr>
                                <m:sty m:val="p"/>
                              </m:rPr>
                              <a:rPr lang="pt-BR" sz="800">
                                <a:latin typeface="Cambria Math" panose="02040503050406030204" pitchFamily="18" charset="0"/>
                              </a:rPr>
                              <m:t>os</m:t>
                            </m:r>
                            <m:r>
                              <a:rPr lang="pt-BR" sz="800">
                                <a:latin typeface="Cambria Math" panose="02040503050406030204" pitchFamily="18" charset="0"/>
                              </a:rPr>
                              <m:t> </m:t>
                            </m:r>
                            <m:r>
                              <m:rPr>
                                <m:sty m:val="p"/>
                              </m:rPr>
                              <a:rPr lang="pt-BR" sz="800">
                                <a:latin typeface="Cambria Math" panose="02040503050406030204" pitchFamily="18" charset="0"/>
                              </a:rPr>
                              <m:t>e</m:t>
                            </m:r>
                            <m:r>
                              <a:rPr lang="pt-BR" sz="800">
                                <a:latin typeface="Cambria Math" panose="02040503050406030204" pitchFamily="18" charset="0"/>
                              </a:rPr>
                              <m:t> </m:t>
                            </m:r>
                            <m:r>
                              <m:rPr>
                                <m:sty m:val="p"/>
                              </m:rPr>
                              <a:rPr lang="pt-BR" sz="800">
                                <a:latin typeface="Cambria Math" panose="02040503050406030204" pitchFamily="18" charset="0"/>
                              </a:rPr>
                              <m:t>comiss</m:t>
                            </m:r>
                            <m:r>
                              <a:rPr lang="pt-BR" sz="800">
                                <a:latin typeface="Cambria Math" panose="02040503050406030204" pitchFamily="18" charset="0"/>
                              </a:rPr>
                              <m:t>õ</m:t>
                            </m:r>
                            <m:r>
                              <m:rPr>
                                <m:sty m:val="p"/>
                              </m:rPr>
                              <a:rPr lang="pt-BR" sz="800">
                                <a:latin typeface="Cambria Math" panose="02040503050406030204" pitchFamily="18" charset="0"/>
                              </a:rPr>
                              <m:t>es</m:t>
                            </m:r>
                            <m:r>
                              <a:rPr lang="pt-BR" sz="800">
                                <a:latin typeface="Cambria Math" panose="02040503050406030204" pitchFamily="18" charset="0"/>
                              </a:rPr>
                              <m:t>+</m:t>
                            </m:r>
                            <m:r>
                              <m:rPr>
                                <m:nor/>
                              </m:rPr>
                              <a:rPr lang="pt-BR" sz="800">
                                <a:latin typeface="Calibri" panose="020F0502020204030204" pitchFamily="34" charset="0"/>
                                <a:cs typeface="Calibri" panose="020F0502020204030204" pitchFamily="34" charset="0"/>
                              </a:rPr>
                              <m:t> </m:t>
                            </m:r>
                            <m:r>
                              <m:rPr>
                                <m:sty m:val="p"/>
                              </m:rPr>
                              <a:rPr lang="en-US" sz="800">
                                <a:latin typeface="Cambria Math" panose="02040503050406030204" pitchFamily="18" charset="0"/>
                                <a:cs typeface="Sora" pitchFamily="2" charset="0"/>
                              </a:rPr>
                              <m:t>Re</m:t>
                            </m:r>
                            <m:r>
                              <m:rPr>
                                <m:sty m:val="p"/>
                              </m:rPr>
                              <a:rPr lang="pt-BR" sz="800">
                                <a:latin typeface="Cambria Math" panose="02040503050406030204" pitchFamily="18" charset="0"/>
                                <a:cs typeface="Sora" pitchFamily="2" charset="0"/>
                              </a:rPr>
                              <m:t>sultado</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t</m:t>
                            </m:r>
                            <m:r>
                              <a:rPr lang="en-US" sz="800">
                                <a:latin typeface="Cambria Math" panose="02040503050406030204" pitchFamily="18" charset="0"/>
                                <a:cs typeface="Sora" pitchFamily="2" charset="0"/>
                              </a:rPr>
                              <m:t>í</m:t>
                            </m:r>
                            <m:r>
                              <m:rPr>
                                <m:sty m:val="p"/>
                              </m:rPr>
                              <a:rPr lang="en-US" sz="800">
                                <a:latin typeface="Cambria Math" panose="02040503050406030204" pitchFamily="18" charset="0"/>
                                <a:cs typeface="Sora" pitchFamily="2" charset="0"/>
                              </a:rPr>
                              <m:t>tulos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e</m:t>
                            </m:r>
                            <m:r>
                              <a:rPr lang="pt-BR" sz="800" b="0" i="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valores</m:t>
                            </m:r>
                            <m:r>
                              <a:rPr lang="pt-BR" sz="800" b="0" i="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mobili</m:t>
                            </m:r>
                            <m:r>
                              <a:rPr lang="en-US" sz="800">
                                <a:latin typeface="Cambria Math" panose="02040503050406030204" pitchFamily="18" charset="0"/>
                                <a:cs typeface="Sora" pitchFamily="2" charset="0"/>
                              </a:rPr>
                              <m:t>á</m:t>
                            </m:r>
                            <m:r>
                              <m:rPr>
                                <m:sty m:val="p"/>
                              </m:rPr>
                              <a:rPr lang="en-US" sz="800">
                                <a:latin typeface="Cambria Math" panose="02040503050406030204" pitchFamily="18" charset="0"/>
                                <a:cs typeface="Sora" pitchFamily="2" charset="0"/>
                              </a:rPr>
                              <m:t>rios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derivativos</m:t>
                            </m:r>
                            <m:r>
                              <a:rPr lang="pt-BR" sz="800">
                                <a:latin typeface="Cambria Math" panose="02040503050406030204" pitchFamily="18" charset="0"/>
                              </a:rPr>
                              <m:t>+ </m:t>
                            </m:r>
                            <m:r>
                              <m:rPr>
                                <m:sty m:val="p"/>
                              </m:rPr>
                              <a:rPr lang="pt-BR" sz="800">
                                <a:latin typeface="Cambria Math" panose="02040503050406030204" pitchFamily="18" charset="0"/>
                              </a:rPr>
                              <m:t>Outras</m:t>
                            </m:r>
                          </m:e>
                          <m:e>
                            <m:r>
                              <m:rPr>
                                <m:sty m:val="p"/>
                              </m:rPr>
                              <a:rPr lang="pt-BR" sz="800">
                                <a:latin typeface="Cambria Math" panose="02040503050406030204" pitchFamily="18" charset="0"/>
                              </a:rPr>
                              <m:t>receitas</m:t>
                            </m:r>
                            <m:r>
                              <a:rPr lang="pt-BR" sz="800">
                                <a:latin typeface="Cambria Math" panose="02040503050406030204" pitchFamily="18" charset="0"/>
                              </a:rPr>
                              <m:t>−</m:t>
                            </m:r>
                            <m:r>
                              <m:rPr>
                                <m:sty m:val="p"/>
                              </m:rPr>
                              <a:rPr lang="pt-BR" sz="800">
                                <a:latin typeface="Cambria Math" panose="02040503050406030204" pitchFamily="18" charset="0"/>
                              </a:rPr>
                              <m:t>Despesas</m:t>
                            </m:r>
                            <m:r>
                              <a:rPr lang="pt-BR" sz="800">
                                <a:latin typeface="Cambria Math" panose="02040503050406030204" pitchFamily="18" charset="0"/>
                              </a:rPr>
                              <m:t> </m:t>
                            </m:r>
                            <m:r>
                              <m:rPr>
                                <m:sty m:val="p"/>
                              </m:rPr>
                              <a:rPr lang="pt-BR" sz="800">
                                <a:latin typeface="Cambria Math" panose="02040503050406030204" pitchFamily="18" charset="0"/>
                              </a:rPr>
                              <m:t>tribut</m:t>
                            </m:r>
                            <m:r>
                              <a:rPr lang="pt-BR" sz="800">
                                <a:latin typeface="Cambria Math" panose="02040503050406030204" pitchFamily="18" charset="0"/>
                              </a:rPr>
                              <m:t>á</m:t>
                            </m:r>
                            <m:r>
                              <m:rPr>
                                <m:sty m:val="p"/>
                              </m:rPr>
                              <a:rPr lang="pt-BR" sz="800">
                                <a:latin typeface="Cambria Math" panose="02040503050406030204" pitchFamily="18" charset="0"/>
                              </a:rPr>
                              <m:t>rias</m:t>
                            </m:r>
                            <m:r>
                              <m:rPr>
                                <m:nor/>
                              </m:rPr>
                              <a:rPr lang="pt-BR" sz="800">
                                <a:latin typeface="Calibri" panose="020F0502020204030204" pitchFamily="34" charset="0"/>
                                <a:cs typeface="Calibri" panose="020F0502020204030204" pitchFamily="34" charset="0"/>
                              </a:rPr>
                              <m:t> </m:t>
                            </m:r>
                          </m:e>
                        </m:eqArr>
                      </m:den>
                    </m:f>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Margem bruta por cliente ativo bruta de despesas de juros:</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r>
                      <m:rPr>
                        <m:sty m:val="p"/>
                      </m:rPr>
                      <a:rPr lang="pt-BR" sz="800" b="0" i="0">
                        <a:latin typeface="Cambria Math" panose="02040503050406030204" pitchFamily="18" charset="0"/>
                        <a:ea typeface="Inter" panose="020B0502030000000004" pitchFamily="34" charset="0"/>
                      </a:rPr>
                      <m:t>ARPAC</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Bruto</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Despesas</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Juros</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Custo</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Servir</m:t>
                    </m:r>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Margem bruta por cliente ativo líquida de despesas de juros:</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r>
                      <m:rPr>
                        <m:sty m:val="p"/>
                      </m:rPr>
                      <a:rPr lang="pt-BR" sz="800" b="0" i="0">
                        <a:latin typeface="Cambria Math" panose="02040503050406030204" pitchFamily="18" charset="0"/>
                        <a:ea typeface="Inter" panose="020B0502030000000004" pitchFamily="34" charset="0"/>
                      </a:rPr>
                      <m:t>ARPAC</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L</m:t>
                    </m:r>
                    <m:r>
                      <a:rPr lang="pt-BR" sz="800" i="0">
                        <a:latin typeface="Cambria Math" panose="02040503050406030204" pitchFamily="18" charset="0"/>
                        <a:ea typeface="Inter" panose="020B0502030000000004" pitchFamily="34" charset="0"/>
                      </a:rPr>
                      <m:t>í</m:t>
                    </m:r>
                    <m:r>
                      <m:rPr>
                        <m:sty m:val="p"/>
                      </m:rPr>
                      <a:rPr lang="pt-BR" sz="800" b="0" i="0">
                        <a:latin typeface="Cambria Math" panose="02040503050406030204" pitchFamily="18" charset="0"/>
                        <a:ea typeface="Inter" panose="020B0502030000000004" pitchFamily="34" charset="0"/>
                      </a:rPr>
                      <m:t>quido</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Despesas</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Juros</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Custo</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Servir</m:t>
                    </m:r>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xdr:txBody>
        </xdr:sp>
      </mc:Choice>
      <mc:Fallback xmlns="">
        <xdr:sp macro="" textlink="">
          <xdr:nvSpPr>
            <xdr:cNvPr id="50" name="Retângulo 9">
              <a:extLst>
                <a:ext uri="{FF2B5EF4-FFF2-40B4-BE49-F238E27FC236}">
                  <a16:creationId xmlns:a16="http://schemas.microsoft.com/office/drawing/2014/main" id="{35CA3697-EE6E-6784-3C77-9E55A4DD6727}"/>
                </a:ext>
              </a:extLst>
            </xdr:cNvPr>
            <xdr:cNvSpPr/>
          </xdr:nvSpPr>
          <xdr:spPr>
            <a:xfrm>
              <a:off x="6761357" y="25854707"/>
              <a:ext cx="5774108" cy="565250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cobertura:</a:t>
              </a:r>
            </a:p>
            <a:p>
              <a:endParaRPr lang="en-US" sz="8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r>
                <a:rPr lang="pt-BR" sz="800" i="0">
                  <a:latin typeface="Cambria Math" panose="02040503050406030204" pitchFamily="18" charset="0"/>
                </a:rPr>
                <a:t>(</a:t>
              </a:r>
              <a:r>
                <a:rPr lang="pt-BR" sz="800" b="0" i="0">
                  <a:latin typeface="Cambria Math" panose="02040503050406030204" pitchFamily="18" charset="0"/>
                </a:rPr>
                <a:t>Provis</a:t>
              </a:r>
              <a:r>
                <a:rPr lang="pt-BR" sz="800" i="0">
                  <a:latin typeface="Cambria Math" panose="02040503050406030204" pitchFamily="18" charset="0"/>
                </a:rPr>
                <a:t>ã</a:t>
              </a:r>
              <a:r>
                <a:rPr lang="pt-BR" sz="800" b="0" i="0">
                  <a:latin typeface="Cambria Math" panose="02040503050406030204" pitchFamily="18" charset="0"/>
                </a:rPr>
                <a:t>o de perdas esperadas)/(</a:t>
              </a:r>
              <a:r>
                <a:rPr lang="pt-BR" sz="800" i="0">
                  <a:latin typeface="Cambria Math" panose="02040503050406030204" pitchFamily="18" charset="0"/>
                </a:rPr>
                <a:t>NPL&gt; 90 dias)</a:t>
              </a:r>
              <a:endParaRPr lang="en-US" sz="800">
                <a:latin typeface="Calibri" panose="020F0502020204030204" pitchFamily="34" charset="0"/>
                <a:ea typeface="Inter Light BETA" panose="020B04020300000000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eficiência:</a:t>
              </a:r>
            </a:p>
            <a:p>
              <a:pPr algn="ctr"/>
              <a:endParaRPr lang="en-US" sz="800">
                <a:latin typeface="Calibri" panose="020F0502020204030204" pitchFamily="34" charset="0"/>
                <a:ea typeface="Inter" panose="020B0502030000000004" pitchFamily="34" charset="0"/>
                <a:cs typeface="Calibri" panose="020F0502020204030204" pitchFamily="34" charset="0"/>
              </a:endParaRPr>
            </a:p>
            <a:p>
              <a:pPr algn="ctr"/>
              <a:r>
                <a:rPr lang="pt-BR" sz="800" i="0">
                  <a:latin typeface="Cambria Math" panose="02040503050406030204" pitchFamily="18" charset="0"/>
                </a:rPr>
                <a:t>█( @Despesa de pessoal+Despesas administrativas</a:t>
              </a:r>
              <a:r>
                <a:rPr lang="pt-BR" sz="800" b="0" i="0">
                  <a:latin typeface="Cambria Math" panose="02040503050406030204" pitchFamily="18" charset="0"/>
                </a:rPr>
                <a:t>+Deprecia</a:t>
              </a:r>
              <a:r>
                <a:rPr lang="pt-BR" sz="800" i="0">
                  <a:latin typeface="Cambria Math" panose="02040503050406030204" pitchFamily="18" charset="0"/>
                </a:rPr>
                <a:t>çã</a:t>
              </a:r>
              <a:r>
                <a:rPr lang="pt-BR" sz="800" b="0" i="0">
                  <a:latin typeface="Cambria Math" panose="02040503050406030204" pitchFamily="18" charset="0"/>
                </a:rPr>
                <a:t>o e amortiza</a:t>
              </a:r>
              <a:r>
                <a:rPr lang="pt-BR" sz="800" i="0">
                  <a:latin typeface="Cambria Math" panose="02040503050406030204" pitchFamily="18" charset="0"/>
                </a:rPr>
                <a:t>çã</a:t>
              </a:r>
              <a:r>
                <a:rPr lang="pt-BR" sz="800" b="0" i="0">
                  <a:latin typeface="Cambria Math" panose="02040503050406030204" pitchFamily="18" charset="0"/>
                </a:rPr>
                <a:t>o)/█(</a:t>
              </a:r>
              <a:r>
                <a:rPr lang="pt-BR" sz="800" i="0">
                  <a:latin typeface="Cambria Math" panose="02040503050406030204" pitchFamily="18" charset="0"/>
                </a:rPr>
                <a:t>Receita de juros+Resultado líquido de serviços e comissões+"</a:t>
              </a:r>
              <a:r>
                <a:rPr lang="pt-BR" sz="800" i="0">
                  <a:latin typeface="Calibri" panose="020F0502020204030204" pitchFamily="34" charset="0"/>
                  <a:cs typeface="Calibri" panose="020F0502020204030204" pitchFamily="34" charset="0"/>
                </a:rPr>
                <a:t> </a:t>
              </a:r>
              <a:r>
                <a:rPr lang="en-US" sz="800" i="0">
                  <a:latin typeface="Cambria Math" panose="02040503050406030204" pitchFamily="18" charset="0"/>
                  <a:cs typeface="Calibri" panose="020F0502020204030204" pitchFamily="34" charset="0"/>
                </a:rPr>
                <a:t>" </a:t>
              </a:r>
              <a:r>
                <a:rPr lang="en-US" sz="800" i="0">
                  <a:latin typeface="Cambria Math" panose="02040503050406030204" pitchFamily="18" charset="0"/>
                  <a:cs typeface="Sora" pitchFamily="2" charset="0"/>
                </a:rPr>
                <a:t>Re</a:t>
              </a:r>
              <a:r>
                <a:rPr lang="pt-BR" sz="800" i="0">
                  <a:latin typeface="Cambria Math" panose="02040503050406030204" pitchFamily="18" charset="0"/>
                  <a:cs typeface="Sora" pitchFamily="2" charset="0"/>
                </a:rPr>
                <a:t>sultado</a:t>
              </a:r>
              <a:r>
                <a:rPr lang="en-US" sz="800" i="0">
                  <a:latin typeface="Cambria Math" panose="02040503050406030204" pitchFamily="18" charset="0"/>
                  <a:cs typeface="Sora" pitchFamily="2" charset="0"/>
                </a:rPr>
                <a:t> de títulos e</a:t>
              </a:r>
              <a:r>
                <a:rPr lang="pt-BR" sz="800" b="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valores</a:t>
              </a:r>
              <a:r>
                <a:rPr lang="pt-BR" sz="800" b="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mobiliários</a:t>
              </a:r>
              <a:r>
                <a:rPr lang="pt-BR" sz="800" i="0">
                  <a:latin typeface="Cambria Math" panose="02040503050406030204" pitchFamily="18" charset="0"/>
                  <a:cs typeface="Sora" pitchFamily="2" charset="0"/>
                </a:rPr>
                <a:t> e derivativos</a:t>
              </a:r>
              <a:r>
                <a:rPr lang="pt-BR" sz="800" i="0">
                  <a:latin typeface="Cambria Math" panose="02040503050406030204" pitchFamily="18" charset="0"/>
                </a:rPr>
                <a:t>+ Outras@receitas−Despesas tributárias"</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 </a:t>
              </a:r>
              <a:r>
                <a:rPr lang="pt-BR" sz="800" i="0">
                  <a:latin typeface="Cambria Math" panose="02040503050406030204" pitchFamily="18" charset="0"/>
                </a:rPr>
                <a:t> </a:t>
              </a:r>
              <a:endParaRPr lang="en-US" sz="800" b="1">
                <a:latin typeface="Calibri" panose="020F0502020204030204" pitchFamily="34" charset="0"/>
                <a:cs typeface="Calibri" panose="020F0502020204030204" pitchFamily="34" charset="0"/>
              </a:endParaRPr>
            </a:p>
            <a:p>
              <a:pPr algn="ct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eficiência administrativo:</a:t>
              </a:r>
            </a:p>
            <a:p>
              <a:pPr algn="ctr"/>
              <a:endParaRPr lang="en-US" sz="800">
                <a:latin typeface="Calibri" panose="020F0502020204030204" pitchFamily="34" charset="0"/>
                <a:ea typeface="Inter" panose="020B0502030000000004" pitchFamily="34" charset="0"/>
                <a:cs typeface="Calibri" panose="020F0502020204030204" pitchFamily="34" charset="0"/>
              </a:endParaRPr>
            </a:p>
            <a:p>
              <a:pPr algn="ctr"/>
              <a:r>
                <a:rPr lang="pt-BR" sz="800" i="0">
                  <a:latin typeface="Cambria Math" panose="02040503050406030204" pitchFamily="18" charset="0"/>
                </a:rPr>
                <a:t>(Despesas administrativas+Depreciação e amortização)/█(Receita de juros+Resultado líquido de serviços e comissões+"</a:t>
              </a:r>
              <a:r>
                <a:rPr lang="pt-BR" sz="800" i="0">
                  <a:latin typeface="Calibri" panose="020F0502020204030204" pitchFamily="34" charset="0"/>
                  <a:cs typeface="Calibri" panose="020F0502020204030204" pitchFamily="34" charset="0"/>
                </a:rPr>
                <a:t> </a:t>
              </a:r>
              <a:r>
                <a:rPr lang="en-US" sz="800" i="0">
                  <a:latin typeface="Cambria Math" panose="02040503050406030204" pitchFamily="18" charset="0"/>
                  <a:cs typeface="Calibri" panose="020F0502020204030204" pitchFamily="34" charset="0"/>
                </a:rPr>
                <a:t>" </a:t>
              </a:r>
              <a:r>
                <a:rPr lang="en-US" sz="800" i="0">
                  <a:latin typeface="Cambria Math" panose="02040503050406030204" pitchFamily="18" charset="0"/>
                  <a:cs typeface="Sora" pitchFamily="2" charset="0"/>
                </a:rPr>
                <a:t>Re</a:t>
              </a:r>
              <a:r>
                <a:rPr lang="pt-BR" sz="800" i="0">
                  <a:latin typeface="Cambria Math" panose="02040503050406030204" pitchFamily="18" charset="0"/>
                  <a:cs typeface="Sora" pitchFamily="2" charset="0"/>
                </a:rPr>
                <a:t>sultado</a:t>
              </a:r>
              <a:r>
                <a:rPr lang="en-US" sz="800" i="0">
                  <a:latin typeface="Cambria Math" panose="02040503050406030204" pitchFamily="18" charset="0"/>
                  <a:cs typeface="Sora" pitchFamily="2" charset="0"/>
                </a:rPr>
                <a:t> de títulos e</a:t>
              </a:r>
              <a:r>
                <a:rPr lang="pt-BR" sz="800" b="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valores</a:t>
              </a:r>
              <a:r>
                <a:rPr lang="pt-BR" sz="800" b="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mobiliários</a:t>
              </a:r>
              <a:r>
                <a:rPr lang="pt-BR" sz="800" i="0">
                  <a:latin typeface="Cambria Math" panose="02040503050406030204" pitchFamily="18" charset="0"/>
                  <a:cs typeface="Sora" pitchFamily="2" charset="0"/>
                </a:rPr>
                <a:t> e derivativos</a:t>
              </a:r>
              <a:r>
                <a:rPr lang="pt-BR" sz="800" i="0">
                  <a:latin typeface="Cambria Math" panose="02040503050406030204" pitchFamily="18" charset="0"/>
                </a:rPr>
                <a:t>+ Outras@receitas−Despesas tributárias"</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eficiência de pessoal:</a:t>
              </a:r>
            </a:p>
            <a:p>
              <a:pPr algn="ctr"/>
              <a:endParaRPr lang="en-US" sz="800">
                <a:latin typeface="Calibri" panose="020F0502020204030204" pitchFamily="34" charset="0"/>
                <a:ea typeface="Inter" panose="020B0502030000000004" pitchFamily="34" charset="0"/>
                <a:cs typeface="Calibri" panose="020F0502020204030204" pitchFamily="34" charset="0"/>
              </a:endParaRPr>
            </a:p>
            <a:p>
              <a:pPr algn="ctr"/>
              <a:r>
                <a:rPr lang="pt-BR" sz="800" i="0">
                  <a:latin typeface="Cambria Math" panose="02040503050406030204" pitchFamily="18" charset="0"/>
                </a:rPr>
                <a:t>█( @Despesa de pessoal)/█(Receita de juros+Resultado líquido de serviços e comissões+"</a:t>
              </a:r>
              <a:r>
                <a:rPr lang="pt-BR" sz="800" i="0">
                  <a:latin typeface="Calibri" panose="020F0502020204030204" pitchFamily="34" charset="0"/>
                  <a:cs typeface="Calibri" panose="020F0502020204030204" pitchFamily="34" charset="0"/>
                </a:rPr>
                <a:t> </a:t>
              </a:r>
              <a:r>
                <a:rPr lang="en-US" sz="800" i="0">
                  <a:latin typeface="Cambria Math" panose="02040503050406030204" pitchFamily="18" charset="0"/>
                  <a:cs typeface="Calibri" panose="020F0502020204030204" pitchFamily="34" charset="0"/>
                </a:rPr>
                <a:t>" </a:t>
              </a:r>
              <a:r>
                <a:rPr lang="en-US" sz="800" i="0">
                  <a:latin typeface="Cambria Math" panose="02040503050406030204" pitchFamily="18" charset="0"/>
                  <a:cs typeface="Sora" pitchFamily="2" charset="0"/>
                </a:rPr>
                <a:t>Re</a:t>
              </a:r>
              <a:r>
                <a:rPr lang="pt-BR" sz="800" i="0">
                  <a:latin typeface="Cambria Math" panose="02040503050406030204" pitchFamily="18" charset="0"/>
                  <a:cs typeface="Sora" pitchFamily="2" charset="0"/>
                </a:rPr>
                <a:t>sultado</a:t>
              </a:r>
              <a:r>
                <a:rPr lang="en-US" sz="800" i="0">
                  <a:latin typeface="Cambria Math" panose="02040503050406030204" pitchFamily="18" charset="0"/>
                  <a:cs typeface="Sora" pitchFamily="2" charset="0"/>
                </a:rPr>
                <a:t> de títulos e</a:t>
              </a:r>
              <a:r>
                <a:rPr lang="pt-BR" sz="800" b="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valores</a:t>
              </a:r>
              <a:r>
                <a:rPr lang="pt-BR" sz="800" b="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mobiliários</a:t>
              </a:r>
              <a:r>
                <a:rPr lang="pt-BR" sz="800" i="0">
                  <a:latin typeface="Cambria Math" panose="02040503050406030204" pitchFamily="18" charset="0"/>
                  <a:cs typeface="Sora" pitchFamily="2" charset="0"/>
                </a:rPr>
                <a:t> e derivativos</a:t>
              </a:r>
              <a:r>
                <a:rPr lang="pt-BR" sz="800" i="0">
                  <a:latin typeface="Cambria Math" panose="02040503050406030204" pitchFamily="18" charset="0"/>
                </a:rPr>
                <a:t>+ Outras@receitas−Despesas tributárias"</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Margem bruta por cliente ativo bruta de despesas de juros:</a:t>
              </a:r>
            </a:p>
            <a:p>
              <a:endParaRPr lang="en-US" sz="800" b="1">
                <a:latin typeface="Calibri" panose="020F0502020204030204" pitchFamily="34" charset="0"/>
                <a:cs typeface="Calibri" panose="020F0502020204030204" pitchFamily="34" charset="0"/>
              </a:endParaRPr>
            </a:p>
            <a:p>
              <a:pPr/>
              <a:r>
                <a:rPr lang="pt-BR" sz="800" b="0" i="0">
                  <a:latin typeface="Cambria Math" panose="02040503050406030204" pitchFamily="18" charset="0"/>
                  <a:ea typeface="Inter" panose="020B0502030000000004" pitchFamily="34" charset="0"/>
                </a:rPr>
                <a:t>ARPAC Bruto de Despesas de Juros −Custo de Servir</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Margem bruta por cliente ativo líquida de despesas de juros:</a:t>
              </a:r>
            </a:p>
            <a:p>
              <a:endParaRPr lang="en-US" sz="800" b="1">
                <a:latin typeface="Calibri" panose="020F0502020204030204" pitchFamily="34" charset="0"/>
                <a:cs typeface="Calibri" panose="020F0502020204030204" pitchFamily="34" charset="0"/>
              </a:endParaRPr>
            </a:p>
            <a:p>
              <a:pPr/>
              <a:r>
                <a:rPr lang="pt-BR" sz="800" b="0" i="0">
                  <a:latin typeface="Cambria Math" panose="02040503050406030204" pitchFamily="18" charset="0"/>
                  <a:ea typeface="Inter" panose="020B0502030000000004" pitchFamily="34" charset="0"/>
                </a:rPr>
                <a:t>ARPAC L</a:t>
              </a:r>
              <a:r>
                <a:rPr lang="pt-BR" sz="800" i="0">
                  <a:latin typeface="Cambria Math" panose="02040503050406030204" pitchFamily="18" charset="0"/>
                  <a:ea typeface="Inter" panose="020B0502030000000004" pitchFamily="34" charset="0"/>
                </a:rPr>
                <a:t>í</a:t>
              </a:r>
              <a:r>
                <a:rPr lang="pt-BR" sz="800" b="0" i="0">
                  <a:latin typeface="Cambria Math" panose="02040503050406030204" pitchFamily="18" charset="0"/>
                  <a:ea typeface="Inter" panose="020B0502030000000004" pitchFamily="34" charset="0"/>
                </a:rPr>
                <a:t>quido de Despesas de Juros −Custo de Servir</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xdr:txBody>
        </xdr:sp>
      </mc:Fallback>
    </mc:AlternateContent>
    <xdr:clientData/>
  </xdr:twoCellAnchor>
  <xdr:twoCellAnchor>
    <xdr:from>
      <xdr:col>8</xdr:col>
      <xdr:colOff>177800</xdr:colOff>
      <xdr:row>170</xdr:row>
      <xdr:rowOff>76200</xdr:rowOff>
    </xdr:from>
    <xdr:to>
      <xdr:col>15</xdr:col>
      <xdr:colOff>144745</xdr:colOff>
      <xdr:row>199</xdr:row>
      <xdr:rowOff>79918</xdr:rowOff>
    </xdr:to>
    <mc:AlternateContent xmlns:mc="http://schemas.openxmlformats.org/markup-compatibility/2006" xmlns:a14="http://schemas.microsoft.com/office/drawing/2010/main">
      <mc:Choice Requires="a14">
        <xdr:sp macro="" textlink="">
          <xdr:nvSpPr>
            <xdr:cNvPr id="51" name="Retângulo 9">
              <a:extLst>
                <a:ext uri="{FF2B5EF4-FFF2-40B4-BE49-F238E27FC236}">
                  <a16:creationId xmlns:a16="http://schemas.microsoft.com/office/drawing/2014/main" id="{00000000-0008-0000-1600-000033000000}"/>
                </a:ext>
              </a:extLst>
            </xdr:cNvPr>
            <xdr:cNvSpPr/>
          </xdr:nvSpPr>
          <xdr:spPr>
            <a:xfrm>
              <a:off x="6803887" y="31366055"/>
              <a:ext cx="5764771" cy="534139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NIM 1.0 - Baseado na carteira remunerada + recebíveis de cartão de crédito não remunerados</a:t>
              </a:r>
              <a:br>
                <a:rPr lang="en-US" sz="800" b="1">
                  <a:latin typeface="Calibri" panose="020F0502020204030204" pitchFamily="34" charset="0"/>
                  <a:cs typeface="Calibri" panose="020F0502020204030204" pitchFamily="34" charset="0"/>
                </a:rPr>
              </a:br>
              <a:endParaRPr lang="en-US" sz="800" b="1">
                <a:latin typeface="Calibri" panose="020F05020202040302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a:latin typeface="Cambria Math" panose="02040503050406030204" pitchFamily="18" charset="0"/>
                          </a:rPr>
                          <m:t>Resultado</m:t>
                        </m:r>
                        <m:r>
                          <a:rPr lang="pt-BR" sz="800">
                            <a:latin typeface="Cambria Math" panose="02040503050406030204" pitchFamily="18" charset="0"/>
                          </a:rPr>
                          <m:t> </m:t>
                        </m:r>
                        <m:r>
                          <m:rPr>
                            <m:sty m:val="p"/>
                          </m:rPr>
                          <a:rPr lang="pt-BR" sz="800">
                            <a:latin typeface="Cambria Math" panose="02040503050406030204" pitchFamily="18" charset="0"/>
                          </a:rPr>
                          <m:t>l</m:t>
                        </m:r>
                        <m:r>
                          <a:rPr lang="pt-BR" sz="800">
                            <a:latin typeface="Cambria Math" panose="02040503050406030204" pitchFamily="18" charset="0"/>
                          </a:rPr>
                          <m:t>í</m:t>
                        </m:r>
                        <m:r>
                          <m:rPr>
                            <m:sty m:val="p"/>
                          </m:rPr>
                          <a:rPr lang="pt-BR" sz="800">
                            <a:latin typeface="Cambria Math" panose="02040503050406030204" pitchFamily="18" charset="0"/>
                          </a:rPr>
                          <m:t>quido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juros</m:t>
                        </m:r>
                        <m:r>
                          <a:rPr lang="pt-BR" sz="800">
                            <a:latin typeface="Cambria Math" panose="02040503050406030204" pitchFamily="18" charset="0"/>
                          </a:rPr>
                          <m:t> </m:t>
                        </m:r>
                        <m:r>
                          <m:rPr>
                            <m:sty m:val="p"/>
                          </m:rPr>
                          <a:rPr lang="pt-BR" sz="800">
                            <a:latin typeface="Cambria Math" panose="02040503050406030204" pitchFamily="18" charset="0"/>
                          </a:rPr>
                          <m:t>x</m:t>
                        </m:r>
                        <m:r>
                          <a:rPr lang="pt-BR" sz="800">
                            <a:latin typeface="Cambria Math" panose="02040503050406030204" pitchFamily="18" charset="0"/>
                          </a:rPr>
                          <m:t> 4</m:t>
                        </m:r>
                      </m:num>
                      <m:den>
                        <m:eqArr>
                          <m:eqArrPr>
                            <m:ctrlPr>
                              <a:rPr lang="pt-BR" sz="800" i="1">
                                <a:latin typeface="Cambria Math" panose="02040503050406030204" pitchFamily="18" charset="0"/>
                              </a:rPr>
                            </m:ctrlPr>
                          </m:eqArrPr>
                          <m:e>
                            <m:r>
                              <m:rPr>
                                <m:sty m:val="p"/>
                              </m:rPr>
                              <a:rPr lang="pt-BR" sz="800" i="0">
                                <a:latin typeface="Cambria Math" panose="02040503050406030204" pitchFamily="18" charset="0"/>
                              </a:rPr>
                              <m:t>M</m:t>
                            </m:r>
                            <m:r>
                              <a:rPr lang="pt-BR" sz="800" i="0">
                                <a:latin typeface="Cambria Math" panose="02040503050406030204" pitchFamily="18" charset="0"/>
                              </a:rPr>
                              <m:t>é</m:t>
                            </m:r>
                            <m:r>
                              <m:rPr>
                                <m:sty m:val="p"/>
                              </m:rPr>
                              <a:rPr lang="pt-BR" sz="800" i="0">
                                <a:latin typeface="Cambria Math" panose="02040503050406030204" pitchFamily="18" charset="0"/>
                              </a:rPr>
                              <m:t>dia</m:t>
                            </m:r>
                            <m:r>
                              <a:rPr lang="pt-BR" sz="800" i="0">
                                <a:latin typeface="Cambria Math" panose="02040503050406030204" pitchFamily="18" charset="0"/>
                              </a:rPr>
                              <m:t> </m:t>
                            </m:r>
                            <m:r>
                              <m:rPr>
                                <m:sty m:val="p"/>
                              </m:rPr>
                              <a:rPr lang="pt-BR" sz="800" i="0">
                                <a:latin typeface="Cambria Math" panose="02040503050406030204" pitchFamily="18" charset="0"/>
                              </a:rPr>
                              <m:t>da</m:t>
                            </m:r>
                            <m:r>
                              <a:rPr lang="pt-BR" sz="800" i="0">
                                <a:latin typeface="Cambria Math" panose="02040503050406030204" pitchFamily="18" charset="0"/>
                              </a:rPr>
                              <m:t> </m:t>
                            </m:r>
                            <m:r>
                              <m:rPr>
                                <m:sty m:val="p"/>
                              </m:rPr>
                              <a:rPr lang="pt-BR" sz="800" i="0">
                                <a:latin typeface="Cambria Math" panose="02040503050406030204" pitchFamily="18" charset="0"/>
                              </a:rPr>
                              <m:t>carteira</m:t>
                            </m:r>
                            <m:r>
                              <a:rPr lang="pt-BR" sz="800" i="0">
                                <a:latin typeface="Cambria Math" panose="02040503050406030204" pitchFamily="18" charset="0"/>
                              </a:rPr>
                              <m:t> </m:t>
                            </m:r>
                            <m:r>
                              <m:rPr>
                                <m:sty m:val="p"/>
                              </m:rPr>
                              <a:rPr lang="pt-BR" sz="800" i="0">
                                <a:latin typeface="Cambria Math" panose="02040503050406030204" pitchFamily="18" charset="0"/>
                              </a:rPr>
                              <m:t>remunerada</m:t>
                            </m:r>
                            <m:r>
                              <a:rPr lang="pt-BR" sz="800" i="0">
                                <a:latin typeface="Cambria Math" panose="02040503050406030204" pitchFamily="18" charset="0"/>
                              </a:rPr>
                              <m:t> </m:t>
                            </m:r>
                            <m:r>
                              <m:rPr>
                                <m:sty m:val="p"/>
                              </m:rPr>
                              <a:rPr lang="pt-BR" sz="800" i="0">
                                <a:latin typeface="Cambria Math" panose="02040503050406030204" pitchFamily="18" charset="0"/>
                              </a:rPr>
                              <m:t>dos</m:t>
                            </m:r>
                            <m:r>
                              <a:rPr lang="pt-BR" sz="800" i="0">
                                <a:latin typeface="Cambria Math" panose="02040503050406030204" pitchFamily="18" charset="0"/>
                              </a:rPr>
                              <m:t> ú</m:t>
                            </m:r>
                            <m:r>
                              <m:rPr>
                                <m:sty m:val="p"/>
                              </m:rPr>
                              <a:rPr lang="pt-BR" sz="800" i="0">
                                <a:latin typeface="Cambria Math" panose="02040503050406030204" pitchFamily="18" charset="0"/>
                              </a:rPr>
                              <m:t>ltimos</m:t>
                            </m:r>
                            <m:r>
                              <a:rPr lang="pt-BR" sz="800" i="0">
                                <a:latin typeface="Cambria Math" panose="02040503050406030204" pitchFamily="18" charset="0"/>
                              </a:rPr>
                              <m:t> 2 </m:t>
                            </m:r>
                            <m:r>
                              <m:rPr>
                                <m:sty m:val="p"/>
                              </m:rPr>
                              <a:rPr lang="pt-BR" sz="800" i="0">
                                <a:latin typeface="Cambria Math" panose="02040503050406030204" pitchFamily="18" charset="0"/>
                              </a:rPr>
                              <m:t>trimestres</m:t>
                            </m:r>
                            <m:r>
                              <a:rPr lang="pt-BR" sz="800" i="0">
                                <a:latin typeface="Cambria Math" panose="02040503050406030204" pitchFamily="18" charset="0"/>
                              </a:rPr>
                              <m:t> (</m:t>
                            </m:r>
                            <m:r>
                              <m:rPr>
                                <m:sty m:val="p"/>
                              </m:rPr>
                              <a:rPr lang="pt-BR" sz="800" i="0">
                                <a:latin typeface="Cambria Math" panose="02040503050406030204" pitchFamily="18" charset="0"/>
                              </a:rPr>
                              <m:t>Empr</m:t>
                            </m:r>
                            <m:r>
                              <a:rPr lang="pt-BR" sz="800" i="0">
                                <a:latin typeface="Cambria Math" panose="02040503050406030204" pitchFamily="18" charset="0"/>
                              </a:rPr>
                              <m:t>é</m:t>
                            </m:r>
                            <m:r>
                              <m:rPr>
                                <m:sty m:val="p"/>
                              </m:rPr>
                              <a:rPr lang="pt-BR" sz="800" i="0">
                                <a:latin typeface="Cambria Math" panose="02040503050406030204" pitchFamily="18" charset="0"/>
                              </a:rPr>
                              <m:t>stimos</m:t>
                            </m:r>
                            <m:r>
                              <a:rPr lang="pt-BR" sz="800" i="0">
                                <a:latin typeface="Cambria Math" panose="02040503050406030204" pitchFamily="18" charset="0"/>
                              </a:rPr>
                              <m:t> </m:t>
                            </m:r>
                            <m:r>
                              <m:rPr>
                                <m:sty m:val="p"/>
                              </m:rPr>
                              <a:rPr lang="pt-BR" sz="800" i="0">
                                <a:latin typeface="Cambria Math" panose="02040503050406030204" pitchFamily="18" charset="0"/>
                              </a:rPr>
                              <m:t>a</m:t>
                            </m:r>
                            <m:r>
                              <a:rPr lang="pt-BR" sz="800" i="0">
                                <a:latin typeface="Cambria Math" panose="02040503050406030204" pitchFamily="18" charset="0"/>
                              </a:rPr>
                              <m:t> </m:t>
                            </m:r>
                            <m:r>
                              <m:rPr>
                                <m:sty m:val="p"/>
                              </m:rPr>
                              <a:rPr lang="pt-BR" sz="800" i="0">
                                <a:latin typeface="Cambria Math" panose="02040503050406030204" pitchFamily="18" charset="0"/>
                              </a:rPr>
                              <m:t>institui</m:t>
                            </m:r>
                            <m:r>
                              <a:rPr lang="pt-BR" sz="800" i="0">
                                <a:latin typeface="Cambria Math" panose="02040503050406030204" pitchFamily="18" charset="0"/>
                              </a:rPr>
                              <m:t>çõ</m:t>
                            </m:r>
                            <m:r>
                              <m:rPr>
                                <m:sty m:val="p"/>
                              </m:rPr>
                              <a:rPr lang="pt-BR" sz="800" i="0">
                                <a:latin typeface="Cambria Math" panose="02040503050406030204" pitchFamily="18" charset="0"/>
                              </a:rPr>
                              <m:t>es</m:t>
                            </m:r>
                            <m:r>
                              <a:rPr lang="pt-BR" sz="800" i="0">
                                <a:latin typeface="Cambria Math" panose="02040503050406030204" pitchFamily="18" charset="0"/>
                              </a:rPr>
                              <m:t> </m:t>
                            </m:r>
                            <m:r>
                              <m:rPr>
                                <m:sty m:val="p"/>
                              </m:rPr>
                              <a:rPr lang="pt-BR" sz="800" i="0">
                                <a:latin typeface="Cambria Math" panose="02040503050406030204" pitchFamily="18" charset="0"/>
                              </a:rPr>
                              <m:t>financeiras</m:t>
                            </m:r>
                            <m:r>
                              <a:rPr lang="pt-BR" sz="800">
                                <a:latin typeface="Cambria Math" panose="02040503050406030204" pitchFamily="18" charset="0"/>
                              </a:rPr>
                              <m:t>+ </m:t>
                            </m:r>
                            <m:r>
                              <m:rPr>
                                <m:sty m:val="p"/>
                              </m:rPr>
                              <a:rPr lang="pt-BR" sz="800">
                                <a:latin typeface="Cambria Math" panose="02040503050406030204" pitchFamily="18" charset="0"/>
                              </a:rPr>
                              <m:t>Valores</m:t>
                            </m:r>
                            <m:r>
                              <a:rPr lang="pt-BR" sz="800">
                                <a:latin typeface="Cambria Math" panose="02040503050406030204" pitchFamily="18" charset="0"/>
                              </a:rPr>
                              <m:t> </m:t>
                            </m:r>
                            <m:r>
                              <m:rPr>
                                <m:sty m:val="p"/>
                              </m:rPr>
                              <a:rPr lang="pt-BR" sz="800">
                                <a:latin typeface="Cambria Math" panose="02040503050406030204" pitchFamily="18" charset="0"/>
                              </a:rPr>
                              <m:t>Mobili</m:t>
                            </m:r>
                            <m:r>
                              <a:rPr lang="pt-BR" sz="800">
                                <a:latin typeface="Cambria Math" panose="02040503050406030204" pitchFamily="18" charset="0"/>
                              </a:rPr>
                              <m:t>á</m:t>
                            </m:r>
                            <m:r>
                              <m:rPr>
                                <m:sty m:val="p"/>
                              </m:rPr>
                              <a:rPr lang="pt-BR" sz="800">
                                <a:latin typeface="Cambria Math" panose="02040503050406030204" pitchFamily="18" charset="0"/>
                              </a:rPr>
                              <m:t>rios</m:t>
                            </m:r>
                            <m:r>
                              <a:rPr lang="pt-BR" sz="800">
                                <a:latin typeface="Cambria Math" panose="02040503050406030204" pitchFamily="18" charset="0"/>
                              </a:rPr>
                              <m:t> + </m:t>
                            </m:r>
                          </m:e>
                          <m:e>
                            <m:r>
                              <m:rPr>
                                <m:sty m:val="p"/>
                              </m:rPr>
                              <a:rPr lang="pt-BR" sz="800" i="0">
                                <a:latin typeface="Cambria Math" panose="02040503050406030204" pitchFamily="18" charset="0"/>
                              </a:rPr>
                              <m:t>Derivativos</m:t>
                            </m:r>
                            <m:r>
                              <a:rPr lang="pt-BR" sz="800" i="0">
                                <a:latin typeface="Cambria Math" panose="02040503050406030204" pitchFamily="18" charset="0"/>
                              </a:rPr>
                              <m:t> + </m:t>
                            </m:r>
                            <m:r>
                              <m:rPr>
                                <m:sty m:val="p"/>
                              </m:rPr>
                              <a:rPr lang="pt-BR" sz="800" i="0">
                                <a:latin typeface="Cambria Math" panose="02040503050406030204" pitchFamily="18" charset="0"/>
                              </a:rPr>
                              <m:t>Empr</m:t>
                            </m:r>
                            <m:r>
                              <a:rPr lang="pt-BR" sz="800" i="0">
                                <a:latin typeface="Cambria Math" panose="02040503050406030204" pitchFamily="18" charset="0"/>
                              </a:rPr>
                              <m:t>é</m:t>
                            </m:r>
                            <m:r>
                              <m:rPr>
                                <m:sty m:val="p"/>
                              </m:rPr>
                              <a:rPr lang="pt-BR" sz="800" i="0">
                                <a:latin typeface="Cambria Math" panose="02040503050406030204" pitchFamily="18" charset="0"/>
                              </a:rPr>
                              <m:t>stimos</m:t>
                            </m:r>
                            <m:r>
                              <a:rPr lang="pt-BR" sz="800" i="0">
                                <a:latin typeface="Cambria Math" panose="02040503050406030204" pitchFamily="18" charset="0"/>
                              </a:rPr>
                              <m:t> </m:t>
                            </m:r>
                            <m:r>
                              <m:rPr>
                                <m:sty m:val="p"/>
                              </m:rPr>
                              <a:rPr lang="pt-BR" sz="800" i="0">
                                <a:latin typeface="Cambria Math" panose="02040503050406030204" pitchFamily="18" charset="0"/>
                              </a:rPr>
                              <m:t>e</m:t>
                            </m:r>
                            <m:r>
                              <a:rPr lang="pt-BR" sz="800" i="0">
                                <a:latin typeface="Cambria Math" panose="02040503050406030204" pitchFamily="18" charset="0"/>
                              </a:rPr>
                              <m:t> </m:t>
                            </m:r>
                            <m:r>
                              <m:rPr>
                                <m:sty m:val="p"/>
                              </m:rPr>
                              <a:rPr lang="pt-BR" sz="800" i="0">
                                <a:latin typeface="Cambria Math" panose="02040503050406030204" pitchFamily="18" charset="0"/>
                              </a:rPr>
                              <m:t>adiantamentos</m:t>
                            </m:r>
                            <m:r>
                              <a:rPr lang="pt-BR" sz="800" i="0">
                                <a:latin typeface="Cambria Math" panose="02040503050406030204" pitchFamily="18" charset="0"/>
                              </a:rPr>
                              <m:t> </m:t>
                            </m:r>
                            <m:r>
                              <m:rPr>
                                <m:sty m:val="p"/>
                              </m:rPr>
                              <a:rPr lang="pt-BR" sz="800" i="0">
                                <a:latin typeface="Cambria Math" panose="02040503050406030204" pitchFamily="18" charset="0"/>
                              </a:rPr>
                              <m:t>a</m:t>
                            </m:r>
                            <m:r>
                              <a:rPr lang="pt-BR" sz="800" i="0">
                                <a:latin typeface="Cambria Math" panose="02040503050406030204" pitchFamily="18" charset="0"/>
                              </a:rPr>
                              <m:t> </m:t>
                            </m:r>
                            <m:r>
                              <m:rPr>
                                <m:sty m:val="p"/>
                              </m:rPr>
                              <a:rPr lang="pt-BR" sz="800" i="0">
                                <a:latin typeface="Cambria Math" panose="02040503050406030204" pitchFamily="18" charset="0"/>
                              </a:rPr>
                              <m:t>clientes</m:t>
                            </m:r>
                            <m:r>
                              <a:rPr lang="pt-BR" sz="800" b="0" i="0">
                                <a:latin typeface="Cambria Math" panose="02040503050406030204" pitchFamily="18" charset="0"/>
                              </a:rPr>
                              <m:t>)</m:t>
                            </m:r>
                          </m:e>
                        </m:eqArr>
                      </m:den>
                    </m:f>
                    <m:r>
                      <a:rPr lang="pt-BR" sz="800" i="0">
                        <a:latin typeface="Cambria Math" panose="02040503050406030204" pitchFamily="18" charset="0"/>
                      </a:rPr>
                      <m:t> </m:t>
                    </m:r>
                  </m:oMath>
                </m:oMathPara>
              </a14:m>
              <a:endParaRPr lang="en-US" sz="800" b="1">
                <a:latin typeface="Calibri" panose="020F0502020204030204" pitchFamily="34" charset="0"/>
                <a:cs typeface="Calibri" panose="020F0502020204030204" pitchFamily="34" charset="0"/>
              </a:endParaRPr>
            </a:p>
            <a:p>
              <a:pPr algn="ct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NIM 2.0 - Baseado na carteira remunerada</a:t>
              </a:r>
              <a:br>
                <a:rPr lang="en-US" sz="800" b="1">
                  <a:latin typeface="Calibri" panose="020F0502020204030204" pitchFamily="34" charset="0"/>
                  <a:cs typeface="Calibri" panose="020F0502020204030204" pitchFamily="34" charset="0"/>
                </a:rPr>
              </a:br>
              <a:endParaRPr lang="en-US" sz="800" b="1">
                <a:latin typeface="Calibri" panose="020F05020202040302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a:latin typeface="Cambria Math" panose="02040503050406030204" pitchFamily="18" charset="0"/>
                          </a:rPr>
                          <m:t>Resultado</m:t>
                        </m:r>
                        <m:r>
                          <a:rPr lang="pt-BR" sz="800">
                            <a:latin typeface="Cambria Math" panose="02040503050406030204" pitchFamily="18" charset="0"/>
                          </a:rPr>
                          <m:t> </m:t>
                        </m:r>
                        <m:r>
                          <m:rPr>
                            <m:sty m:val="p"/>
                          </m:rPr>
                          <a:rPr lang="pt-BR" sz="800">
                            <a:latin typeface="Cambria Math" panose="02040503050406030204" pitchFamily="18" charset="0"/>
                          </a:rPr>
                          <m:t>l</m:t>
                        </m:r>
                        <m:r>
                          <a:rPr lang="pt-BR" sz="800">
                            <a:latin typeface="Cambria Math" panose="02040503050406030204" pitchFamily="18" charset="0"/>
                          </a:rPr>
                          <m:t>í</m:t>
                        </m:r>
                        <m:r>
                          <m:rPr>
                            <m:sty m:val="p"/>
                          </m:rPr>
                          <a:rPr lang="pt-BR" sz="800">
                            <a:latin typeface="Cambria Math" panose="02040503050406030204" pitchFamily="18" charset="0"/>
                          </a:rPr>
                          <m:t>quido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juros</m:t>
                        </m:r>
                        <m:r>
                          <a:rPr lang="pt-BR" sz="800">
                            <a:latin typeface="Cambria Math" panose="02040503050406030204" pitchFamily="18" charset="0"/>
                          </a:rPr>
                          <m:t> </m:t>
                        </m:r>
                        <m:r>
                          <m:rPr>
                            <m:sty m:val="p"/>
                          </m:rPr>
                          <a:rPr lang="pt-BR" sz="800">
                            <a:latin typeface="Cambria Math" panose="02040503050406030204" pitchFamily="18" charset="0"/>
                          </a:rPr>
                          <m:t>x</m:t>
                        </m:r>
                        <m:r>
                          <a:rPr lang="pt-BR" sz="800">
                            <a:latin typeface="Cambria Math" panose="02040503050406030204" pitchFamily="18" charset="0"/>
                          </a:rPr>
                          <m:t> 4</m:t>
                        </m:r>
                      </m:num>
                      <m:den>
                        <m:eqArr>
                          <m:eqArrPr>
                            <m:ctrlPr>
                              <a:rPr lang="en-US" sz="800" i="1">
                                <a:latin typeface="Cambria Math" panose="02040503050406030204" pitchFamily="18" charset="0"/>
                              </a:rPr>
                            </m:ctrlPr>
                          </m:eqArrPr>
                          <m:e>
                            <m:r>
                              <m:rPr>
                                <m:nor/>
                              </m:rPr>
                              <a:rPr lang="en-US" sz="800">
                                <a:latin typeface="Calibri" panose="020F0502020204030204" pitchFamily="34" charset="0"/>
                                <a:cs typeface="Calibri" panose="020F0502020204030204" pitchFamily="34" charset="0"/>
                              </a:rPr>
                              <m:t>M</m:t>
                            </m:r>
                            <m:r>
                              <m:rPr>
                                <m:nor/>
                              </m:rPr>
                              <a:rPr lang="en-US" sz="800">
                                <a:latin typeface="Calibri" panose="020F0502020204030204" pitchFamily="34" charset="0"/>
                                <a:cs typeface="Calibri" panose="020F0502020204030204" pitchFamily="34" charset="0"/>
                              </a:rPr>
                              <m:t>é</m:t>
                            </m:r>
                            <m:r>
                              <m:rPr>
                                <m:nor/>
                              </m:rPr>
                              <a:rPr lang="en-US" sz="800">
                                <a:latin typeface="Calibri" panose="020F0502020204030204" pitchFamily="34" charset="0"/>
                                <a:cs typeface="Calibri" panose="020F0502020204030204" pitchFamily="34" charset="0"/>
                              </a:rPr>
                              <m:t>dia</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da</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carteira</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remunerada</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dos</m:t>
                            </m:r>
                            <m:r>
                              <m:rPr>
                                <m:nor/>
                              </m:rPr>
                              <a:rPr lang="en-US" sz="800">
                                <a:latin typeface="Calibri" panose="020F0502020204030204" pitchFamily="34" charset="0"/>
                                <a:cs typeface="Calibri" panose="020F0502020204030204" pitchFamily="34" charset="0"/>
                              </a:rPr>
                              <m:t> ú</m:t>
                            </m:r>
                            <m:r>
                              <m:rPr>
                                <m:nor/>
                              </m:rPr>
                              <a:rPr lang="en-US" sz="800">
                                <a:latin typeface="Calibri" panose="020F0502020204030204" pitchFamily="34" charset="0"/>
                                <a:cs typeface="Calibri" panose="020F0502020204030204" pitchFamily="34" charset="0"/>
                              </a:rPr>
                              <m:t>ltimos</m:t>
                            </m:r>
                            <m:r>
                              <m:rPr>
                                <m:nor/>
                              </m:rPr>
                              <a:rPr lang="en-US" sz="800">
                                <a:latin typeface="Calibri" panose="020F0502020204030204" pitchFamily="34" charset="0"/>
                                <a:cs typeface="Calibri" panose="020F0502020204030204" pitchFamily="34" charset="0"/>
                              </a:rPr>
                              <m:t> 2 </m:t>
                            </m:r>
                            <m:r>
                              <m:rPr>
                                <m:nor/>
                              </m:rPr>
                              <a:rPr lang="en-US" sz="800">
                                <a:latin typeface="Calibri" panose="020F0502020204030204" pitchFamily="34" charset="0"/>
                                <a:cs typeface="Calibri" panose="020F0502020204030204" pitchFamily="34" charset="0"/>
                              </a:rPr>
                              <m:t>trimestres</m:t>
                            </m:r>
                            <m:r>
                              <m:rPr>
                                <m:nor/>
                              </m:rPr>
                              <a:rPr lang="en-US" sz="800">
                                <a:latin typeface="Calibri" panose="020F0502020204030204" pitchFamily="34" charset="0"/>
                                <a:cs typeface="Calibri" panose="020F0502020204030204" pitchFamily="34" charset="0"/>
                              </a:rPr>
                              <m:t> – </m:t>
                            </m:r>
                            <m:r>
                              <m:rPr>
                                <m:nor/>
                              </m:rPr>
                              <a:rPr lang="en-US" sz="800">
                                <a:latin typeface="Calibri" panose="020F0502020204030204" pitchFamily="34" charset="0"/>
                                <a:cs typeface="Calibri" panose="020F0502020204030204" pitchFamily="34" charset="0"/>
                              </a:rPr>
                              <m:t>Receb</m:t>
                            </m:r>
                            <m:r>
                              <m:rPr>
                                <m:nor/>
                              </m:rPr>
                              <a:rPr lang="en-US" sz="800">
                                <a:latin typeface="Calibri" panose="020F0502020204030204" pitchFamily="34" charset="0"/>
                                <a:cs typeface="Calibri" panose="020F0502020204030204" pitchFamily="34" charset="0"/>
                              </a:rPr>
                              <m:t>í</m:t>
                            </m:r>
                            <m:r>
                              <m:rPr>
                                <m:nor/>
                              </m:rPr>
                              <a:rPr lang="en-US" sz="800">
                                <a:latin typeface="Calibri" panose="020F0502020204030204" pitchFamily="34" charset="0"/>
                                <a:cs typeface="Calibri" panose="020F0502020204030204" pitchFamily="34" charset="0"/>
                              </a:rPr>
                              <m:t>veis</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cart</m:t>
                            </m:r>
                            <m:r>
                              <m:rPr>
                                <m:nor/>
                              </m:rPr>
                              <a:rPr lang="en-US" sz="800">
                                <a:latin typeface="Calibri" panose="020F0502020204030204" pitchFamily="34" charset="0"/>
                                <a:cs typeface="Calibri" panose="020F0502020204030204" pitchFamily="34" charset="0"/>
                              </a:rPr>
                              <m:t>ã</m:t>
                            </m:r>
                            <m:r>
                              <m:rPr>
                                <m:nor/>
                              </m:rPr>
                              <a:rPr lang="en-US" sz="800">
                                <a:latin typeface="Calibri" panose="020F0502020204030204" pitchFamily="34" charset="0"/>
                                <a:cs typeface="Calibri" panose="020F0502020204030204" pitchFamily="34" charset="0"/>
                              </a:rPr>
                              <m:t>ode</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cr</m:t>
                            </m:r>
                            <m:r>
                              <m:rPr>
                                <m:nor/>
                              </m:rPr>
                              <a:rPr lang="en-US" sz="800">
                                <a:latin typeface="Calibri" panose="020F0502020204030204" pitchFamily="34" charset="0"/>
                                <a:cs typeface="Calibri" panose="020F0502020204030204" pitchFamily="34" charset="0"/>
                              </a:rPr>
                              <m:t>é</m:t>
                            </m:r>
                            <m:r>
                              <m:rPr>
                                <m:nor/>
                              </m:rPr>
                              <a:rPr lang="en-US" sz="800">
                                <a:latin typeface="Calibri" panose="020F0502020204030204" pitchFamily="34" charset="0"/>
                                <a:cs typeface="Calibri" panose="020F0502020204030204" pitchFamily="34" charset="0"/>
                              </a:rPr>
                              <m:t>dito</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n</m:t>
                            </m:r>
                            <m:r>
                              <m:rPr>
                                <m:nor/>
                              </m:rPr>
                              <a:rPr lang="en-US" sz="800">
                                <a:latin typeface="Calibri" panose="020F0502020204030204" pitchFamily="34" charset="0"/>
                                <a:cs typeface="Calibri" panose="020F0502020204030204" pitchFamily="34" charset="0"/>
                              </a:rPr>
                              <m:t>ã</m:t>
                            </m:r>
                            <m:r>
                              <m:rPr>
                                <m:nor/>
                              </m:rPr>
                              <a:rPr lang="en-US" sz="800">
                                <a:latin typeface="Calibri" panose="020F0502020204030204" pitchFamily="34" charset="0"/>
                                <a:cs typeface="Calibri" panose="020F0502020204030204" pitchFamily="34" charset="0"/>
                              </a:rPr>
                              <m:t>o</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remunerados</m:t>
                            </m:r>
                            <m:r>
                              <m:rPr>
                                <m:nor/>
                              </m:rPr>
                              <a:rPr lang="pt-BR" sz="800">
                                <a:latin typeface="Calibri" panose="020F0502020204030204" pitchFamily="34" charset="0"/>
                                <a:cs typeface="Calibri" panose="020F0502020204030204" pitchFamily="34" charset="0"/>
                              </a:rPr>
                              <m:t> </m:t>
                            </m:r>
                          </m:e>
                          <m:e>
                            <m:r>
                              <m:rPr>
                                <m:nor/>
                              </m:rPr>
                              <a:rPr lang="en-US" sz="800">
                                <a:latin typeface="Calibri" panose="020F0502020204030204" pitchFamily="34" charset="0"/>
                                <a:cs typeface="Calibri" panose="020F0502020204030204" pitchFamily="34" charset="0"/>
                              </a:rPr>
                              <m:t>(</m:t>
                            </m:r>
                            <m:r>
                              <m:rPr>
                                <m:nor/>
                              </m:rPr>
                              <a:rPr lang="en-US" sz="800">
                                <a:latin typeface="Calibri" panose="020F0502020204030204" pitchFamily="34" charset="0"/>
                                <a:cs typeface="Calibri" panose="020F0502020204030204" pitchFamily="34" charset="0"/>
                              </a:rPr>
                              <m:t>Empr</m:t>
                            </m:r>
                            <m:r>
                              <m:rPr>
                                <m:nor/>
                              </m:rPr>
                              <a:rPr lang="en-US" sz="800">
                                <a:latin typeface="Calibri" panose="020F0502020204030204" pitchFamily="34" charset="0"/>
                                <a:cs typeface="Calibri" panose="020F0502020204030204" pitchFamily="34" charset="0"/>
                              </a:rPr>
                              <m:t>é</m:t>
                            </m:r>
                            <m:r>
                              <m:rPr>
                                <m:nor/>
                              </m:rPr>
                              <a:rPr lang="en-US" sz="800">
                                <a:latin typeface="Calibri" panose="020F0502020204030204" pitchFamily="34" charset="0"/>
                                <a:cs typeface="Calibri" panose="020F0502020204030204" pitchFamily="34" charset="0"/>
                              </a:rPr>
                              <m:t>stimos</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a</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institui</m:t>
                            </m:r>
                            <m:r>
                              <m:rPr>
                                <m:nor/>
                              </m:rPr>
                              <a:rPr lang="en-US" sz="800">
                                <a:latin typeface="Calibri" panose="020F0502020204030204" pitchFamily="34" charset="0"/>
                                <a:cs typeface="Calibri" panose="020F0502020204030204" pitchFamily="34" charset="0"/>
                              </a:rPr>
                              <m:t>çõ</m:t>
                            </m:r>
                            <m:r>
                              <m:rPr>
                                <m:nor/>
                              </m:rPr>
                              <a:rPr lang="en-US" sz="800">
                                <a:latin typeface="Calibri" panose="020F0502020204030204" pitchFamily="34" charset="0"/>
                                <a:cs typeface="Calibri" panose="020F0502020204030204" pitchFamily="34" charset="0"/>
                              </a:rPr>
                              <m:t>esfinanceiras</m:t>
                            </m:r>
                            <m:r>
                              <m:rPr>
                                <m:nor/>
                              </m:rPr>
                              <a:rPr lang="pt-BR"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Valores</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Mobili</m:t>
                            </m:r>
                            <m:r>
                              <m:rPr>
                                <m:nor/>
                              </m:rPr>
                              <a:rPr lang="en-US" sz="800">
                                <a:latin typeface="Calibri" panose="020F0502020204030204" pitchFamily="34" charset="0"/>
                                <a:cs typeface="Calibri" panose="020F0502020204030204" pitchFamily="34" charset="0"/>
                              </a:rPr>
                              <m:t>á</m:t>
                            </m:r>
                            <m:r>
                              <m:rPr>
                                <m:nor/>
                              </m:rPr>
                              <a:rPr lang="en-US" sz="800">
                                <a:latin typeface="Calibri" panose="020F0502020204030204" pitchFamily="34" charset="0"/>
                                <a:cs typeface="Calibri" panose="020F0502020204030204" pitchFamily="34" charset="0"/>
                              </a:rPr>
                              <m:t>rios</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Derivativos</m:t>
                            </m:r>
                            <m:r>
                              <m:rPr>
                                <m:nor/>
                              </m:rPr>
                              <a:rPr lang="en-US" sz="800">
                                <a:latin typeface="Calibri" panose="020F0502020204030204" pitchFamily="34" charset="0"/>
                                <a:cs typeface="Calibri" panose="020F0502020204030204" pitchFamily="34" charset="0"/>
                              </a:rPr>
                              <m:t> + </m:t>
                            </m:r>
                            <m:r>
                              <m:rPr>
                                <m:nor/>
                              </m:rPr>
                              <a:rPr lang="en-US" sz="800">
                                <a:latin typeface="Calibri" panose="020F0502020204030204" pitchFamily="34" charset="0"/>
                                <a:cs typeface="Calibri" panose="020F0502020204030204" pitchFamily="34" charset="0"/>
                              </a:rPr>
                              <m:t>Empr</m:t>
                            </m:r>
                            <m:r>
                              <m:rPr>
                                <m:nor/>
                              </m:rPr>
                              <a:rPr lang="en-US" sz="800">
                                <a:latin typeface="Calibri" panose="020F0502020204030204" pitchFamily="34" charset="0"/>
                                <a:cs typeface="Calibri" panose="020F0502020204030204" pitchFamily="34" charset="0"/>
                              </a:rPr>
                              <m:t>é</m:t>
                            </m:r>
                            <m:r>
                              <m:rPr>
                                <m:nor/>
                              </m:rPr>
                              <a:rPr lang="en-US" sz="800">
                                <a:latin typeface="Calibri" panose="020F0502020204030204" pitchFamily="34" charset="0"/>
                                <a:cs typeface="Calibri" panose="020F0502020204030204" pitchFamily="34" charset="0"/>
                              </a:rPr>
                              <m:t>stimos</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e</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adiantamentos</m:t>
                            </m:r>
                            <m:r>
                              <m:rPr>
                                <m:nor/>
                              </m:rPr>
                              <a:rPr lang="en-US" sz="800">
                                <a:latin typeface="Calibri" panose="020F0502020204030204" pitchFamily="34" charset="0"/>
                                <a:cs typeface="Calibri" panose="020F0502020204030204" pitchFamily="34" charset="0"/>
                              </a:rPr>
                              <m:t> </m:t>
                            </m:r>
                          </m:e>
                          <m:e>
                            <m:r>
                              <m:rPr>
                                <m:nor/>
                              </m:rPr>
                              <a:rPr lang="en-US" sz="800">
                                <a:latin typeface="Calibri" panose="020F0502020204030204" pitchFamily="34" charset="0"/>
                                <a:cs typeface="Calibri" panose="020F0502020204030204" pitchFamily="34" charset="0"/>
                              </a:rPr>
                              <m:t>a</m:t>
                            </m:r>
                            <m:r>
                              <a:rPr lang="pt-BR" sz="800">
                                <a:latin typeface="Cambria Math" panose="02040503050406030204" pitchFamily="18" charset="0"/>
                              </a:rPr>
                              <m:t> </m:t>
                            </m:r>
                            <m:r>
                              <m:rPr>
                                <m:sty m:val="p"/>
                              </m:rPr>
                              <a:rPr lang="pt-BR" sz="800">
                                <a:latin typeface="Cambria Math" panose="02040503050406030204" pitchFamily="18" charset="0"/>
                              </a:rPr>
                              <m:t>clientes</m:t>
                            </m:r>
                            <m:r>
                              <m:rPr>
                                <m:nor/>
                              </m:rPr>
                              <a:rPr lang="pt-BR"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 </m:t>
                            </m:r>
                            <m:r>
                              <m:rPr>
                                <m:nor/>
                              </m:rPr>
                              <a:rPr lang="pt-BR" sz="800">
                                <a:latin typeface="Calibri" panose="020F0502020204030204" pitchFamily="34" charset="0"/>
                                <a:cs typeface="Calibri" panose="020F0502020204030204" pitchFamily="34" charset="0"/>
                              </a:rPr>
                              <m:t>C</m:t>
                            </m:r>
                            <m:r>
                              <m:rPr>
                                <m:nor/>
                              </m:rPr>
                              <a:rPr lang="en-US" sz="800">
                                <a:latin typeface="Calibri" panose="020F0502020204030204" pitchFamily="34" charset="0"/>
                                <a:cs typeface="Calibri" panose="020F0502020204030204" pitchFamily="34" charset="0"/>
                              </a:rPr>
                              <m:t>arteira</m:t>
                            </m:r>
                            <m:r>
                              <m:rPr>
                                <m:nor/>
                              </m:rPr>
                              <a:rPr lang="en-US" sz="800">
                                <a:latin typeface="Calibri" panose="020F0502020204030204" pitchFamily="34" charset="0"/>
                                <a:cs typeface="Calibri" panose="020F0502020204030204" pitchFamily="34" charset="0"/>
                              </a:rPr>
                              <m:t> à </m:t>
                            </m:r>
                            <m:r>
                              <m:rPr>
                                <m:nor/>
                              </m:rPr>
                              <a:rPr lang="en-US" sz="800">
                                <a:latin typeface="Calibri" panose="020F0502020204030204" pitchFamily="34" charset="0"/>
                                <a:cs typeface="Calibri" panose="020F0502020204030204" pitchFamily="34" charset="0"/>
                              </a:rPr>
                              <m:t>vista</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de</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cart</m:t>
                            </m:r>
                            <m:r>
                              <m:rPr>
                                <m:nor/>
                              </m:rPr>
                              <a:rPr lang="en-US" sz="800">
                                <a:latin typeface="Calibri" panose="020F0502020204030204" pitchFamily="34" charset="0"/>
                                <a:cs typeface="Calibri" panose="020F0502020204030204" pitchFamily="34" charset="0"/>
                              </a:rPr>
                              <m:t>ã</m:t>
                            </m:r>
                            <m:r>
                              <m:rPr>
                                <m:nor/>
                              </m:rPr>
                              <a:rPr lang="en-US" sz="800">
                                <a:latin typeface="Calibri" panose="020F0502020204030204" pitchFamily="34" charset="0"/>
                                <a:cs typeface="Calibri" panose="020F0502020204030204" pitchFamily="34" charset="0"/>
                              </a:rPr>
                              <m:t>o</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de</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cr</m:t>
                            </m:r>
                            <m:r>
                              <m:rPr>
                                <m:nor/>
                              </m:rPr>
                              <a:rPr lang="en-US" sz="800">
                                <a:latin typeface="Calibri" panose="020F0502020204030204" pitchFamily="34" charset="0"/>
                                <a:cs typeface="Calibri" panose="020F0502020204030204" pitchFamily="34" charset="0"/>
                              </a:rPr>
                              <m:t>é</m:t>
                            </m:r>
                            <m:r>
                              <m:rPr>
                                <m:nor/>
                              </m:rPr>
                              <a:rPr lang="en-US" sz="800">
                                <a:latin typeface="Calibri" panose="020F0502020204030204" pitchFamily="34" charset="0"/>
                                <a:cs typeface="Calibri" panose="020F0502020204030204" pitchFamily="34" charset="0"/>
                              </a:rPr>
                              <m:t>dito</m:t>
                            </m:r>
                            <m:r>
                              <a:rPr lang="pt-BR" sz="800">
                                <a:latin typeface="Cambria Math" panose="02040503050406030204" pitchFamily="18" charset="0"/>
                              </a:rPr>
                              <m:t>)</m:t>
                            </m:r>
                            <m:r>
                              <m:rPr>
                                <m:nor/>
                              </m:rPr>
                              <a:rPr lang="pt-BR" sz="800">
                                <a:latin typeface="Calibri" panose="020F0502020204030204" pitchFamily="34" charset="0"/>
                                <a:cs typeface="Calibri" panose="020F0502020204030204" pitchFamily="34" charset="0"/>
                              </a:rPr>
                              <m:t> </m:t>
                            </m:r>
                          </m:e>
                        </m:eqArr>
                      </m:den>
                    </m:f>
                  </m:oMath>
                </m:oMathPara>
              </a14:m>
              <a:endParaRPr lang="en-US" sz="800">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NPL 15 a 90 dias:</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i="0">
                            <a:latin typeface="Cambria Math" panose="02040503050406030204" pitchFamily="18" charset="0"/>
                          </a:rPr>
                          <m:t>Saldo</m:t>
                        </m:r>
                        <m:r>
                          <a:rPr lang="pt-BR" sz="800" i="0">
                            <a:latin typeface="Cambria Math" panose="02040503050406030204" pitchFamily="18" charset="0"/>
                          </a:rPr>
                          <m:t> </m:t>
                        </m:r>
                        <m:r>
                          <m:rPr>
                            <m:sty m:val="p"/>
                          </m:rPr>
                          <a:rPr lang="pt-BR" sz="800" i="0">
                            <a:latin typeface="Cambria Math" panose="02040503050406030204" pitchFamily="18" charset="0"/>
                          </a:rPr>
                          <m:t>vencido</m:t>
                        </m:r>
                        <m:r>
                          <a:rPr lang="pt-BR" sz="800" i="0">
                            <a:latin typeface="Cambria Math" panose="02040503050406030204" pitchFamily="18" charset="0"/>
                          </a:rPr>
                          <m:t> </m:t>
                        </m:r>
                        <m:r>
                          <m:rPr>
                            <m:sty m:val="p"/>
                          </m:rPr>
                          <a:rPr lang="pt-BR" sz="800" b="0" i="0">
                            <a:latin typeface="Cambria Math" panose="02040503050406030204" pitchFamily="18" charset="0"/>
                          </a:rPr>
                          <m:t>entre</m:t>
                        </m:r>
                        <m:r>
                          <a:rPr lang="pt-BR" sz="800" b="0" i="0">
                            <a:latin typeface="Cambria Math" panose="02040503050406030204" pitchFamily="18" charset="0"/>
                          </a:rPr>
                          <m:t> 15 </m:t>
                        </m:r>
                        <m:r>
                          <m:rPr>
                            <m:sty m:val="p"/>
                          </m:rPr>
                          <a:rPr lang="pt-BR" sz="800" b="0" i="0">
                            <a:latin typeface="Cambria Math" panose="02040503050406030204" pitchFamily="18" charset="0"/>
                          </a:rPr>
                          <m:t>e</m:t>
                        </m:r>
                        <m:r>
                          <a:rPr lang="pt-BR" sz="800" b="0" i="0">
                            <a:latin typeface="Cambria Math" panose="02040503050406030204" pitchFamily="18" charset="0"/>
                          </a:rPr>
                          <m:t> 90 </m:t>
                        </m:r>
                        <m:r>
                          <m:rPr>
                            <m:sty m:val="p"/>
                          </m:rPr>
                          <a:rPr lang="pt-BR" sz="800" i="0">
                            <a:latin typeface="Cambria Math" panose="02040503050406030204" pitchFamily="18" charset="0"/>
                          </a:rPr>
                          <m:t>dias</m:t>
                        </m:r>
                      </m:num>
                      <m:den>
                        <m:r>
                          <m:rPr>
                            <m:sty m:val="p"/>
                          </m:rPr>
                          <a:rPr lang="pt-BR" sz="800" i="0">
                            <a:latin typeface="Cambria Math" panose="02040503050406030204" pitchFamily="18" charset="0"/>
                          </a:rPr>
                          <m:t>Empr</m:t>
                        </m:r>
                        <m:r>
                          <a:rPr lang="pt-BR" sz="800" i="0">
                            <a:latin typeface="Cambria Math" panose="02040503050406030204" pitchFamily="18" charset="0"/>
                          </a:rPr>
                          <m:t>é</m:t>
                        </m:r>
                        <m:r>
                          <m:rPr>
                            <m:sty m:val="p"/>
                          </m:rPr>
                          <a:rPr lang="pt-BR" sz="800" i="0">
                            <a:latin typeface="Cambria Math" panose="02040503050406030204" pitchFamily="18" charset="0"/>
                          </a:rPr>
                          <m:t>stimos</m:t>
                        </m:r>
                        <m:r>
                          <a:rPr lang="pt-BR" sz="800" i="0">
                            <a:latin typeface="Cambria Math" panose="02040503050406030204" pitchFamily="18" charset="0"/>
                          </a:rPr>
                          <m:t> </m:t>
                        </m:r>
                        <m:r>
                          <m:rPr>
                            <m:sty m:val="p"/>
                          </m:rPr>
                          <a:rPr lang="pt-BR" sz="800" i="0">
                            <a:latin typeface="Cambria Math" panose="02040503050406030204" pitchFamily="18" charset="0"/>
                          </a:rPr>
                          <m:t>e</m:t>
                        </m:r>
                        <m:r>
                          <a:rPr lang="pt-BR" sz="800" i="0">
                            <a:latin typeface="Cambria Math" panose="02040503050406030204" pitchFamily="18" charset="0"/>
                          </a:rPr>
                          <m:t> </m:t>
                        </m:r>
                        <m:r>
                          <m:rPr>
                            <m:sty m:val="p"/>
                          </m:rPr>
                          <a:rPr lang="pt-BR" sz="800" i="0">
                            <a:latin typeface="Cambria Math" panose="02040503050406030204" pitchFamily="18" charset="0"/>
                          </a:rPr>
                          <m:t>adiantamento</m:t>
                        </m:r>
                        <m:r>
                          <a:rPr lang="pt-BR" sz="800" i="0">
                            <a:latin typeface="Cambria Math" panose="02040503050406030204" pitchFamily="18" charset="0"/>
                          </a:rPr>
                          <m:t> </m:t>
                        </m:r>
                        <m:r>
                          <m:rPr>
                            <m:sty m:val="p"/>
                          </m:rPr>
                          <a:rPr lang="pt-BR" sz="800" i="0">
                            <a:latin typeface="Cambria Math" panose="02040503050406030204" pitchFamily="18" charset="0"/>
                          </a:rPr>
                          <m:t>a</m:t>
                        </m:r>
                        <m:r>
                          <a:rPr lang="pt-BR" sz="800" i="0">
                            <a:latin typeface="Cambria Math" panose="02040503050406030204" pitchFamily="18" charset="0"/>
                          </a:rPr>
                          <m:t> </m:t>
                        </m:r>
                        <m:r>
                          <m:rPr>
                            <m:sty m:val="p"/>
                          </m:rPr>
                          <a:rPr lang="pt-BR" sz="800" i="0">
                            <a:latin typeface="Cambria Math" panose="02040503050406030204" pitchFamily="18" charset="0"/>
                          </a:rPr>
                          <m:t>clientes</m:t>
                        </m:r>
                        <m:r>
                          <a:rPr lang="pt-BR" sz="800" i="0">
                            <a:latin typeface="Cambria Math" panose="02040503050406030204" pitchFamily="18" charset="0"/>
                          </a:rPr>
                          <m:t>+</m:t>
                        </m:r>
                        <m:r>
                          <m:rPr>
                            <m:sty m:val="p"/>
                          </m:rPr>
                          <a:rPr lang="pt-BR" sz="800" i="0">
                            <a:latin typeface="Cambria Math" panose="02040503050406030204" pitchFamily="18" charset="0"/>
                          </a:rPr>
                          <m:t>Receb</m:t>
                        </m:r>
                        <m:r>
                          <a:rPr lang="pt-BR" sz="800" i="0">
                            <a:latin typeface="Cambria Math" panose="02040503050406030204" pitchFamily="18" charset="0"/>
                          </a:rPr>
                          <m:t>í</m:t>
                        </m:r>
                        <m:r>
                          <m:rPr>
                            <m:sty m:val="p"/>
                          </m:rPr>
                          <a:rPr lang="pt-BR" sz="800" i="0">
                            <a:latin typeface="Cambria Math" panose="02040503050406030204" pitchFamily="18" charset="0"/>
                          </a:rPr>
                          <m:t>veis</m:t>
                        </m:r>
                        <m:r>
                          <a:rPr lang="pt-BR" sz="800" i="0">
                            <a:latin typeface="Cambria Math" panose="02040503050406030204" pitchFamily="18" charset="0"/>
                          </a:rPr>
                          <m:t> </m:t>
                        </m:r>
                        <m:r>
                          <m:rPr>
                            <m:sty m:val="p"/>
                          </m:rPr>
                          <a:rPr lang="pt-BR" sz="800" i="0">
                            <a:latin typeface="Cambria Math" panose="02040503050406030204" pitchFamily="18" charset="0"/>
                          </a:rPr>
                          <m:t>de</m:t>
                        </m:r>
                        <m:r>
                          <a:rPr lang="pt-BR" sz="800" i="0">
                            <a:latin typeface="Cambria Math" panose="02040503050406030204" pitchFamily="18" charset="0"/>
                          </a:rPr>
                          <m:t> </m:t>
                        </m:r>
                        <m:r>
                          <m:rPr>
                            <m:sty m:val="p"/>
                          </m:rPr>
                          <a:rPr lang="pt-BR" sz="800" i="0">
                            <a:latin typeface="Cambria Math" panose="02040503050406030204" pitchFamily="18" charset="0"/>
                          </a:rPr>
                          <m:t>Cart</m:t>
                        </m:r>
                        <m:r>
                          <a:rPr lang="pt-BR" sz="800" i="0">
                            <a:latin typeface="Cambria Math" panose="02040503050406030204" pitchFamily="18" charset="0"/>
                          </a:rPr>
                          <m:t>ã</m:t>
                        </m:r>
                        <m:r>
                          <m:rPr>
                            <m:sty m:val="p"/>
                          </m:rPr>
                          <a:rPr lang="pt-BR" sz="800" i="0">
                            <a:latin typeface="Cambria Math" panose="02040503050406030204" pitchFamily="18" charset="0"/>
                          </a:rPr>
                          <m:t>o</m:t>
                        </m:r>
                        <m:r>
                          <a:rPr lang="pt-BR" sz="800" i="0">
                            <a:latin typeface="Cambria Math" panose="02040503050406030204" pitchFamily="18" charset="0"/>
                          </a:rPr>
                          <m:t> </m:t>
                        </m:r>
                        <m:r>
                          <m:rPr>
                            <m:sty m:val="p"/>
                          </m:rPr>
                          <a:rPr lang="pt-BR" sz="800" i="0">
                            <a:latin typeface="Cambria Math" panose="02040503050406030204" pitchFamily="18" charset="0"/>
                          </a:rPr>
                          <m:t>de</m:t>
                        </m:r>
                        <m:r>
                          <a:rPr lang="pt-BR" sz="800" i="0">
                            <a:latin typeface="Cambria Math" panose="02040503050406030204" pitchFamily="18" charset="0"/>
                          </a:rPr>
                          <m:t> </m:t>
                        </m:r>
                        <m:r>
                          <m:rPr>
                            <m:sty m:val="p"/>
                          </m:rPr>
                          <a:rPr lang="pt-BR" sz="800" i="0">
                            <a:latin typeface="Cambria Math" panose="02040503050406030204" pitchFamily="18" charset="0"/>
                          </a:rPr>
                          <m:t>Cr</m:t>
                        </m:r>
                        <m:r>
                          <a:rPr lang="pt-BR" sz="800" i="0">
                            <a:latin typeface="Cambria Math" panose="02040503050406030204" pitchFamily="18" charset="0"/>
                          </a:rPr>
                          <m:t>é</m:t>
                        </m:r>
                        <m:r>
                          <m:rPr>
                            <m:sty m:val="p"/>
                          </m:rPr>
                          <a:rPr lang="pt-BR" sz="800" i="0">
                            <a:latin typeface="Cambria Math" panose="02040503050406030204" pitchFamily="18" charset="0"/>
                          </a:rPr>
                          <m:t>dito</m:t>
                        </m:r>
                      </m:den>
                    </m:f>
                    <m:r>
                      <a:rPr lang="pt-BR" sz="800" b="0" i="1">
                        <a:latin typeface="Cambria Math" panose="02040503050406030204" pitchFamily="18" charset="0"/>
                      </a:rPr>
                      <m:t> </m:t>
                    </m:r>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NPL &gt; 90 dias:</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i="0">
                            <a:latin typeface="Cambria Math" panose="02040503050406030204" pitchFamily="18" charset="0"/>
                          </a:rPr>
                          <m:t>S</m:t>
                        </m:r>
                        <m:r>
                          <m:rPr>
                            <m:sty m:val="p"/>
                          </m:rPr>
                          <a:rPr lang="pt-BR" sz="800" b="0" i="0">
                            <a:latin typeface="Cambria Math" panose="02040503050406030204" pitchFamily="18" charset="0"/>
                          </a:rPr>
                          <m:t>aldo</m:t>
                        </m:r>
                        <m:r>
                          <a:rPr lang="pt-BR" sz="800" b="0" i="0">
                            <a:latin typeface="Cambria Math" panose="02040503050406030204" pitchFamily="18" charset="0"/>
                          </a:rPr>
                          <m:t> </m:t>
                        </m:r>
                        <m:r>
                          <m:rPr>
                            <m:sty m:val="p"/>
                          </m:rPr>
                          <a:rPr lang="pt-BR" sz="800" b="0" i="0">
                            <a:latin typeface="Cambria Math" panose="02040503050406030204" pitchFamily="18" charset="0"/>
                          </a:rPr>
                          <m:t>vencido</m:t>
                        </m:r>
                        <m:r>
                          <a:rPr lang="pt-BR" sz="800" b="0" i="0">
                            <a:latin typeface="Cambria Math" panose="02040503050406030204" pitchFamily="18" charset="0"/>
                          </a:rPr>
                          <m:t> </m:t>
                        </m:r>
                        <m:r>
                          <m:rPr>
                            <m:sty m:val="p"/>
                          </m:rPr>
                          <a:rPr lang="pt-BR" sz="800" b="0" i="0">
                            <a:latin typeface="Cambria Math" panose="02040503050406030204" pitchFamily="18" charset="0"/>
                          </a:rPr>
                          <m:t>a</m:t>
                        </m:r>
                        <m:r>
                          <a:rPr lang="pt-BR" sz="800" b="0" i="0">
                            <a:latin typeface="Cambria Math" panose="02040503050406030204" pitchFamily="18" charset="0"/>
                          </a:rPr>
                          <m:t> </m:t>
                        </m:r>
                        <m:r>
                          <m:rPr>
                            <m:sty m:val="p"/>
                          </m:rPr>
                          <a:rPr lang="pt-BR" sz="800" b="0" i="0">
                            <a:latin typeface="Cambria Math" panose="02040503050406030204" pitchFamily="18" charset="0"/>
                          </a:rPr>
                          <m:t>mais</m:t>
                        </m:r>
                        <m:r>
                          <a:rPr lang="pt-BR" sz="800" b="0" i="0">
                            <a:latin typeface="Cambria Math" panose="02040503050406030204" pitchFamily="18" charset="0"/>
                          </a:rPr>
                          <m:t> </m:t>
                        </m:r>
                        <m:r>
                          <m:rPr>
                            <m:sty m:val="p"/>
                          </m:rPr>
                          <a:rPr lang="pt-BR" sz="800" b="0" i="0">
                            <a:latin typeface="Cambria Math" panose="02040503050406030204" pitchFamily="18" charset="0"/>
                          </a:rPr>
                          <m:t>de</m:t>
                        </m:r>
                        <m:r>
                          <a:rPr lang="pt-BR" sz="800" b="0" i="0">
                            <a:latin typeface="Cambria Math" panose="02040503050406030204" pitchFamily="18" charset="0"/>
                          </a:rPr>
                          <m:t> 90 </m:t>
                        </m:r>
                        <m:r>
                          <m:rPr>
                            <m:sty m:val="p"/>
                          </m:rPr>
                          <a:rPr lang="pt-BR" sz="800" b="0" i="0">
                            <a:latin typeface="Cambria Math" panose="02040503050406030204" pitchFamily="18" charset="0"/>
                          </a:rPr>
                          <m:t>dias</m:t>
                        </m:r>
                      </m:num>
                      <m:den>
                        <m:r>
                          <m:rPr>
                            <m:sty m:val="p"/>
                          </m:rPr>
                          <a:rPr lang="pt-BR" sz="800" i="0">
                            <a:latin typeface="Cambria Math" panose="02040503050406030204" pitchFamily="18" charset="0"/>
                          </a:rPr>
                          <m:t>Empr</m:t>
                        </m:r>
                        <m:r>
                          <a:rPr lang="pt-BR" sz="800" i="0">
                            <a:latin typeface="Cambria Math" panose="02040503050406030204" pitchFamily="18" charset="0"/>
                          </a:rPr>
                          <m:t>é</m:t>
                        </m:r>
                        <m:r>
                          <m:rPr>
                            <m:sty m:val="p"/>
                          </m:rPr>
                          <a:rPr lang="pt-BR" sz="800" i="0">
                            <a:latin typeface="Cambria Math" panose="02040503050406030204" pitchFamily="18" charset="0"/>
                          </a:rPr>
                          <m:t>stimos</m:t>
                        </m:r>
                        <m:r>
                          <a:rPr lang="pt-BR" sz="800" i="0">
                            <a:latin typeface="Cambria Math" panose="02040503050406030204" pitchFamily="18" charset="0"/>
                          </a:rPr>
                          <m:t> </m:t>
                        </m:r>
                        <m:r>
                          <m:rPr>
                            <m:sty m:val="p"/>
                          </m:rPr>
                          <a:rPr lang="pt-BR" sz="800" i="0">
                            <a:latin typeface="Cambria Math" panose="02040503050406030204" pitchFamily="18" charset="0"/>
                          </a:rPr>
                          <m:t>e</m:t>
                        </m:r>
                        <m:r>
                          <a:rPr lang="pt-BR" sz="800" i="0">
                            <a:latin typeface="Cambria Math" panose="02040503050406030204" pitchFamily="18" charset="0"/>
                          </a:rPr>
                          <m:t> </m:t>
                        </m:r>
                        <m:r>
                          <m:rPr>
                            <m:sty m:val="p"/>
                          </m:rPr>
                          <a:rPr lang="pt-BR" sz="800" i="0">
                            <a:latin typeface="Cambria Math" panose="02040503050406030204" pitchFamily="18" charset="0"/>
                          </a:rPr>
                          <m:t>adiantamento</m:t>
                        </m:r>
                        <m:r>
                          <a:rPr lang="pt-BR" sz="800" i="0">
                            <a:latin typeface="Cambria Math" panose="02040503050406030204" pitchFamily="18" charset="0"/>
                          </a:rPr>
                          <m:t> </m:t>
                        </m:r>
                        <m:r>
                          <m:rPr>
                            <m:sty m:val="p"/>
                          </m:rPr>
                          <a:rPr lang="pt-BR" sz="800" i="0">
                            <a:latin typeface="Cambria Math" panose="02040503050406030204" pitchFamily="18" charset="0"/>
                          </a:rPr>
                          <m:t>a</m:t>
                        </m:r>
                        <m:r>
                          <a:rPr lang="pt-BR" sz="800" i="0">
                            <a:latin typeface="Cambria Math" panose="02040503050406030204" pitchFamily="18" charset="0"/>
                          </a:rPr>
                          <m:t> </m:t>
                        </m:r>
                        <m:r>
                          <m:rPr>
                            <m:sty m:val="p"/>
                          </m:rPr>
                          <a:rPr lang="pt-BR" sz="800" i="0">
                            <a:latin typeface="Cambria Math" panose="02040503050406030204" pitchFamily="18" charset="0"/>
                          </a:rPr>
                          <m:t>clientes</m:t>
                        </m:r>
                        <m:r>
                          <a:rPr lang="pt-BR" sz="800" i="0">
                            <a:latin typeface="Cambria Math" panose="02040503050406030204" pitchFamily="18" charset="0"/>
                          </a:rPr>
                          <m:t>+</m:t>
                        </m:r>
                        <m:r>
                          <m:rPr>
                            <m:sty m:val="p"/>
                          </m:rPr>
                          <a:rPr lang="pt-BR" sz="800" i="0">
                            <a:latin typeface="Cambria Math" panose="02040503050406030204" pitchFamily="18" charset="0"/>
                          </a:rPr>
                          <m:t>Receb</m:t>
                        </m:r>
                        <m:r>
                          <a:rPr lang="pt-BR" sz="800" i="0">
                            <a:latin typeface="Cambria Math" panose="02040503050406030204" pitchFamily="18" charset="0"/>
                          </a:rPr>
                          <m:t>í</m:t>
                        </m:r>
                        <m:r>
                          <m:rPr>
                            <m:sty m:val="p"/>
                          </m:rPr>
                          <a:rPr lang="pt-BR" sz="800" i="0">
                            <a:latin typeface="Cambria Math" panose="02040503050406030204" pitchFamily="18" charset="0"/>
                          </a:rPr>
                          <m:t>veis</m:t>
                        </m:r>
                        <m:r>
                          <a:rPr lang="pt-BR" sz="800" i="0">
                            <a:latin typeface="Cambria Math" panose="02040503050406030204" pitchFamily="18" charset="0"/>
                          </a:rPr>
                          <m:t> </m:t>
                        </m:r>
                        <m:r>
                          <m:rPr>
                            <m:sty m:val="p"/>
                          </m:rPr>
                          <a:rPr lang="pt-BR" sz="800" i="0">
                            <a:latin typeface="Cambria Math" panose="02040503050406030204" pitchFamily="18" charset="0"/>
                          </a:rPr>
                          <m:t>de</m:t>
                        </m:r>
                        <m:r>
                          <a:rPr lang="pt-BR" sz="800" i="0">
                            <a:latin typeface="Cambria Math" panose="02040503050406030204" pitchFamily="18" charset="0"/>
                          </a:rPr>
                          <m:t> </m:t>
                        </m:r>
                        <m:r>
                          <m:rPr>
                            <m:sty m:val="p"/>
                          </m:rPr>
                          <a:rPr lang="pt-BR" sz="800" i="0">
                            <a:latin typeface="Cambria Math" panose="02040503050406030204" pitchFamily="18" charset="0"/>
                          </a:rPr>
                          <m:t>Cart</m:t>
                        </m:r>
                        <m:r>
                          <a:rPr lang="pt-BR" sz="800" i="0">
                            <a:latin typeface="Cambria Math" panose="02040503050406030204" pitchFamily="18" charset="0"/>
                          </a:rPr>
                          <m:t>ã</m:t>
                        </m:r>
                        <m:r>
                          <m:rPr>
                            <m:sty m:val="p"/>
                          </m:rPr>
                          <a:rPr lang="pt-BR" sz="800" i="0">
                            <a:latin typeface="Cambria Math" panose="02040503050406030204" pitchFamily="18" charset="0"/>
                          </a:rPr>
                          <m:t>o</m:t>
                        </m:r>
                        <m:r>
                          <a:rPr lang="pt-BR" sz="800" i="0">
                            <a:latin typeface="Cambria Math" panose="02040503050406030204" pitchFamily="18" charset="0"/>
                          </a:rPr>
                          <m:t> </m:t>
                        </m:r>
                        <m:r>
                          <m:rPr>
                            <m:sty m:val="p"/>
                          </m:rPr>
                          <a:rPr lang="pt-BR" sz="800" i="0">
                            <a:latin typeface="Cambria Math" panose="02040503050406030204" pitchFamily="18" charset="0"/>
                          </a:rPr>
                          <m:t>de</m:t>
                        </m:r>
                        <m:r>
                          <a:rPr lang="pt-BR" sz="800" i="0">
                            <a:latin typeface="Cambria Math" panose="02040503050406030204" pitchFamily="18" charset="0"/>
                          </a:rPr>
                          <m:t> </m:t>
                        </m:r>
                        <m:r>
                          <m:rPr>
                            <m:sty m:val="p"/>
                          </m:rPr>
                          <a:rPr lang="pt-BR" sz="800" i="0">
                            <a:latin typeface="Cambria Math" panose="02040503050406030204" pitchFamily="18" charset="0"/>
                          </a:rPr>
                          <m:t>Cr</m:t>
                        </m:r>
                        <m:r>
                          <a:rPr lang="pt-BR" sz="800" i="0">
                            <a:latin typeface="Cambria Math" panose="02040503050406030204" pitchFamily="18" charset="0"/>
                          </a:rPr>
                          <m:t>é</m:t>
                        </m:r>
                        <m:r>
                          <m:rPr>
                            <m:sty m:val="p"/>
                          </m:rPr>
                          <a:rPr lang="pt-BR" sz="800" i="0">
                            <a:latin typeface="Cambria Math" panose="02040503050406030204" pitchFamily="18" charset="0"/>
                          </a:rPr>
                          <m:t>dito</m:t>
                        </m:r>
                      </m:den>
                    </m:f>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bruta total:</a:t>
              </a:r>
            </a:p>
            <a:p>
              <a:endParaRPr lang="pt-BR" sz="800">
                <a:solidFill>
                  <a:schemeClr val="tx1">
                    <a:lumMod val="85000"/>
                    <a:lumOff val="15000"/>
                  </a:schemeClr>
                </a:solidFill>
                <a:latin typeface="Calibri" panose="020F0502020204030204" pitchFamily="34" charset="0"/>
                <a:ea typeface="Inter" panose="020B0502030000000004" pitchFamily="34" charset="0"/>
                <a:cs typeface="Calibri" panose="020F0502020204030204" pitchFamily="34" charset="0"/>
              </a:endParaRPr>
            </a:p>
            <a:p>
              <a:pPr/>
              <a14:m>
                <m:oMathPara xmlns:m="http://schemas.openxmlformats.org/officeDocument/2006/math">
                  <m:oMathParaPr>
                    <m:jc m:val="center"/>
                  </m:oMathParaPr>
                  <m:oMath xmlns:m="http://schemas.openxmlformats.org/officeDocument/2006/math">
                    <m:r>
                      <m:rPr>
                        <m:sty m:val="p"/>
                      </m:rPr>
                      <a:rPr lang="pt-BR" sz="800" b="0" i="0">
                        <a:latin typeface="Cambria Math" panose="02040503050406030204" pitchFamily="18" charset="0"/>
                        <a:cs typeface="Sora" pitchFamily="2" charset="0"/>
                      </a:rPr>
                      <m:t>Receita</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juros</m:t>
                    </m:r>
                    <m:r>
                      <a:rPr lang="pt-BR" sz="800" i="0">
                        <a:latin typeface="Cambria Math" panose="02040503050406030204" pitchFamily="18" charset="0"/>
                        <a:cs typeface="Sora" pitchFamily="2" charset="0"/>
                      </a:rPr>
                      <m:t>+ </m:t>
                    </m:r>
                    <m:d>
                      <m:dPr>
                        <m:ctrlPr>
                          <a:rPr lang="pt-BR" sz="800" i="1">
                            <a:latin typeface="Cambria Math" panose="02040503050406030204" pitchFamily="18" charset="0"/>
                            <a:cs typeface="Sora" pitchFamily="2" charset="0"/>
                          </a:rPr>
                        </m:ctrlPr>
                      </m:dPr>
                      <m:e>
                        <m:r>
                          <m:rPr>
                            <m:sty m:val="p"/>
                          </m:rPr>
                          <a:rPr lang="pt-BR" sz="800" i="0">
                            <a:latin typeface="Cambria Math" panose="02040503050406030204" pitchFamily="18" charset="0"/>
                            <a:cs typeface="Sora" pitchFamily="2" charset="0"/>
                          </a:rPr>
                          <m:t>Receitas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servi</m:t>
                        </m:r>
                        <m:r>
                          <a:rPr lang="pt-BR" sz="800" i="0">
                            <a:latin typeface="Cambria Math" panose="02040503050406030204" pitchFamily="18" charset="0"/>
                            <a:cs typeface="Sora" pitchFamily="2" charset="0"/>
                          </a:rPr>
                          <m:t>ç</m:t>
                        </m:r>
                        <m:r>
                          <m:rPr>
                            <m:sty m:val="p"/>
                          </m:rPr>
                          <a:rPr lang="pt-BR" sz="800" i="0">
                            <a:latin typeface="Cambria Math" panose="02040503050406030204" pitchFamily="18" charset="0"/>
                            <a:cs typeface="Sora" pitchFamily="2" charset="0"/>
                          </a:rPr>
                          <m:t>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comiss</m:t>
                        </m:r>
                        <m:r>
                          <a:rPr lang="pt-BR" sz="800" i="0">
                            <a:latin typeface="Cambria Math" panose="02040503050406030204" pitchFamily="18" charset="0"/>
                            <a:cs typeface="Sora" pitchFamily="2" charset="0"/>
                          </a:rPr>
                          <m:t>õ</m:t>
                        </m:r>
                        <m:r>
                          <m:rPr>
                            <m:sty m:val="p"/>
                          </m:rPr>
                          <a:rPr lang="pt-BR" sz="800" i="0">
                            <a:latin typeface="Cambria Math" panose="02040503050406030204" pitchFamily="18" charset="0"/>
                            <a:cs typeface="Sora" pitchFamily="2" charset="0"/>
                          </a:rPr>
                          <m:t>es</m:t>
                        </m:r>
                        <m:r>
                          <a:rPr lang="pt-BR" sz="800" i="0">
                            <a:latin typeface="Cambria Math" panose="02040503050406030204" pitchFamily="18" charset="0"/>
                            <a:cs typeface="Sora" pitchFamily="2" charset="0"/>
                          </a:rPr>
                          <m:t> – </m:t>
                        </m:r>
                        <m:r>
                          <m:rPr>
                            <m:sty m:val="p"/>
                          </m:rPr>
                          <a:rPr lang="pt-BR" sz="800" i="0">
                            <a:latin typeface="Cambria Math" panose="02040503050406030204" pitchFamily="18" charset="0"/>
                            <a:cs typeface="Sora" pitchFamily="2" charset="0"/>
                          </a:rPr>
                          <m:t>despesas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com</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cashback</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Inter</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rewards</m:t>
                        </m:r>
                      </m:e>
                    </m:d>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Resultado</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t</m:t>
                    </m:r>
                    <m:r>
                      <a:rPr lang="pt-BR" sz="800" i="0">
                        <a:latin typeface="Cambria Math" panose="02040503050406030204" pitchFamily="18" charset="0"/>
                        <a:cs typeface="Sora" pitchFamily="2" charset="0"/>
                      </a:rPr>
                      <m:t>í</m:t>
                    </m:r>
                    <m:r>
                      <m:rPr>
                        <m:sty m:val="p"/>
                      </m:rPr>
                      <a:rPr lang="pt-BR" sz="800" i="0">
                        <a:latin typeface="Cambria Math" panose="02040503050406030204" pitchFamily="18" charset="0"/>
                        <a:cs typeface="Sora" pitchFamily="2" charset="0"/>
                      </a:rPr>
                      <m:t>tulos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valores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mobili</m:t>
                    </m:r>
                    <m:r>
                      <a:rPr lang="pt-BR" sz="800" i="0">
                        <a:latin typeface="Cambria Math" panose="02040503050406030204" pitchFamily="18" charset="0"/>
                        <a:cs typeface="Sora" pitchFamily="2" charset="0"/>
                      </a:rPr>
                      <m:t>á</m:t>
                    </m:r>
                    <m:r>
                      <m:rPr>
                        <m:sty m:val="p"/>
                      </m:rPr>
                      <a:rPr lang="pt-BR" sz="800" i="0">
                        <a:latin typeface="Cambria Math" panose="02040503050406030204" pitchFamily="18" charset="0"/>
                        <a:cs typeface="Sora" pitchFamily="2" charset="0"/>
                      </a:rPr>
                      <m:t>rios</m:t>
                    </m:r>
                    <m:r>
                      <a:rPr lang="pt-BR" sz="80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e</m:t>
                    </m:r>
                    <m:r>
                      <a:rPr lang="pt-BR" sz="800" b="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derivativos</m:t>
                    </m:r>
                    <m:r>
                      <a:rPr lang="pt-BR" sz="800" i="0">
                        <a:latin typeface="Cambria Math" panose="02040503050406030204" pitchFamily="18" charset="0"/>
                        <a:cs typeface="Sora" pitchFamily="2" charset="0"/>
                      </a:rPr>
                      <m:t> + </m:t>
                    </m:r>
                    <m:r>
                      <m:rPr>
                        <m:sty m:val="p"/>
                      </m:rPr>
                      <a:rPr lang="pt-BR" sz="800" i="0">
                        <a:latin typeface="Cambria Math" panose="02040503050406030204" pitchFamily="18" charset="0"/>
                        <a:cs typeface="Sora" pitchFamily="2" charset="0"/>
                      </a:rPr>
                      <m:t>Outras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receitas</m:t>
                    </m:r>
                  </m:oMath>
                </m:oMathPara>
              </a14:m>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de floating:</a:t>
              </a:r>
            </a:p>
            <a:p>
              <a:r>
                <a:rPr lang="pt-BR" sz="800">
                  <a:latin typeface="Calibri" panose="020F0502020204030204" pitchFamily="34" charset="0"/>
                  <a:ea typeface="Inter" panose="020B0502030000000004" pitchFamily="34" charset="0"/>
                  <a:cs typeface="Calibri" panose="020F0502020204030204" pitchFamily="34" charset="0"/>
                </a:rPr>
                <a:t>A receita de floating é um cálculo gerencial e se dá pela multiplicação do saldo de depósitos à vista (líquido de compulsório) por 100% da taxa CDI.</a:t>
              </a:r>
            </a:p>
            <a:p>
              <a:endParaRPr lang="pt-BR" sz="800" b="1">
                <a:latin typeface="Calibri" panose="020F0502020204030204" pitchFamily="34" charset="0"/>
                <a:ea typeface="Inter" panose="020B05020300000000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xdr:txBody>
        </xdr:sp>
      </mc:Choice>
      <mc:Fallback xmlns="">
        <xdr:sp macro="" textlink="">
          <xdr:nvSpPr>
            <xdr:cNvPr id="51" name="Retângulo 9">
              <a:extLst>
                <a:ext uri="{FF2B5EF4-FFF2-40B4-BE49-F238E27FC236}">
                  <a16:creationId xmlns:a16="http://schemas.microsoft.com/office/drawing/2014/main" id="{A0707A7C-D8EB-26A2-0525-185CDA121C9A}"/>
                </a:ext>
              </a:extLst>
            </xdr:cNvPr>
            <xdr:cNvSpPr/>
          </xdr:nvSpPr>
          <xdr:spPr>
            <a:xfrm>
              <a:off x="6803887" y="31366055"/>
              <a:ext cx="5764771" cy="534139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NIM 1.0 - Baseado na carteira remunerada + recebíveis de cartão de crédito não remunerados</a:t>
              </a:r>
              <a:br>
                <a:rPr lang="en-US" sz="800" b="1">
                  <a:latin typeface="Calibri" panose="020F0502020204030204" pitchFamily="34" charset="0"/>
                  <a:cs typeface="Calibri" panose="020F0502020204030204" pitchFamily="34" charset="0"/>
                </a:rPr>
              </a:br>
              <a:endParaRPr lang="en-US" sz="800" b="1">
                <a:latin typeface="Calibri" panose="020F0502020204030204" pitchFamily="34" charset="0"/>
                <a:cs typeface="Calibri" panose="020F0502020204030204" pitchFamily="34" charset="0"/>
              </a:endParaRPr>
            </a:p>
            <a:p>
              <a:pPr algn="ctr"/>
              <a:r>
                <a:rPr lang="pt-BR" sz="800" i="0">
                  <a:latin typeface="Cambria Math" panose="02040503050406030204" pitchFamily="18" charset="0"/>
                </a:rPr>
                <a:t>(Resultado líquido de juros x 4)/█(Média da carteira remunerada dos últimos 2 trimestres (Empréstimos a instituições financeiras+ Valores Mobiliários + @Derivativos + Empréstimos e adiantamentos a clientes</a:t>
              </a:r>
              <a:r>
                <a:rPr lang="pt-BR" sz="800" b="0" i="0">
                  <a:latin typeface="Cambria Math" panose="02040503050406030204" pitchFamily="18" charset="0"/>
                </a:rPr>
                <a:t>)) </a:t>
              </a:r>
              <a:r>
                <a:rPr lang="pt-BR" sz="800" i="0">
                  <a:latin typeface="Cambria Math" panose="02040503050406030204" pitchFamily="18" charset="0"/>
                </a:rPr>
                <a:t> </a:t>
              </a:r>
              <a:endParaRPr lang="en-US" sz="800" b="1">
                <a:latin typeface="Calibri" panose="020F0502020204030204" pitchFamily="34" charset="0"/>
                <a:cs typeface="Calibri" panose="020F0502020204030204" pitchFamily="34" charset="0"/>
              </a:endParaRPr>
            </a:p>
            <a:p>
              <a:pPr algn="ct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NIM 2.0 - Baseado na carteira remunerada</a:t>
              </a:r>
              <a:br>
                <a:rPr lang="en-US" sz="800" b="1">
                  <a:latin typeface="Calibri" panose="020F0502020204030204" pitchFamily="34" charset="0"/>
                  <a:cs typeface="Calibri" panose="020F0502020204030204" pitchFamily="34" charset="0"/>
                </a:rPr>
              </a:br>
              <a:endParaRPr lang="en-US" sz="800" b="1">
                <a:latin typeface="Calibri" panose="020F0502020204030204" pitchFamily="34" charset="0"/>
                <a:cs typeface="Calibri" panose="020F0502020204030204" pitchFamily="34" charset="0"/>
              </a:endParaRPr>
            </a:p>
            <a:p>
              <a:pPr algn="ctr"/>
              <a:r>
                <a:rPr lang="pt-BR" sz="800" i="0">
                  <a:latin typeface="Cambria Math" panose="02040503050406030204" pitchFamily="18" charset="0"/>
                </a:rPr>
                <a:t>(Resultado líquido de juros x 4)/</a:t>
              </a:r>
              <a:r>
                <a:rPr lang="en-US" sz="800" i="0">
                  <a:latin typeface="Cambria Math" panose="02040503050406030204" pitchFamily="18" charset="0"/>
                </a:rPr>
                <a:t>█("</a:t>
              </a:r>
              <a:r>
                <a:rPr lang="en-US" sz="800" i="0">
                  <a:latin typeface="Calibri" panose="020F0502020204030204" pitchFamily="34" charset="0"/>
                  <a:cs typeface="Calibri" panose="020F0502020204030204" pitchFamily="34" charset="0"/>
                </a:rPr>
                <a:t>Média da carteira remunerada dos últimos 2 trimestres – Recebíveis cartãode crédito não remunerados</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a:t>
              </a:r>
              <a:r>
                <a:rPr lang="en-US" sz="800" i="0">
                  <a:latin typeface="Cambria Math" panose="02040503050406030204" pitchFamily="18" charset="0"/>
                  <a:cs typeface="Calibri" panose="020F0502020204030204" pitchFamily="34" charset="0"/>
                </a:rPr>
                <a:t>"</a:t>
              </a:r>
              <a:r>
                <a:rPr lang="en-US" sz="800" i="0">
                  <a:latin typeface="Calibri" panose="020F0502020204030204" pitchFamily="34" charset="0"/>
                  <a:cs typeface="Calibri" panose="020F0502020204030204" pitchFamily="34" charset="0"/>
                </a:rPr>
                <a:t>(Empréstimos a instituiçõesfinanceiras</a:t>
              </a:r>
              <a:r>
                <a:rPr lang="pt-BR" sz="800" i="0">
                  <a:latin typeface="Calibri" panose="020F0502020204030204" pitchFamily="34" charset="0"/>
                  <a:cs typeface="Calibri" panose="020F0502020204030204" pitchFamily="34" charset="0"/>
                </a:rPr>
                <a:t> </a:t>
              </a:r>
              <a:r>
                <a:rPr lang="en-US" sz="800" i="0">
                  <a:latin typeface="Calibri" panose="020F0502020204030204" pitchFamily="34" charset="0"/>
                  <a:cs typeface="Calibri" panose="020F0502020204030204" pitchFamily="34" charset="0"/>
                </a:rPr>
                <a:t>+ Valores Mobiliários+ Derivativos + Empréstimos e adiantamentos </a:t>
              </a:r>
              <a:r>
                <a:rPr lang="en-US" sz="800" i="0">
                  <a:latin typeface="Cambria Math" panose="02040503050406030204" pitchFamily="18" charset="0"/>
                  <a:cs typeface="Calibri" panose="020F0502020204030204" pitchFamily="34" charset="0"/>
                </a:rPr>
                <a:t>" @"</a:t>
              </a:r>
              <a:r>
                <a:rPr lang="en-US" sz="800" i="0">
                  <a:latin typeface="Calibri" panose="020F0502020204030204" pitchFamily="34" charset="0"/>
                  <a:cs typeface="Calibri" panose="020F0502020204030204" pitchFamily="34" charset="0"/>
                </a:rPr>
                <a:t>a</a:t>
              </a:r>
              <a:r>
                <a:rPr lang="pt-BR" sz="800" i="0">
                  <a:latin typeface="Cambria Math" panose="02040503050406030204" pitchFamily="18" charset="0"/>
                  <a:cs typeface="Calibri" panose="020F0502020204030204" pitchFamily="34" charset="0"/>
                </a:rPr>
                <a:t>" </a:t>
              </a:r>
              <a:r>
                <a:rPr lang="pt-BR" sz="800" i="0">
                  <a:latin typeface="Cambria Math" panose="02040503050406030204" pitchFamily="18" charset="0"/>
                </a:rPr>
                <a:t> clientes"</a:t>
              </a:r>
              <a:r>
                <a:rPr lang="pt-BR" sz="800" i="0">
                  <a:latin typeface="Calibri" panose="020F0502020204030204" pitchFamily="34" charset="0"/>
                  <a:cs typeface="Calibri" panose="020F0502020204030204" pitchFamily="34" charset="0"/>
                </a:rPr>
                <a:t> </a:t>
              </a:r>
              <a:r>
                <a:rPr lang="en-US" sz="800" i="0">
                  <a:latin typeface="Calibri" panose="020F0502020204030204" pitchFamily="34" charset="0"/>
                  <a:cs typeface="Calibri" panose="020F0502020204030204" pitchFamily="34" charset="0"/>
                </a:rPr>
                <a:t>– </a:t>
              </a:r>
              <a:r>
                <a:rPr lang="pt-BR" sz="800" i="0">
                  <a:latin typeface="Calibri" panose="020F0502020204030204" pitchFamily="34" charset="0"/>
                  <a:cs typeface="Calibri" panose="020F0502020204030204" pitchFamily="34" charset="0"/>
                </a:rPr>
                <a:t>C</a:t>
              </a:r>
              <a:r>
                <a:rPr lang="en-US" sz="800" i="0">
                  <a:latin typeface="Calibri" panose="020F0502020204030204" pitchFamily="34" charset="0"/>
                  <a:cs typeface="Calibri" panose="020F0502020204030204" pitchFamily="34" charset="0"/>
                </a:rPr>
                <a:t>arteira à vista de cartão de crédito</a:t>
              </a:r>
              <a:r>
                <a:rPr lang="pt-BR" sz="800" i="0">
                  <a:latin typeface="Cambria Math" panose="02040503050406030204" pitchFamily="18" charset="0"/>
                  <a:cs typeface="Calibri" panose="020F0502020204030204" pitchFamily="34" charset="0"/>
                </a:rPr>
                <a:t>" </a:t>
              </a:r>
              <a:r>
                <a:rPr lang="pt-BR" sz="800" i="0">
                  <a:latin typeface="Cambria Math" panose="02040503050406030204" pitchFamily="18" charset="0"/>
                </a:rPr>
                <a:t>)"</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a:t>
              </a:r>
              <a:endParaRPr lang="en-US" sz="800">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NPL 15 a 90 dias:</a:t>
              </a:r>
            </a:p>
            <a:p>
              <a:endParaRPr lang="en-US" sz="800" b="1">
                <a:latin typeface="Calibri" panose="020F0502020204030204" pitchFamily="34" charset="0"/>
                <a:cs typeface="Calibri" panose="020F0502020204030204" pitchFamily="34" charset="0"/>
              </a:endParaRPr>
            </a:p>
            <a:p>
              <a:pPr/>
              <a:r>
                <a:rPr lang="pt-BR" sz="800" i="0">
                  <a:latin typeface="Cambria Math" panose="02040503050406030204" pitchFamily="18" charset="0"/>
                </a:rPr>
                <a:t>(Saldo vencido </a:t>
              </a:r>
              <a:r>
                <a:rPr lang="pt-BR" sz="800" b="0" i="0">
                  <a:latin typeface="Cambria Math" panose="02040503050406030204" pitchFamily="18" charset="0"/>
                </a:rPr>
                <a:t>entre 15 e 90 </a:t>
              </a:r>
              <a:r>
                <a:rPr lang="pt-BR" sz="800" i="0">
                  <a:latin typeface="Cambria Math" panose="02040503050406030204" pitchFamily="18" charset="0"/>
                </a:rPr>
                <a:t>dias)/(Empréstimos e adiantamento a clientes+Recebíveis de Cartão de Crédito)</a:t>
              </a:r>
              <a:r>
                <a:rPr lang="pt-BR" sz="800" b="0" i="0">
                  <a:latin typeface="Cambria Math" panose="02040503050406030204" pitchFamily="18" charset="0"/>
                </a:rPr>
                <a:t>  </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NPL &gt; 90 dias:</a:t>
              </a:r>
            </a:p>
            <a:p>
              <a:endParaRPr lang="en-US" sz="800" b="1">
                <a:latin typeface="Calibri" panose="020F0502020204030204" pitchFamily="34" charset="0"/>
                <a:cs typeface="Calibri" panose="020F0502020204030204" pitchFamily="34" charset="0"/>
              </a:endParaRPr>
            </a:p>
            <a:p>
              <a:pPr/>
              <a:r>
                <a:rPr lang="pt-BR" sz="800" i="0">
                  <a:latin typeface="Cambria Math" panose="02040503050406030204" pitchFamily="18" charset="0"/>
                </a:rPr>
                <a:t>(S</a:t>
              </a:r>
              <a:r>
                <a:rPr lang="pt-BR" sz="800" b="0" i="0">
                  <a:latin typeface="Cambria Math" panose="02040503050406030204" pitchFamily="18" charset="0"/>
                </a:rPr>
                <a:t>aldo vencido a mais de 90 dias)/(</a:t>
              </a:r>
              <a:r>
                <a:rPr lang="pt-BR" sz="800" i="0">
                  <a:latin typeface="Cambria Math" panose="02040503050406030204" pitchFamily="18" charset="0"/>
                </a:rPr>
                <a:t>Empréstimos e adiantamento a clientes+Recebíveis de Cartão de Crédito)</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bruta total:</a:t>
              </a:r>
            </a:p>
            <a:p>
              <a:endParaRPr lang="pt-BR" sz="800">
                <a:solidFill>
                  <a:schemeClr val="tx1">
                    <a:lumMod val="85000"/>
                    <a:lumOff val="15000"/>
                  </a:schemeClr>
                </a:solidFill>
                <a:latin typeface="Calibri" panose="020F0502020204030204" pitchFamily="34" charset="0"/>
                <a:ea typeface="Inter" panose="020B0502030000000004" pitchFamily="34" charset="0"/>
                <a:cs typeface="Calibri" panose="020F0502020204030204" pitchFamily="34" charset="0"/>
              </a:endParaRPr>
            </a:p>
            <a:p>
              <a:pPr/>
              <a:r>
                <a:rPr lang="pt-BR" sz="800" b="0" i="0">
                  <a:latin typeface="Cambria Math" panose="02040503050406030204" pitchFamily="18" charset="0"/>
                  <a:cs typeface="Sora" pitchFamily="2" charset="0"/>
                </a:rPr>
                <a:t>Receita de juros</a:t>
              </a:r>
              <a:r>
                <a:rPr lang="pt-BR" sz="800" i="0">
                  <a:latin typeface="Cambria Math" panose="02040503050406030204" pitchFamily="18" charset="0"/>
                  <a:cs typeface="Sora" pitchFamily="2" charset="0"/>
                </a:rPr>
                <a:t>+ (Receitas de serviços e comissões – despesas com cashback</a:t>
              </a:r>
              <a:r>
                <a:rPr lang="pt-BR" sz="800" b="0" i="0">
                  <a:latin typeface="Cambria Math" panose="02040503050406030204" pitchFamily="18" charset="0"/>
                  <a:cs typeface="Sora" pitchFamily="2" charset="0"/>
                </a:rPr>
                <a:t> −Inter rewards)</a:t>
              </a:r>
              <a:r>
                <a:rPr lang="pt-BR" sz="800" i="0">
                  <a:latin typeface="Cambria Math" panose="02040503050406030204" pitchFamily="18" charset="0"/>
                  <a:cs typeface="Sora" pitchFamily="2" charset="0"/>
                </a:rPr>
                <a:t>+ Resultado de títulos e valores mobiliários </a:t>
              </a:r>
              <a:r>
                <a:rPr lang="pt-BR" sz="800" b="0" i="0">
                  <a:latin typeface="Cambria Math" panose="02040503050406030204" pitchFamily="18" charset="0"/>
                  <a:cs typeface="Sora" pitchFamily="2" charset="0"/>
                </a:rPr>
                <a:t>e </a:t>
              </a:r>
              <a:r>
                <a:rPr lang="pt-BR" sz="800" i="0">
                  <a:latin typeface="Cambria Math" panose="02040503050406030204" pitchFamily="18" charset="0"/>
                  <a:cs typeface="Sora" pitchFamily="2" charset="0"/>
                </a:rPr>
                <a:t>derivativos + Outras receitas</a:t>
              </a:r>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de floating:</a:t>
              </a:r>
            </a:p>
            <a:p>
              <a:r>
                <a:rPr lang="pt-BR" sz="800">
                  <a:latin typeface="Calibri" panose="020F0502020204030204" pitchFamily="34" charset="0"/>
                  <a:ea typeface="Inter" panose="020B0502030000000004" pitchFamily="34" charset="0"/>
                  <a:cs typeface="Calibri" panose="020F0502020204030204" pitchFamily="34" charset="0"/>
                </a:rPr>
                <a:t>A receita de floating é um cálculo gerencial e se dá pela multiplicação do saldo de depósitos à vista (líquido de compulsório) por 100% da taxa CDI.</a:t>
              </a:r>
            </a:p>
            <a:p>
              <a:endParaRPr lang="pt-BR" sz="800" b="1">
                <a:latin typeface="Calibri" panose="020F0502020204030204" pitchFamily="34" charset="0"/>
                <a:ea typeface="Inter" panose="020B05020300000000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xdr:txBody>
        </xdr:sp>
      </mc:Fallback>
    </mc:AlternateContent>
    <xdr:clientData/>
  </xdr:twoCellAnchor>
  <xdr:twoCellAnchor>
    <xdr:from>
      <xdr:col>8</xdr:col>
      <xdr:colOff>218784</xdr:colOff>
      <xdr:row>200</xdr:row>
      <xdr:rowOff>0</xdr:rowOff>
    </xdr:from>
    <xdr:to>
      <xdr:col>15</xdr:col>
      <xdr:colOff>186984</xdr:colOff>
      <xdr:row>227</xdr:row>
      <xdr:rowOff>15069</xdr:rowOff>
    </xdr:to>
    <mc:AlternateContent xmlns:mc="http://schemas.openxmlformats.org/markup-compatibility/2006" xmlns:a14="http://schemas.microsoft.com/office/drawing/2010/main">
      <mc:Choice Requires="a14">
        <xdr:sp macro="" textlink="">
          <xdr:nvSpPr>
            <xdr:cNvPr id="52" name="Retângulo 9">
              <a:extLst>
                <a:ext uri="{FF2B5EF4-FFF2-40B4-BE49-F238E27FC236}">
                  <a16:creationId xmlns:a16="http://schemas.microsoft.com/office/drawing/2014/main" id="{00000000-0008-0000-1600-000034000000}"/>
                </a:ext>
              </a:extLst>
            </xdr:cNvPr>
            <xdr:cNvSpPr/>
          </xdr:nvSpPr>
          <xdr:spPr>
            <a:xfrm>
              <a:off x="6844871" y="36811594"/>
              <a:ext cx="5766026" cy="4984634"/>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Receita de serviços de cartão:</a:t>
              </a:r>
            </a:p>
            <a:p>
              <a:pPr algn="just"/>
              <a:r>
                <a:rPr lang="en-US" sz="800">
                  <a:latin typeface="Calibri" panose="020F0502020204030204" pitchFamily="34" charset="0"/>
                  <a:ea typeface="Inter" panose="020B0502030000000004" pitchFamily="34" charset="0"/>
                  <a:cs typeface="Calibri" panose="020F0502020204030204" pitchFamily="34" charset="0"/>
                </a:rPr>
                <a:t>É parte das linhas “Receita de serviços e comissões” e “Outras receitas” da Demonstração de Resultado IFRS. </a:t>
              </a:r>
            </a:p>
            <a:p>
              <a:pPr algn="just"/>
              <a:endParaRPr lang="en-US" sz="800" b="1">
                <a:latin typeface="Calibri" panose="020F0502020204030204" pitchFamily="34" charset="0"/>
                <a:ea typeface="Inter" panose="020B05020300000000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líquida:</a:t>
              </a:r>
            </a:p>
            <a:p>
              <a:endParaRPr lang="pt-BR" sz="800">
                <a:solidFill>
                  <a:schemeClr val="tx1">
                    <a:lumMod val="85000"/>
                    <a:lumOff val="15000"/>
                  </a:schemeClr>
                </a:solidFill>
                <a:highlight>
                  <a:srgbClr val="FFFF00"/>
                </a:highlight>
                <a:latin typeface="Calibri" panose="020F0502020204030204" pitchFamily="34" charset="0"/>
                <a:ea typeface="Inter" panose="020B05020300000000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sultado</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l</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í</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quido</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juros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Resultado</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l</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í</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quido</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servi</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ç</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comiss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õ</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Outras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receitas</m:t>
                    </m:r>
                  </m:oMath>
                </m:oMathPara>
              </a14:m>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líquida de serviços:</a:t>
              </a:r>
            </a:p>
            <a:p>
              <a:endParaRPr lang="pt-BR" sz="800">
                <a:solidFill>
                  <a:schemeClr val="tx1">
                    <a:lumMod val="85000"/>
                    <a:lumOff val="15000"/>
                  </a:schemeClr>
                </a:solidFill>
                <a:highlight>
                  <a:srgbClr val="FFFF00"/>
                </a:highlight>
                <a:latin typeface="Calibri" panose="020F0502020204030204" pitchFamily="34" charset="0"/>
                <a:ea typeface="Inter" panose="020B05020300000000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Receitas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servi</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ç</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comiss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õ</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Outras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receitas</m:t>
                    </m:r>
                  </m:oMath>
                </m:oMathPara>
              </a14:m>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pt-BR" sz="800">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líquida de juros:</a:t>
              </a:r>
            </a:p>
            <a:p>
              <a:endParaRPr lang="pt-BR" sz="800">
                <a:solidFill>
                  <a:schemeClr val="tx1">
                    <a:lumMod val="85000"/>
                    <a:lumOff val="15000"/>
                  </a:schemeClr>
                </a:solidFill>
                <a:highlight>
                  <a:srgbClr val="FFFF00"/>
                </a:highlight>
                <a:latin typeface="Calibri" panose="020F0502020204030204" pitchFamily="34" charset="0"/>
                <a:ea typeface="Inter" panose="020B0502030000000004" pitchFamily="34" charset="0"/>
                <a:cs typeface="Calibri" panose="020F0502020204030204" pitchFamily="34" charset="0"/>
              </a:endParaRPr>
            </a:p>
            <a:p>
              <a:pPr algn="ctr"/>
              <a14:m>
                <m:oMath xmlns:m="http://schemas.openxmlformats.org/officeDocument/2006/math">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Receita</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juros</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Despesas</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juros</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Resultado</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í</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tulos</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Valores</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Mobili</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á</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rios</m:t>
                  </m:r>
                </m:oMath>
              </a14:m>
              <a:r>
                <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rPr>
                <a:t> e Derivativos</a:t>
              </a: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Retorno sobre patrimônio líquido médio (ROE): </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a:rPr lang="pt-BR" sz="800" i="0">
                            <a:latin typeface="Cambria Math" panose="02040503050406030204" pitchFamily="18" charset="0"/>
                          </a:rPr>
                          <m:t>(</m:t>
                        </m:r>
                        <m:r>
                          <m:rPr>
                            <m:sty m:val="p"/>
                          </m:rPr>
                          <a:rPr lang="pt-BR" sz="800" i="0">
                            <a:latin typeface="Cambria Math" panose="02040503050406030204" pitchFamily="18" charset="0"/>
                          </a:rPr>
                          <m:t>Lucro</m:t>
                        </m:r>
                        <m:r>
                          <a:rPr lang="pt-BR" sz="800" i="0">
                            <a:latin typeface="Cambria Math" panose="02040503050406030204" pitchFamily="18" charset="0"/>
                          </a:rPr>
                          <m:t> /</m:t>
                        </m:r>
                        <m:d>
                          <m:dPr>
                            <m:ctrlPr>
                              <a:rPr lang="pt-BR" sz="800" i="1">
                                <a:latin typeface="Cambria Math" panose="02040503050406030204" pitchFamily="18" charset="0"/>
                              </a:rPr>
                            </m:ctrlPr>
                          </m:dPr>
                          <m:e>
                            <m:r>
                              <m:rPr>
                                <m:sty m:val="p"/>
                              </m:rPr>
                              <a:rPr lang="pt-BR" sz="800" i="0">
                                <a:latin typeface="Cambria Math" panose="02040503050406030204" pitchFamily="18" charset="0"/>
                              </a:rPr>
                              <m:t>perda</m:t>
                            </m:r>
                          </m:e>
                        </m:d>
                        <m:r>
                          <a:rPr lang="pt-BR" sz="800" i="0">
                            <a:latin typeface="Cambria Math" panose="02040503050406030204" pitchFamily="18" charset="0"/>
                          </a:rPr>
                          <m:t> </m:t>
                        </m:r>
                        <m:r>
                          <m:rPr>
                            <m:sty m:val="p"/>
                          </m:rPr>
                          <a:rPr lang="pt-BR" sz="800" i="0">
                            <a:latin typeface="Cambria Math" panose="02040503050406030204" pitchFamily="18" charset="0"/>
                          </a:rPr>
                          <m:t>para</m:t>
                        </m:r>
                        <m:r>
                          <a:rPr lang="pt-BR" sz="800" i="0">
                            <a:latin typeface="Cambria Math" panose="02040503050406030204" pitchFamily="18" charset="0"/>
                          </a:rPr>
                          <m:t> </m:t>
                        </m:r>
                        <m:r>
                          <m:rPr>
                            <m:sty m:val="p"/>
                          </m:rPr>
                          <a:rPr lang="pt-BR" sz="800" i="0">
                            <a:latin typeface="Cambria Math" panose="02040503050406030204" pitchFamily="18" charset="0"/>
                          </a:rPr>
                          <m:t>o</m:t>
                        </m:r>
                        <m:r>
                          <a:rPr lang="pt-BR" sz="800" i="0">
                            <a:latin typeface="Cambria Math" panose="02040503050406030204" pitchFamily="18" charset="0"/>
                          </a:rPr>
                          <m:t> </m:t>
                        </m:r>
                        <m:r>
                          <m:rPr>
                            <m:sty m:val="p"/>
                          </m:rPr>
                          <a:rPr lang="pt-BR" sz="800" i="0">
                            <a:latin typeface="Cambria Math" panose="02040503050406030204" pitchFamily="18" charset="0"/>
                          </a:rPr>
                          <m:t>ano</m:t>
                        </m:r>
                        <m:r>
                          <a:rPr lang="pt-BR" sz="800" i="0">
                            <a:latin typeface="Cambria Math" panose="02040503050406030204" pitchFamily="18" charset="0"/>
                          </a:rPr>
                          <m:t>) × 4</m:t>
                        </m:r>
                      </m:num>
                      <m:den>
                        <m:r>
                          <m:rPr>
                            <m:sty m:val="p"/>
                          </m:rPr>
                          <a:rPr lang="pt-BR" sz="800" i="0">
                            <a:latin typeface="Cambria Math" panose="02040503050406030204" pitchFamily="18" charset="0"/>
                          </a:rPr>
                          <m:t>M</m:t>
                        </m:r>
                        <m:r>
                          <a:rPr lang="pt-BR" sz="800" i="0">
                            <a:latin typeface="Cambria Math" panose="02040503050406030204" pitchFamily="18" charset="0"/>
                          </a:rPr>
                          <m:t>é</m:t>
                        </m:r>
                        <m:r>
                          <m:rPr>
                            <m:sty m:val="p"/>
                          </m:rPr>
                          <a:rPr lang="pt-BR" sz="800" i="0">
                            <a:latin typeface="Cambria Math" panose="02040503050406030204" pitchFamily="18" charset="0"/>
                          </a:rPr>
                          <m:t>dia</m:t>
                        </m:r>
                        <m:r>
                          <a:rPr lang="pt-BR" sz="800" i="0">
                            <a:latin typeface="Cambria Math" panose="02040503050406030204" pitchFamily="18" charset="0"/>
                          </a:rPr>
                          <m:t> </m:t>
                        </m:r>
                        <m:r>
                          <m:rPr>
                            <m:sty m:val="p"/>
                          </m:rPr>
                          <a:rPr lang="pt-BR" sz="800" i="0">
                            <a:latin typeface="Cambria Math" panose="02040503050406030204" pitchFamily="18" charset="0"/>
                          </a:rPr>
                          <m:t>do</m:t>
                        </m:r>
                        <m:r>
                          <a:rPr lang="pt-BR" sz="800" i="0">
                            <a:latin typeface="Cambria Math" panose="02040503050406030204" pitchFamily="18" charset="0"/>
                          </a:rPr>
                          <m:t> </m:t>
                        </m:r>
                        <m:r>
                          <m:rPr>
                            <m:sty m:val="p"/>
                          </m:rPr>
                          <a:rPr lang="pt-BR" sz="800" i="0">
                            <a:latin typeface="Cambria Math" panose="02040503050406030204" pitchFamily="18" charset="0"/>
                          </a:rPr>
                          <m:t>patrim</m:t>
                        </m:r>
                        <m:r>
                          <a:rPr lang="pt-BR" sz="800" i="0">
                            <a:latin typeface="Cambria Math" panose="02040503050406030204" pitchFamily="18" charset="0"/>
                          </a:rPr>
                          <m:t>ô</m:t>
                        </m:r>
                        <m:r>
                          <m:rPr>
                            <m:sty m:val="p"/>
                          </m:rPr>
                          <a:rPr lang="pt-BR" sz="800" i="0">
                            <a:latin typeface="Cambria Math" panose="02040503050406030204" pitchFamily="18" charset="0"/>
                          </a:rPr>
                          <m:t>nio</m:t>
                        </m:r>
                        <m:r>
                          <a:rPr lang="pt-BR" sz="800" i="0">
                            <a:latin typeface="Cambria Math" panose="02040503050406030204" pitchFamily="18" charset="0"/>
                          </a:rPr>
                          <m:t> </m:t>
                        </m:r>
                        <m:r>
                          <m:rPr>
                            <m:sty m:val="p"/>
                          </m:rPr>
                          <a:rPr lang="pt-BR" sz="800" i="0">
                            <a:latin typeface="Cambria Math" panose="02040503050406030204" pitchFamily="18" charset="0"/>
                          </a:rPr>
                          <m:t>l</m:t>
                        </m:r>
                        <m:r>
                          <a:rPr lang="pt-BR" sz="800" i="0">
                            <a:latin typeface="Cambria Math" panose="02040503050406030204" pitchFamily="18" charset="0"/>
                          </a:rPr>
                          <m:t>í</m:t>
                        </m:r>
                        <m:r>
                          <m:rPr>
                            <m:sty m:val="p"/>
                          </m:rPr>
                          <a:rPr lang="pt-BR" sz="800" i="0">
                            <a:latin typeface="Cambria Math" panose="02040503050406030204" pitchFamily="18" charset="0"/>
                          </a:rPr>
                          <m:t>quido</m:t>
                        </m:r>
                        <m:r>
                          <a:rPr lang="pt-BR" sz="800" i="0">
                            <a:latin typeface="Cambria Math" panose="02040503050406030204" pitchFamily="18" charset="0"/>
                          </a:rPr>
                          <m:t> </m:t>
                        </m:r>
                        <m:r>
                          <m:rPr>
                            <m:sty m:val="p"/>
                          </m:rPr>
                          <a:rPr lang="pt-BR" sz="800" i="0">
                            <a:latin typeface="Cambria Math" panose="02040503050406030204" pitchFamily="18" charset="0"/>
                          </a:rPr>
                          <m:t>dos</m:t>
                        </m:r>
                        <m:r>
                          <a:rPr lang="pt-BR" sz="800" i="0">
                            <a:latin typeface="Cambria Math" panose="02040503050406030204" pitchFamily="18" charset="0"/>
                          </a:rPr>
                          <m:t> ú</m:t>
                        </m:r>
                        <m:r>
                          <m:rPr>
                            <m:sty m:val="p"/>
                          </m:rPr>
                          <a:rPr lang="pt-BR" sz="800" i="0">
                            <a:latin typeface="Cambria Math" panose="02040503050406030204" pitchFamily="18" charset="0"/>
                          </a:rPr>
                          <m:t>ltimos</m:t>
                        </m:r>
                        <m:r>
                          <a:rPr lang="pt-BR" sz="800" i="0">
                            <a:latin typeface="Cambria Math" panose="02040503050406030204" pitchFamily="18" charset="0"/>
                          </a:rPr>
                          <m:t> 2 </m:t>
                        </m:r>
                        <m:r>
                          <m:rPr>
                            <m:sty m:val="p"/>
                          </m:rPr>
                          <a:rPr lang="pt-BR" sz="800" i="0">
                            <a:latin typeface="Cambria Math" panose="02040503050406030204" pitchFamily="18" charset="0"/>
                          </a:rPr>
                          <m:t>trimestres</m:t>
                        </m:r>
                        <m:r>
                          <a:rPr lang="pt-BR" sz="800" i="0">
                            <a:latin typeface="Cambria Math" panose="02040503050406030204" pitchFamily="18" charset="0"/>
                          </a:rPr>
                          <m:t> </m:t>
                        </m:r>
                      </m:den>
                    </m:f>
                  </m:oMath>
                </m:oMathPara>
              </a14:m>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ea typeface="Cambria Math" panose="02040503050406030204" pitchFamily="18" charset="0"/>
                  <a:cs typeface="Calibri" panose="020F0502020204030204" pitchFamily="34" charset="0"/>
                </a:rPr>
                <a:t>SG&amp;A:</a:t>
              </a:r>
            </a:p>
            <a:p>
              <a:endParaRPr lang="en-US" sz="800" b="1" i="0">
                <a:latin typeface="Calibri" panose="020F0502020204030204" pitchFamily="34" charset="0"/>
                <a:ea typeface="Cambria Math" panose="02040503050406030204" pitchFamily="18" charset="0"/>
                <a:cs typeface="Calibri" panose="020F0502020204030204" pitchFamily="34" charset="0"/>
              </a:endParaRPr>
            </a:p>
            <a:p>
              <a:pPr algn="ctr"/>
              <a14:m>
                <m:oMath xmlns:m="http://schemas.openxmlformats.org/officeDocument/2006/math">
                  <m:r>
                    <m:rPr>
                      <m:sty m:val="p"/>
                    </m:rPr>
                    <a:rPr lang="pt-BR" sz="800" b="0" i="0">
                      <a:latin typeface="Cambria Math" panose="02040503050406030204" pitchFamily="18" charset="0"/>
                      <a:ea typeface="Cambria Math" panose="02040503050406030204" pitchFamily="18" charset="0"/>
                      <a:cs typeface="Sora" pitchFamily="2" charset="0"/>
                    </a:rPr>
                    <m:t>Despesas</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Administrativas</m:t>
                  </m:r>
                  <m:r>
                    <a:rPr lang="pt-BR" sz="800" b="0" i="0">
                      <a:latin typeface="Cambria Math" panose="02040503050406030204" pitchFamily="18" charset="0"/>
                      <a:ea typeface="Cambria Math" panose="02040503050406030204" pitchFamily="18" charset="0"/>
                      <a:cs typeface="Sora" pitchFamily="2" charset="0"/>
                    </a:rPr>
                    <m:t> </m:t>
                  </m:r>
                </m:oMath>
              </a14:m>
              <a:r>
                <a:rPr lang="en-US" sz="800">
                  <a:latin typeface="Calibri" panose="020F0502020204030204" pitchFamily="34" charset="0"/>
                  <a:ea typeface="Cambria Math" panose="02040503050406030204" pitchFamily="18" charset="0"/>
                  <a:cs typeface="Calibri" panose="020F0502020204030204" pitchFamily="34" charset="0"/>
                </a:rPr>
                <a:t>+ Despesa de Pessoal + Depreciação e Amortização</a:t>
              </a: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Taxas anualizadas:</a:t>
              </a:r>
            </a:p>
            <a:p>
              <a:pPr algn="just"/>
              <a:r>
                <a:rPr lang="en-US" sz="800">
                  <a:latin typeface="Calibri" panose="020F0502020204030204" pitchFamily="34" charset="0"/>
                  <a:ea typeface="Inter" panose="020B0502030000000004" pitchFamily="34" charset="0"/>
                  <a:cs typeface="Calibri" panose="020F0502020204030204" pitchFamily="34" charset="0"/>
                </a:rPr>
                <a:t>Taxa anual calculada multiplicando a taxa de juros trimestral por 4, dividida pela média da carteira dos últimos dois trimestres. Taxa de juros consolidada inclui imobiliário, consignado + FGTS, PMEs, cartão de crédito excluindo recebíveis de cartão de crédito não remunerados, e antecipação de recebíveis de cartão de crédito.</a:t>
              </a:r>
            </a:p>
          </xdr:txBody>
        </xdr:sp>
      </mc:Choice>
      <mc:Fallback xmlns="">
        <xdr:sp macro="" textlink="">
          <xdr:nvSpPr>
            <xdr:cNvPr id="52" name="Retângulo 9">
              <a:extLst>
                <a:ext uri="{FF2B5EF4-FFF2-40B4-BE49-F238E27FC236}">
                  <a16:creationId xmlns:a16="http://schemas.microsoft.com/office/drawing/2014/main" id="{3E89D0AB-9666-E04D-4A66-644C70C6A489}"/>
                </a:ext>
              </a:extLst>
            </xdr:cNvPr>
            <xdr:cNvSpPr/>
          </xdr:nvSpPr>
          <xdr:spPr>
            <a:xfrm>
              <a:off x="6844871" y="36811594"/>
              <a:ext cx="5766026" cy="4984634"/>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Receita de serviços de cartão:</a:t>
              </a:r>
            </a:p>
            <a:p>
              <a:pPr algn="just"/>
              <a:r>
                <a:rPr lang="en-US" sz="800">
                  <a:latin typeface="Calibri" panose="020F0502020204030204" pitchFamily="34" charset="0"/>
                  <a:ea typeface="Inter" panose="020B0502030000000004" pitchFamily="34" charset="0"/>
                  <a:cs typeface="Calibri" panose="020F0502020204030204" pitchFamily="34" charset="0"/>
                </a:rPr>
                <a:t>É parte das linhas “Receita de serviços e comissões” e “Outras receitas” da Demonstração de Resultado IFRS. </a:t>
              </a:r>
            </a:p>
            <a:p>
              <a:pPr algn="just"/>
              <a:endParaRPr lang="en-US" sz="800" b="1">
                <a:latin typeface="Calibri" panose="020F0502020204030204" pitchFamily="34" charset="0"/>
                <a:ea typeface="Inter" panose="020B05020300000000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líquida:</a:t>
              </a:r>
            </a:p>
            <a:p>
              <a:endParaRPr lang="pt-BR" sz="800">
                <a:solidFill>
                  <a:schemeClr val="tx1">
                    <a:lumMod val="85000"/>
                    <a:lumOff val="15000"/>
                  </a:schemeClr>
                </a:solidFill>
                <a:highlight>
                  <a:srgbClr val="FFFF00"/>
                </a:highlight>
                <a:latin typeface="Calibri" panose="020F0502020204030204" pitchFamily="34" charset="0"/>
                <a:ea typeface="Inter" panose="020B0502030000000004" pitchFamily="34" charset="0"/>
                <a:cs typeface="Calibri" panose="020F0502020204030204" pitchFamily="34" charset="0"/>
              </a:endParaRPr>
            </a:p>
            <a:p>
              <a:pPr algn="ct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Re</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sultado líquido de juros + Resultado líquido de serviços e comissões</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 </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 Outras receitas</a:t>
              </a:r>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líquida de serviços:</a:t>
              </a:r>
            </a:p>
            <a:p>
              <a:endParaRPr lang="pt-BR" sz="800">
                <a:solidFill>
                  <a:schemeClr val="tx1">
                    <a:lumMod val="85000"/>
                    <a:lumOff val="15000"/>
                  </a:schemeClr>
                </a:solidFill>
                <a:highlight>
                  <a:srgbClr val="FFFF00"/>
                </a:highlight>
                <a:latin typeface="Calibri" panose="020F0502020204030204" pitchFamily="34" charset="0"/>
                <a:ea typeface="Inter" panose="020B0502030000000004" pitchFamily="34" charset="0"/>
                <a:cs typeface="Calibri" panose="020F0502020204030204" pitchFamily="34" charset="0"/>
              </a:endParaRPr>
            </a:p>
            <a:p>
              <a:pP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Receitas de serviços e comissões + Outras receitas</a:t>
              </a: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pt-BR" sz="800">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líquida de juros:</a:t>
              </a:r>
            </a:p>
            <a:p>
              <a:endParaRPr lang="pt-BR" sz="800">
                <a:solidFill>
                  <a:schemeClr val="tx1">
                    <a:lumMod val="85000"/>
                    <a:lumOff val="15000"/>
                  </a:schemeClr>
                </a:solidFill>
                <a:highlight>
                  <a:srgbClr val="FFFF00"/>
                </a:highlight>
                <a:latin typeface="Calibri" panose="020F0502020204030204" pitchFamily="34" charset="0"/>
                <a:ea typeface="Inter" panose="020B0502030000000004" pitchFamily="34" charset="0"/>
                <a:cs typeface="Calibri" panose="020F0502020204030204" pitchFamily="34" charset="0"/>
              </a:endParaRPr>
            </a:p>
            <a:p>
              <a:pPr algn="ct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Receita de juros+Despesas de juros+Resultado de Títulos e Valores Mobiliários</a:t>
              </a:r>
              <a:r>
                <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rPr>
                <a:t> e Derivativos</a:t>
              </a: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Retorno sobre patrimônio líquido médio (ROE): </a:t>
              </a:r>
            </a:p>
            <a:p>
              <a:endParaRPr lang="en-US" sz="800" b="1">
                <a:latin typeface="Calibri" panose="020F0502020204030204" pitchFamily="34" charset="0"/>
                <a:cs typeface="Calibri" panose="020F0502020204030204" pitchFamily="34" charset="0"/>
              </a:endParaRPr>
            </a:p>
            <a:p>
              <a:pPr/>
              <a:r>
                <a:rPr lang="pt-BR" sz="800" i="0">
                  <a:latin typeface="Cambria Math" panose="02040503050406030204" pitchFamily="18" charset="0"/>
                </a:rPr>
                <a:t>((Lucro /(perda)  para o ano) × 4)/(Média do patrimônio líquido dos últimos 2 trimestres )</a:t>
              </a:r>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ea typeface="Cambria Math" panose="02040503050406030204" pitchFamily="18" charset="0"/>
                  <a:cs typeface="Calibri" panose="020F0502020204030204" pitchFamily="34" charset="0"/>
                </a:rPr>
                <a:t>SG&amp;A:</a:t>
              </a:r>
            </a:p>
            <a:p>
              <a:endParaRPr lang="en-US" sz="800" b="1" i="0">
                <a:latin typeface="Calibri" panose="020F0502020204030204" pitchFamily="34" charset="0"/>
                <a:ea typeface="Cambria Math" panose="02040503050406030204" pitchFamily="18" charset="0"/>
                <a:cs typeface="Calibri" panose="020F0502020204030204" pitchFamily="34" charset="0"/>
              </a:endParaRPr>
            </a:p>
            <a:p>
              <a:pPr algn="ctr"/>
              <a:r>
                <a:rPr lang="pt-BR" sz="800" b="0" i="0">
                  <a:latin typeface="Cambria Math" panose="02040503050406030204" pitchFamily="18" charset="0"/>
                  <a:ea typeface="Cambria Math" panose="02040503050406030204" pitchFamily="18" charset="0"/>
                  <a:cs typeface="Sora" pitchFamily="2" charset="0"/>
                </a:rPr>
                <a:t>Despesas Administrativas </a:t>
              </a:r>
              <a:r>
                <a:rPr lang="en-US" sz="800">
                  <a:latin typeface="Calibri" panose="020F0502020204030204" pitchFamily="34" charset="0"/>
                  <a:ea typeface="Cambria Math" panose="02040503050406030204" pitchFamily="18" charset="0"/>
                  <a:cs typeface="Calibri" panose="020F0502020204030204" pitchFamily="34" charset="0"/>
                </a:rPr>
                <a:t>+ Despesa de Pessoal + Depreciação e Amortização</a:t>
              </a: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Taxas anualizadas:</a:t>
              </a:r>
            </a:p>
            <a:p>
              <a:pPr algn="just"/>
              <a:r>
                <a:rPr lang="en-US" sz="800">
                  <a:latin typeface="Calibri" panose="020F0502020204030204" pitchFamily="34" charset="0"/>
                  <a:ea typeface="Inter" panose="020B0502030000000004" pitchFamily="34" charset="0"/>
                  <a:cs typeface="Calibri" panose="020F0502020204030204" pitchFamily="34" charset="0"/>
                </a:rPr>
                <a:t>Taxa anual calculada multiplicando a taxa de juros trimestral por 4, dividida pela média da carteira dos últimos dois trimestres. Taxa de juros consolidada inclui imobiliário, consignado + FGTS, PMEs, cartão de crédito excluindo recebíveis de cartão de crédito não remunerados, e antecipação de recebíveis de cartão de crédito.</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32</xdr:col>
      <xdr:colOff>0</xdr:colOff>
      <xdr:row>1</xdr:row>
      <xdr:rowOff>689</xdr:rowOff>
    </xdr:from>
    <xdr:to>
      <xdr:col>34</xdr:col>
      <xdr:colOff>46892</xdr:colOff>
      <xdr:row>2</xdr:row>
      <xdr:rowOff>120853</xdr:rowOff>
    </xdr:to>
    <xdr:sp macro="" textlink="Names!BQ2">
      <xdr:nvSpPr>
        <xdr:cNvPr id="6" name="Rounded Rectangle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clientData/>
  </xdr:twoCellAnchor>
  <xdr:twoCellAnchor>
    <xdr:from>
      <xdr:col>32</xdr:col>
      <xdr:colOff>89226</xdr:colOff>
      <xdr:row>1</xdr:row>
      <xdr:rowOff>0</xdr:rowOff>
    </xdr:from>
    <xdr:to>
      <xdr:col>32</xdr:col>
      <xdr:colOff>348163</xdr:colOff>
      <xdr:row>2</xdr:row>
      <xdr:rowOff>99817</xdr:rowOff>
    </xdr:to>
    <xdr:pic>
      <xdr:nvPicPr>
        <xdr:cNvPr id="7"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32</xdr:col>
      <xdr:colOff>0</xdr:colOff>
      <xdr:row>1</xdr:row>
      <xdr:rowOff>0</xdr:rowOff>
    </xdr:from>
    <xdr:to>
      <xdr:col>34</xdr:col>
      <xdr:colOff>46892</xdr:colOff>
      <xdr:row>2</xdr:row>
      <xdr:rowOff>120853</xdr:rowOff>
    </xdr:to>
    <xdr:grpSp>
      <xdr:nvGrpSpPr>
        <xdr:cNvPr id="2" name="Group 1">
          <a:extLst>
            <a:ext uri="{FF2B5EF4-FFF2-40B4-BE49-F238E27FC236}">
              <a16:creationId xmlns:a16="http://schemas.microsoft.com/office/drawing/2014/main" id="{679F8DD5-63F3-23EC-6D97-5467E4F1396C}"/>
            </a:ext>
          </a:extLst>
        </xdr:cNvPr>
        <xdr:cNvGrpSpPr/>
      </xdr:nvGrpSpPr>
      <xdr:grpSpPr>
        <a:xfrm>
          <a:off x="29171900" y="165100"/>
          <a:ext cx="1697892" cy="285953"/>
          <a:chOff x="20320000" y="165100"/>
          <a:chExt cx="1697892" cy="285953"/>
        </a:xfrm>
      </xdr:grpSpPr>
      <xdr:sp macro="" textlink="Names!BQ2">
        <xdr:nvSpPr>
          <xdr:cNvPr id="10" name="Rounded Rectangle 9">
            <a:hlinkClick xmlns:r="http://schemas.openxmlformats.org/officeDocument/2006/relationships" r:id="rId1"/>
            <a:extLst>
              <a:ext uri="{FF2B5EF4-FFF2-40B4-BE49-F238E27FC236}">
                <a16:creationId xmlns:a16="http://schemas.microsoft.com/office/drawing/2014/main" id="{00000000-0008-0000-0400-00000A000000}"/>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11"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0</xdr:colOff>
      <xdr:row>1</xdr:row>
      <xdr:rowOff>689</xdr:rowOff>
    </xdr:from>
    <xdr:to>
      <xdr:col>34</xdr:col>
      <xdr:colOff>46892</xdr:colOff>
      <xdr:row>2</xdr:row>
      <xdr:rowOff>120853</xdr:rowOff>
    </xdr:to>
    <xdr:sp macro="" textlink="Names!BQ2">
      <xdr:nvSpPr>
        <xdr:cNvPr id="2" name="Rounded Rectangle 1">
          <a:hlinkClick xmlns:r="http://schemas.openxmlformats.org/officeDocument/2006/relationships" r:id="rId1"/>
          <a:extLst>
            <a:ext uri="{FF2B5EF4-FFF2-40B4-BE49-F238E27FC236}">
              <a16:creationId xmlns:a16="http://schemas.microsoft.com/office/drawing/2014/main" id="{EDD20553-B8EC-EF4D-B48E-A0A4231C2AC2}"/>
            </a:ext>
          </a:extLst>
        </xdr:cNvPr>
        <xdr:cNvSpPr/>
      </xdr:nvSpPr>
      <xdr:spPr>
        <a:xfrm>
          <a:off x="275844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clientData/>
  </xdr:twoCellAnchor>
  <xdr:twoCellAnchor>
    <xdr:from>
      <xdr:col>32</xdr:col>
      <xdr:colOff>89226</xdr:colOff>
      <xdr:row>1</xdr:row>
      <xdr:rowOff>0</xdr:rowOff>
    </xdr:from>
    <xdr:to>
      <xdr:col>32</xdr:col>
      <xdr:colOff>348163</xdr:colOff>
      <xdr:row>2</xdr:row>
      <xdr:rowOff>99817</xdr:rowOff>
    </xdr:to>
    <xdr:pic>
      <xdr:nvPicPr>
        <xdr:cNvPr id="3"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457208FD-4272-1649-9505-40CA9190BCD7}"/>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7673626" y="165100"/>
          <a:ext cx="258937" cy="2649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32</xdr:col>
      <xdr:colOff>0</xdr:colOff>
      <xdr:row>1</xdr:row>
      <xdr:rowOff>0</xdr:rowOff>
    </xdr:from>
    <xdr:to>
      <xdr:col>34</xdr:col>
      <xdr:colOff>46892</xdr:colOff>
      <xdr:row>2</xdr:row>
      <xdr:rowOff>120853</xdr:rowOff>
    </xdr:to>
    <xdr:grpSp>
      <xdr:nvGrpSpPr>
        <xdr:cNvPr id="2" name="Group 1">
          <a:extLst>
            <a:ext uri="{FF2B5EF4-FFF2-40B4-BE49-F238E27FC236}">
              <a16:creationId xmlns:a16="http://schemas.microsoft.com/office/drawing/2014/main" id="{917AC904-4146-1F47-A317-79A2BDCFE978}"/>
            </a:ext>
          </a:extLst>
        </xdr:cNvPr>
        <xdr:cNvGrpSpPr/>
      </xdr:nvGrpSpPr>
      <xdr:grpSpPr>
        <a:xfrm>
          <a:off x="29337000" y="165100"/>
          <a:ext cx="1697892" cy="285953"/>
          <a:chOff x="178689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456290E3-0B6A-B1A5-3879-890ED5524750}"/>
              </a:ext>
            </a:extLst>
          </xdr:cNvPr>
          <xdr:cNvSpPr/>
        </xdr:nvSpPr>
        <xdr:spPr>
          <a:xfrm>
            <a:off x="178689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B42D8684-5FA6-48C7-8501-F5DFBB03237E}"/>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958126" y="165100"/>
            <a:ext cx="258937" cy="264917"/>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32</xdr:col>
      <xdr:colOff>0</xdr:colOff>
      <xdr:row>1</xdr:row>
      <xdr:rowOff>0</xdr:rowOff>
    </xdr:from>
    <xdr:to>
      <xdr:col>34</xdr:col>
      <xdr:colOff>46892</xdr:colOff>
      <xdr:row>2</xdr:row>
      <xdr:rowOff>120853</xdr:rowOff>
    </xdr:to>
    <xdr:grpSp>
      <xdr:nvGrpSpPr>
        <xdr:cNvPr id="2" name="Group 1">
          <a:extLst>
            <a:ext uri="{FF2B5EF4-FFF2-40B4-BE49-F238E27FC236}">
              <a16:creationId xmlns:a16="http://schemas.microsoft.com/office/drawing/2014/main" id="{F5C354B6-28E2-674C-8D37-5009BB9C71F2}"/>
            </a:ext>
          </a:extLst>
        </xdr:cNvPr>
        <xdr:cNvGrpSpPr/>
      </xdr:nvGrpSpPr>
      <xdr:grpSpPr>
        <a:xfrm>
          <a:off x="29235400" y="165100"/>
          <a:ext cx="1697892" cy="285953"/>
          <a:chOff x="178689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DB3EDD98-3818-E15E-D7A8-693F699A0307}"/>
              </a:ext>
            </a:extLst>
          </xdr:cNvPr>
          <xdr:cNvSpPr/>
        </xdr:nvSpPr>
        <xdr:spPr>
          <a:xfrm>
            <a:off x="178689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F337F92E-4335-310E-E49B-5895D9D4804B}"/>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958126" y="165100"/>
            <a:ext cx="258937" cy="264917"/>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32</xdr:col>
      <xdr:colOff>0</xdr:colOff>
      <xdr:row>1</xdr:row>
      <xdr:rowOff>0</xdr:rowOff>
    </xdr:from>
    <xdr:to>
      <xdr:col>34</xdr:col>
      <xdr:colOff>46892</xdr:colOff>
      <xdr:row>2</xdr:row>
      <xdr:rowOff>120853</xdr:rowOff>
    </xdr:to>
    <xdr:grpSp>
      <xdr:nvGrpSpPr>
        <xdr:cNvPr id="2" name="Group 1">
          <a:extLst>
            <a:ext uri="{FF2B5EF4-FFF2-40B4-BE49-F238E27FC236}">
              <a16:creationId xmlns:a16="http://schemas.microsoft.com/office/drawing/2014/main" id="{5ED3E53A-6D60-E140-9D47-0DC6C0FD2F77}"/>
            </a:ext>
          </a:extLst>
        </xdr:cNvPr>
        <xdr:cNvGrpSpPr/>
      </xdr:nvGrpSpPr>
      <xdr:grpSpPr>
        <a:xfrm>
          <a:off x="29235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06C6F11E-8861-C347-F0DB-C815BE2A1112}"/>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8901C40E-C519-81DB-ADD1-15625D378D6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32</xdr:col>
      <xdr:colOff>0</xdr:colOff>
      <xdr:row>1</xdr:row>
      <xdr:rowOff>0</xdr:rowOff>
    </xdr:from>
    <xdr:to>
      <xdr:col>34</xdr:col>
      <xdr:colOff>46892</xdr:colOff>
      <xdr:row>2</xdr:row>
      <xdr:rowOff>120853</xdr:rowOff>
    </xdr:to>
    <xdr:grpSp>
      <xdr:nvGrpSpPr>
        <xdr:cNvPr id="2" name="Group 1">
          <a:extLst>
            <a:ext uri="{FF2B5EF4-FFF2-40B4-BE49-F238E27FC236}">
              <a16:creationId xmlns:a16="http://schemas.microsoft.com/office/drawing/2014/main" id="{CF7EFBF7-F75D-EF48-9176-DF391AA2117D}"/>
            </a:ext>
          </a:extLst>
        </xdr:cNvPr>
        <xdr:cNvGrpSpPr/>
      </xdr:nvGrpSpPr>
      <xdr:grpSpPr>
        <a:xfrm>
          <a:off x="29235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81ACD255-4DF3-D02C-6296-92423B0FA320}"/>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49258584-239A-78D5-7220-82EAE1744FE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517BE83-07F1-AA4D-BBE1-3E6F1BC1B9CC}">
  <we:reference id="wa200002415" version="1.0.0.2" store="en-US" storeType="OMEX"/>
  <we:alternateReferences>
    <we:reference id="WA200002415" version="1.0.0.2"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_xldudf_NAS</we:customFunctionIds>
        <we:customFunctionIds>_xldudf_NASRT</we:customFunctionIds>
        <we:customFunctionIds>_xldudf_MYFOCUSTICKER</we:customFunctionIds>
      </we:customFunctionIdList>
    </a:ext>
    <a:ext xmlns:a="http://schemas.openxmlformats.org/drawingml/2006/main" uri="{0858819E-0033-43BF-8937-05EC82904868}">
      <we:backgroundApp state="1" runtimeId="NasdaqRuntime.Url"/>
    </a:ext>
  </we:extLst>
</we:webextension>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3" Type="http://schemas.openxmlformats.org/officeDocument/2006/relationships/hyperlink" Target="https://www.bcb.gov.br/estabilidadefinanceira/estatisticaspix" TargetMode="External"/><Relationship Id="rId2" Type="http://schemas.openxmlformats.org/officeDocument/2006/relationships/hyperlink" Target="https://www.bcb.gov.br/acessoinformacao/ccsestatisticas" TargetMode="External"/><Relationship Id="rId1" Type="http://schemas.openxmlformats.org/officeDocument/2006/relationships/hyperlink" Target="https://www.bcb.gov.br/acessoinformacao/ccsestatisticas" TargetMode="External"/><Relationship Id="rId5" Type="http://schemas.openxmlformats.org/officeDocument/2006/relationships/drawing" Target="../drawings/drawing26.xml"/><Relationship Id="rId4" Type="http://schemas.openxmlformats.org/officeDocument/2006/relationships/hyperlink" Target="https://www.abecs.org.br/graficos" TargetMode="Externa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5ED0-FFAF-DE43-BD1B-4F127E097C3D}">
  <sheetPr codeName="Sheet2"/>
  <dimension ref="A1:CS130"/>
  <sheetViews>
    <sheetView showGridLines="0" topLeftCell="CS1" zoomScale="109" zoomScaleNormal="100" workbookViewId="0">
      <selection activeCell="CS1" sqref="CS1"/>
    </sheetView>
  </sheetViews>
  <sheetFormatPr baseColWidth="10" defaultColWidth="10.83203125" defaultRowHeight="15" outlineLevelRow="1" outlineLevelCol="2"/>
  <cols>
    <col min="1" max="2" width="10.83203125" style="389" hidden="1" customWidth="1" outlineLevel="2"/>
    <col min="3" max="3" width="10.83203125" style="390" hidden="1" customWidth="1" outlineLevel="2"/>
    <col min="4" max="14" width="10.83203125" style="389" hidden="1" customWidth="1" outlineLevel="2"/>
    <col min="15" max="19" width="64.33203125" style="389" hidden="1" customWidth="1" outlineLevel="2"/>
    <col min="20" max="20" width="20.1640625" style="389" hidden="1" customWidth="1" outlineLevel="2"/>
    <col min="21" max="21" width="10.83203125" style="389" hidden="1" customWidth="1" outlineLevel="2"/>
    <col min="22" max="22" width="55" style="389" hidden="1" customWidth="1" outlineLevel="2"/>
    <col min="23" max="91" width="10.83203125" style="389" hidden="1" customWidth="1" outlineLevel="2"/>
    <col min="92" max="92" width="42.6640625" style="389" hidden="1" customWidth="1" outlineLevel="2"/>
    <col min="93" max="93" width="42.83203125" style="389" hidden="1" customWidth="1" outlineLevel="2"/>
    <col min="94" max="94" width="0.33203125" style="389" hidden="1" customWidth="1" outlineLevel="1"/>
    <col min="95" max="95" width="10.83203125" style="389" hidden="1" customWidth="1" outlineLevel="1" collapsed="1"/>
    <col min="96" max="96" width="0" style="389" hidden="1" customWidth="1" outlineLevel="1" collapsed="1"/>
    <col min="97" max="97" width="10.83203125" style="389" outlineLevel="1" collapsed="1"/>
    <col min="98" max="16384" width="10.83203125" style="389" outlineLevel="1"/>
  </cols>
  <sheetData>
    <row r="1" spans="1:93">
      <c r="A1" s="389" t="s">
        <v>0</v>
      </c>
      <c r="B1" s="389" t="s">
        <v>1</v>
      </c>
      <c r="C1" s="390" t="s">
        <v>2</v>
      </c>
      <c r="D1" s="389" t="s">
        <v>3</v>
      </c>
      <c r="E1" s="389" t="s">
        <v>4</v>
      </c>
      <c r="F1" s="389" t="s">
        <v>5</v>
      </c>
      <c r="G1" s="389" t="s">
        <v>6</v>
      </c>
      <c r="H1" s="389" t="s">
        <v>7</v>
      </c>
      <c r="I1" s="389" t="s">
        <v>8</v>
      </c>
      <c r="J1" s="389" t="s">
        <v>9</v>
      </c>
      <c r="K1" s="389" t="s">
        <v>10</v>
      </c>
      <c r="L1" s="389" t="s">
        <v>11</v>
      </c>
      <c r="M1" s="389" t="s">
        <v>12</v>
      </c>
      <c r="N1" s="389" t="s">
        <v>13</v>
      </c>
      <c r="O1" s="389" t="s">
        <v>14</v>
      </c>
      <c r="P1" s="389" t="s">
        <v>15</v>
      </c>
      <c r="Q1" s="389" t="s">
        <v>16</v>
      </c>
      <c r="R1" s="389" t="s">
        <v>17</v>
      </c>
      <c r="S1" s="389" t="s">
        <v>18</v>
      </c>
      <c r="T1" s="389" t="s">
        <v>19</v>
      </c>
      <c r="U1" s="389" t="s">
        <v>20</v>
      </c>
      <c r="V1" s="389" t="s">
        <v>21</v>
      </c>
      <c r="W1" s="389" t="s">
        <v>22</v>
      </c>
      <c r="X1" s="389" t="s">
        <v>23</v>
      </c>
      <c r="Y1" s="389" t="s">
        <v>24</v>
      </c>
      <c r="Z1" s="389" t="s">
        <v>25</v>
      </c>
      <c r="AA1" s="389" t="s">
        <v>26</v>
      </c>
      <c r="AB1" s="389" t="s">
        <v>27</v>
      </c>
      <c r="AC1" s="389" t="s">
        <v>28</v>
      </c>
      <c r="AD1" s="389" t="s">
        <v>29</v>
      </c>
      <c r="AE1" s="389" t="s">
        <v>30</v>
      </c>
      <c r="AF1" s="389" t="s">
        <v>30</v>
      </c>
      <c r="AG1" s="389" t="s">
        <v>31</v>
      </c>
      <c r="AH1" s="389" t="s">
        <v>32</v>
      </c>
      <c r="AI1" s="389" t="s">
        <v>33</v>
      </c>
      <c r="AJ1" s="389" t="s">
        <v>34</v>
      </c>
      <c r="AK1" s="389" t="s">
        <v>35</v>
      </c>
      <c r="AL1" s="389" t="s">
        <v>36</v>
      </c>
      <c r="AM1" s="389" t="s">
        <v>37</v>
      </c>
      <c r="AN1" s="389" t="s">
        <v>38</v>
      </c>
      <c r="AO1" s="389" t="s">
        <v>38</v>
      </c>
      <c r="AP1" s="389" t="s">
        <v>39</v>
      </c>
      <c r="AQ1" s="389" t="s">
        <v>40</v>
      </c>
      <c r="AR1" s="389" t="s">
        <v>41</v>
      </c>
      <c r="AS1" s="389" t="s">
        <v>42</v>
      </c>
      <c r="AT1" s="389" t="s">
        <v>43</v>
      </c>
      <c r="AU1" s="389" t="s">
        <v>44</v>
      </c>
      <c r="AV1" s="389" t="s">
        <v>45</v>
      </c>
      <c r="AW1" s="389" t="s">
        <v>46</v>
      </c>
      <c r="AX1" s="389" t="s">
        <v>47</v>
      </c>
      <c r="AY1" s="389" t="s">
        <v>48</v>
      </c>
      <c r="AZ1" s="389" t="s">
        <v>49</v>
      </c>
      <c r="BA1" s="389" t="s">
        <v>50</v>
      </c>
      <c r="BB1" s="391" t="s">
        <v>51</v>
      </c>
      <c r="BC1" s="391" t="s">
        <v>52</v>
      </c>
      <c r="BD1" s="389" t="s">
        <v>53</v>
      </c>
      <c r="BE1" s="389" t="s">
        <v>54</v>
      </c>
      <c r="BF1" s="389" t="s">
        <v>55</v>
      </c>
      <c r="BG1" s="389" t="s">
        <v>56</v>
      </c>
      <c r="BH1" s="389" t="s">
        <v>57</v>
      </c>
      <c r="BI1" s="389" t="s">
        <v>58</v>
      </c>
      <c r="BL1" s="389" t="s">
        <v>1127</v>
      </c>
      <c r="BM1" s="389" t="s">
        <v>1128</v>
      </c>
      <c r="BQ1" s="389" t="str">
        <f>IF('Summary | Sumário'!$D$6=Names!$B$3,Names!$BB$1,Names!$BC$1)</f>
        <v>Back to summary</v>
      </c>
      <c r="BS1" s="389" t="str">
        <f>IF('Summary | Sumário'!$D$6=Names!$B$3,Names!$G$2,Names!$H$2)</f>
        <v>Operational Data</v>
      </c>
      <c r="BV1" s="389" t="s">
        <v>1130</v>
      </c>
      <c r="BW1" s="389" t="s">
        <v>1129</v>
      </c>
      <c r="BZ1" s="392" t="s">
        <v>1096</v>
      </c>
      <c r="CA1" s="389" t="s">
        <v>1097</v>
      </c>
      <c r="CB1" s="389" t="s">
        <v>59</v>
      </c>
      <c r="CC1" s="389" t="s">
        <v>60</v>
      </c>
      <c r="CF1" s="389" t="s">
        <v>61</v>
      </c>
      <c r="CG1" s="389" t="s">
        <v>62</v>
      </c>
      <c r="CN1" s="389" t="s">
        <v>63</v>
      </c>
      <c r="CO1" s="389" t="s">
        <v>64</v>
      </c>
    </row>
    <row r="2" spans="1:93" ht="14" customHeight="1">
      <c r="A2" s="389">
        <v>1</v>
      </c>
      <c r="B2" s="389" t="s">
        <v>65</v>
      </c>
      <c r="C2" s="390">
        <v>2019</v>
      </c>
      <c r="D2" s="390">
        <v>2019</v>
      </c>
      <c r="E2" s="390" t="s">
        <v>66</v>
      </c>
      <c r="F2" s="390" t="s">
        <v>67</v>
      </c>
      <c r="G2" s="390" t="s">
        <v>68</v>
      </c>
      <c r="H2" s="390" t="s">
        <v>69</v>
      </c>
      <c r="I2" s="389" t="s">
        <v>70</v>
      </c>
      <c r="J2" s="389" t="s">
        <v>71</v>
      </c>
      <c r="K2" s="389" t="s">
        <v>72</v>
      </c>
      <c r="L2" s="389" t="s">
        <v>73</v>
      </c>
      <c r="M2" s="389" t="s">
        <v>74</v>
      </c>
      <c r="N2" s="389" t="s">
        <v>1169</v>
      </c>
      <c r="O2" s="389" t="s">
        <v>76</v>
      </c>
      <c r="P2" s="389" t="s">
        <v>77</v>
      </c>
      <c r="Q2" s="389" t="s">
        <v>78</v>
      </c>
      <c r="R2" s="389" t="s">
        <v>79</v>
      </c>
      <c r="S2" s="389" t="s">
        <v>80</v>
      </c>
      <c r="V2" s="389" t="s">
        <v>81</v>
      </c>
      <c r="W2" s="389" t="s">
        <v>82</v>
      </c>
      <c r="X2" s="389" t="s">
        <v>83</v>
      </c>
      <c r="Y2" s="389" t="s">
        <v>84</v>
      </c>
      <c r="Z2" s="389" t="s">
        <v>85</v>
      </c>
      <c r="AA2" s="389" t="s">
        <v>86</v>
      </c>
      <c r="AB2" s="389" t="s">
        <v>87</v>
      </c>
      <c r="AF2" s="389" t="s">
        <v>30</v>
      </c>
      <c r="AG2" s="389" t="s">
        <v>88</v>
      </c>
      <c r="AL2" s="389" t="s">
        <v>89</v>
      </c>
      <c r="AM2" s="389" t="s">
        <v>90</v>
      </c>
      <c r="AN2" s="389" t="s">
        <v>91</v>
      </c>
      <c r="AO2" s="389" t="s">
        <v>91</v>
      </c>
      <c r="AT2" s="389" t="s">
        <v>92</v>
      </c>
      <c r="AU2" s="389" t="s">
        <v>92</v>
      </c>
      <c r="AV2" s="389" t="s">
        <v>93</v>
      </c>
      <c r="AW2" s="389" t="s">
        <v>93</v>
      </c>
      <c r="AX2" s="389" t="s">
        <v>94</v>
      </c>
      <c r="AY2" s="389" t="s">
        <v>95</v>
      </c>
      <c r="AZ2" s="389" t="s">
        <v>49</v>
      </c>
      <c r="BA2" s="389" t="s">
        <v>96</v>
      </c>
      <c r="BD2" s="389" t="s">
        <v>97</v>
      </c>
      <c r="BE2" s="389" t="s">
        <v>98</v>
      </c>
      <c r="BQ2" s="389" t="str">
        <f>_xlfn.CONCAT("    ",BQ1)</f>
        <v xml:space="preserve">    Back to summary</v>
      </c>
      <c r="BS2" s="389" t="str">
        <f>IF('Summary | Sumário'!$D$6=Names!$B$3,Names!$G$3,Names!$H$3)</f>
        <v>Others</v>
      </c>
      <c r="BV2" s="389" t="s">
        <v>99</v>
      </c>
      <c r="BW2" s="389" t="s">
        <v>100</v>
      </c>
      <c r="BZ2" s="393" t="s">
        <v>1098</v>
      </c>
      <c r="CA2" s="388" t="s">
        <v>1099</v>
      </c>
      <c r="CB2" s="389" t="s">
        <v>101</v>
      </c>
      <c r="CC2" s="389" t="s">
        <v>102</v>
      </c>
    </row>
    <row r="3" spans="1:93">
      <c r="A3" s="389">
        <v>2</v>
      </c>
      <c r="B3" s="389" t="s">
        <v>103</v>
      </c>
      <c r="C3" s="390">
        <v>2020</v>
      </c>
      <c r="D3" s="390">
        <v>2020</v>
      </c>
      <c r="E3" s="390" t="s">
        <v>104</v>
      </c>
      <c r="F3" s="390" t="s">
        <v>105</v>
      </c>
      <c r="G3" s="390" t="s">
        <v>106</v>
      </c>
      <c r="H3" s="390" t="s">
        <v>107</v>
      </c>
      <c r="I3" s="389" t="s">
        <v>108</v>
      </c>
      <c r="J3" s="389" t="s">
        <v>109</v>
      </c>
      <c r="K3" s="389" t="s">
        <v>1143</v>
      </c>
      <c r="L3" s="389" t="s">
        <v>110</v>
      </c>
      <c r="M3" s="389" t="s">
        <v>111</v>
      </c>
      <c r="N3" s="389" t="s">
        <v>112</v>
      </c>
      <c r="O3" s="389" t="s">
        <v>113</v>
      </c>
      <c r="P3" s="389" t="s">
        <v>114</v>
      </c>
      <c r="Q3" s="389" t="s">
        <v>115</v>
      </c>
      <c r="R3" s="389" t="s">
        <v>116</v>
      </c>
      <c r="S3" s="389" t="s">
        <v>117</v>
      </c>
      <c r="V3" s="389" t="s">
        <v>1182</v>
      </c>
      <c r="W3" s="389" t="s">
        <v>118</v>
      </c>
      <c r="X3" s="389" t="s">
        <v>119</v>
      </c>
      <c r="Y3" s="389" t="s">
        <v>120</v>
      </c>
      <c r="Z3" s="389" t="s">
        <v>121</v>
      </c>
      <c r="AA3" s="389" t="s">
        <v>1149</v>
      </c>
      <c r="AB3" s="389" t="s">
        <v>122</v>
      </c>
      <c r="AC3" s="389" t="s">
        <v>123</v>
      </c>
      <c r="AD3" s="389" t="s">
        <v>124</v>
      </c>
      <c r="AE3" s="389" t="s">
        <v>125</v>
      </c>
      <c r="AF3" s="389" t="s">
        <v>126</v>
      </c>
      <c r="AG3" s="389" t="s">
        <v>127</v>
      </c>
      <c r="AH3" s="389" t="s">
        <v>128</v>
      </c>
      <c r="AI3" s="389" t="s">
        <v>129</v>
      </c>
      <c r="AJ3" s="389" t="s">
        <v>130</v>
      </c>
      <c r="AK3" s="389" t="s">
        <v>131</v>
      </c>
      <c r="AL3" s="389" t="s">
        <v>132</v>
      </c>
      <c r="AM3" s="389" t="s">
        <v>133</v>
      </c>
      <c r="AN3" s="389" t="s">
        <v>134</v>
      </c>
      <c r="AO3" s="389" t="s">
        <v>135</v>
      </c>
      <c r="AP3" s="389" t="s">
        <v>136</v>
      </c>
      <c r="AQ3" s="389" t="s">
        <v>137</v>
      </c>
      <c r="AR3" s="389" t="s">
        <v>138</v>
      </c>
      <c r="AS3" s="389" t="s">
        <v>139</v>
      </c>
      <c r="AT3" s="389" t="s">
        <v>140</v>
      </c>
      <c r="AU3" s="389" t="s">
        <v>141</v>
      </c>
      <c r="AV3" s="389" t="s">
        <v>142</v>
      </c>
      <c r="AW3" s="389" t="s">
        <v>143</v>
      </c>
      <c r="AX3" s="389" t="s">
        <v>144</v>
      </c>
      <c r="AY3" s="389" t="s">
        <v>145</v>
      </c>
      <c r="AZ3" s="389" t="s">
        <v>146</v>
      </c>
      <c r="BA3" s="389" t="s">
        <v>146</v>
      </c>
      <c r="BD3" s="389" t="s">
        <v>147</v>
      </c>
      <c r="BE3" s="389" t="s">
        <v>148</v>
      </c>
      <c r="BF3" s="389" t="s">
        <v>149</v>
      </c>
      <c r="BG3" s="389" t="s">
        <v>150</v>
      </c>
      <c r="BH3" s="389" t="s">
        <v>151</v>
      </c>
      <c r="BI3" s="389" t="s">
        <v>151</v>
      </c>
      <c r="BV3" s="389" t="s">
        <v>152</v>
      </c>
      <c r="BW3" s="389" t="s">
        <v>152</v>
      </c>
      <c r="BZ3" s="392" t="s">
        <v>153</v>
      </c>
      <c r="CA3" s="389" t="s">
        <v>154</v>
      </c>
      <c r="CF3" s="389" t="s">
        <v>155</v>
      </c>
      <c r="CG3" s="389" t="s">
        <v>155</v>
      </c>
      <c r="CN3" s="389" t="s">
        <v>156</v>
      </c>
      <c r="CO3" s="389" t="s">
        <v>157</v>
      </c>
    </row>
    <row r="4" spans="1:93">
      <c r="A4" s="389">
        <v>3</v>
      </c>
      <c r="C4" s="390">
        <v>2021</v>
      </c>
      <c r="D4" s="390">
        <v>2021</v>
      </c>
      <c r="E4" s="390" t="s">
        <v>158</v>
      </c>
      <c r="F4" s="390" t="s">
        <v>159</v>
      </c>
      <c r="G4" s="390"/>
      <c r="H4" s="390"/>
      <c r="I4" s="389" t="s">
        <v>160</v>
      </c>
      <c r="J4" s="389" t="s">
        <v>161</v>
      </c>
      <c r="K4" s="389" t="s">
        <v>1144</v>
      </c>
      <c r="L4" s="389" t="s">
        <v>1160</v>
      </c>
      <c r="M4" s="389" t="s">
        <v>1152</v>
      </c>
      <c r="N4" s="389" t="s">
        <v>1170</v>
      </c>
      <c r="O4" s="389" t="s">
        <v>166</v>
      </c>
      <c r="P4" s="389" t="s">
        <v>167</v>
      </c>
      <c r="Q4" s="389" t="s">
        <v>168</v>
      </c>
      <c r="R4" s="389" t="s">
        <v>169</v>
      </c>
      <c r="S4" s="389" t="s">
        <v>170</v>
      </c>
      <c r="V4" s="389" t="s">
        <v>171</v>
      </c>
      <c r="W4" s="389" t="s">
        <v>172</v>
      </c>
      <c r="Z4" s="389" t="s">
        <v>173</v>
      </c>
      <c r="AA4" s="389" t="s">
        <v>174</v>
      </c>
      <c r="AB4" s="389" t="s">
        <v>175</v>
      </c>
      <c r="AC4" s="389" t="s">
        <v>176</v>
      </c>
      <c r="AD4" s="389" t="s">
        <v>177</v>
      </c>
      <c r="AE4" s="389" t="s">
        <v>178</v>
      </c>
      <c r="AF4" s="389" t="s">
        <v>179</v>
      </c>
      <c r="AG4" s="389" t="s">
        <v>180</v>
      </c>
      <c r="AH4" s="389" t="s">
        <v>181</v>
      </c>
      <c r="AI4" s="389" t="s">
        <v>182</v>
      </c>
      <c r="AJ4" s="389" t="s">
        <v>183</v>
      </c>
      <c r="AK4" s="389" t="s">
        <v>184</v>
      </c>
      <c r="AL4" s="389" t="s">
        <v>185</v>
      </c>
      <c r="AM4" s="389" t="s">
        <v>186</v>
      </c>
      <c r="AN4" s="389" t="s">
        <v>187</v>
      </c>
      <c r="AO4" s="389" t="s">
        <v>188</v>
      </c>
      <c r="AP4" s="389" t="s">
        <v>189</v>
      </c>
      <c r="AQ4" s="389" t="s">
        <v>190</v>
      </c>
      <c r="AR4" s="389" t="s">
        <v>191</v>
      </c>
      <c r="AS4" s="389" t="s">
        <v>192</v>
      </c>
      <c r="AT4" s="389" t="s">
        <v>193</v>
      </c>
      <c r="AU4" s="389" t="s">
        <v>194</v>
      </c>
      <c r="AV4" s="389" t="s">
        <v>195</v>
      </c>
      <c r="AW4" s="389" t="s">
        <v>196</v>
      </c>
      <c r="AX4" s="389" t="s">
        <v>197</v>
      </c>
      <c r="AY4" s="389" t="s">
        <v>198</v>
      </c>
      <c r="AZ4" s="389" t="s">
        <v>199</v>
      </c>
      <c r="BA4" s="389" t="s">
        <v>199</v>
      </c>
      <c r="BD4" s="389" t="s">
        <v>200</v>
      </c>
      <c r="BE4" s="389" t="s">
        <v>201</v>
      </c>
      <c r="BF4" s="389" t="s">
        <v>202</v>
      </c>
      <c r="BG4" s="389" t="s">
        <v>203</v>
      </c>
      <c r="BH4" s="389" t="s">
        <v>204</v>
      </c>
      <c r="BI4" s="389" t="s">
        <v>205</v>
      </c>
      <c r="BV4" s="389" t="s">
        <v>206</v>
      </c>
      <c r="BW4" s="389" t="s">
        <v>206</v>
      </c>
      <c r="BZ4" s="389" t="s">
        <v>108</v>
      </c>
      <c r="CA4" s="389" t="s">
        <v>109</v>
      </c>
      <c r="CB4" s="392" t="s">
        <v>207</v>
      </c>
      <c r="CC4" s="392" t="s">
        <v>208</v>
      </c>
      <c r="CF4" s="389" t="s">
        <v>209</v>
      </c>
      <c r="CG4" s="389" t="s">
        <v>210</v>
      </c>
      <c r="CN4" s="389" t="s">
        <v>211</v>
      </c>
      <c r="CO4" s="389" t="s">
        <v>212</v>
      </c>
    </row>
    <row r="5" spans="1:93">
      <c r="A5" s="389">
        <v>4</v>
      </c>
      <c r="C5" s="390">
        <v>2022</v>
      </c>
      <c r="D5" s="390">
        <v>2022</v>
      </c>
      <c r="E5" s="390" t="s">
        <v>213</v>
      </c>
      <c r="F5" s="390" t="s">
        <v>214</v>
      </c>
      <c r="G5" s="390"/>
      <c r="H5" s="390"/>
      <c r="I5" s="389" t="s">
        <v>215</v>
      </c>
      <c r="J5" s="389" t="s">
        <v>215</v>
      </c>
      <c r="K5" s="389" t="s">
        <v>1145</v>
      </c>
      <c r="L5" s="389" t="s">
        <v>1161</v>
      </c>
      <c r="M5" s="389" t="s">
        <v>216</v>
      </c>
      <c r="N5" s="389" t="s">
        <v>1171</v>
      </c>
      <c r="O5" s="389" t="s">
        <v>218</v>
      </c>
      <c r="P5" s="389" t="s">
        <v>219</v>
      </c>
      <c r="Q5" s="389" t="s">
        <v>220</v>
      </c>
      <c r="R5" s="389" t="s">
        <v>221</v>
      </c>
      <c r="S5" s="389" t="s">
        <v>222</v>
      </c>
      <c r="V5" s="389" t="s">
        <v>223</v>
      </c>
      <c r="W5" s="389" t="s">
        <v>224</v>
      </c>
      <c r="Z5" s="389" t="s">
        <v>225</v>
      </c>
      <c r="AA5" s="389" t="s">
        <v>226</v>
      </c>
      <c r="AB5" s="389" t="s">
        <v>227</v>
      </c>
      <c r="AC5" s="389" t="s">
        <v>228</v>
      </c>
      <c r="AD5" s="389" t="s">
        <v>229</v>
      </c>
      <c r="AE5" s="389" t="s">
        <v>230</v>
      </c>
      <c r="AF5" s="389" t="s">
        <v>231</v>
      </c>
      <c r="AG5" s="389" t="s">
        <v>232</v>
      </c>
      <c r="AH5" s="389" t="s">
        <v>233</v>
      </c>
      <c r="AI5" s="389" t="s">
        <v>234</v>
      </c>
      <c r="AJ5" s="389" t="s">
        <v>235</v>
      </c>
      <c r="AK5" s="389" t="s">
        <v>235</v>
      </c>
      <c r="AL5" s="389" t="s">
        <v>236</v>
      </c>
      <c r="AM5" s="389" t="s">
        <v>237</v>
      </c>
      <c r="AN5" s="389" t="s">
        <v>238</v>
      </c>
      <c r="AO5" s="389" t="s">
        <v>239</v>
      </c>
      <c r="AP5" s="389" t="s">
        <v>240</v>
      </c>
      <c r="AQ5" s="389" t="s">
        <v>241</v>
      </c>
      <c r="AR5" s="389" t="s">
        <v>242</v>
      </c>
      <c r="AS5" s="389" t="s">
        <v>243</v>
      </c>
      <c r="AT5" s="389" t="s">
        <v>244</v>
      </c>
      <c r="AU5" s="389" t="s">
        <v>245</v>
      </c>
      <c r="AV5" s="389" t="s">
        <v>246</v>
      </c>
      <c r="AW5" s="389" t="s">
        <v>247</v>
      </c>
      <c r="AX5" s="389" t="s">
        <v>248</v>
      </c>
      <c r="AY5" s="389" t="s">
        <v>161</v>
      </c>
      <c r="AZ5" s="389" t="s">
        <v>249</v>
      </c>
      <c r="BA5" s="389" t="s">
        <v>250</v>
      </c>
      <c r="BF5" s="389" t="s">
        <v>251</v>
      </c>
      <c r="BG5" s="389" t="s">
        <v>252</v>
      </c>
      <c r="BH5" s="389" t="s">
        <v>253</v>
      </c>
      <c r="BI5" s="389" t="s">
        <v>254</v>
      </c>
      <c r="BV5" s="389" t="s">
        <v>255</v>
      </c>
      <c r="BW5" s="389" t="s">
        <v>256</v>
      </c>
      <c r="BZ5" s="389" t="s">
        <v>257</v>
      </c>
      <c r="CA5" s="389" t="s">
        <v>258</v>
      </c>
      <c r="CB5" s="389" t="s">
        <v>259</v>
      </c>
      <c r="CC5" s="389" t="s">
        <v>260</v>
      </c>
      <c r="CD5" s="389" t="s">
        <v>261</v>
      </c>
      <c r="CF5" s="389" t="s">
        <v>262</v>
      </c>
      <c r="CG5" s="389" t="s">
        <v>263</v>
      </c>
      <c r="CN5" s="389" t="s">
        <v>264</v>
      </c>
      <c r="CO5" s="389" t="s">
        <v>265</v>
      </c>
    </row>
    <row r="6" spans="1:93">
      <c r="A6" s="389">
        <v>5</v>
      </c>
      <c r="C6" s="390" t="s">
        <v>158</v>
      </c>
      <c r="D6" s="390" t="s">
        <v>159</v>
      </c>
      <c r="E6" s="390" t="s">
        <v>266</v>
      </c>
      <c r="F6" s="390" t="s">
        <v>267</v>
      </c>
      <c r="G6" s="390"/>
      <c r="H6" s="390"/>
      <c r="I6" s="389" t="s">
        <v>268</v>
      </c>
      <c r="J6" s="389" t="s">
        <v>269</v>
      </c>
      <c r="K6" s="389" t="s">
        <v>1146</v>
      </c>
      <c r="L6" s="389" t="s">
        <v>1162</v>
      </c>
      <c r="M6" s="389" t="s">
        <v>1153</v>
      </c>
      <c r="N6" s="389" t="s">
        <v>1172</v>
      </c>
      <c r="O6" s="389" t="s">
        <v>272</v>
      </c>
      <c r="P6" s="389" t="s">
        <v>273</v>
      </c>
      <c r="Q6" s="389" t="s">
        <v>1073</v>
      </c>
      <c r="R6" s="389" t="s">
        <v>274</v>
      </c>
      <c r="V6" s="389" t="s">
        <v>275</v>
      </c>
      <c r="W6" s="389" t="s">
        <v>276</v>
      </c>
      <c r="Z6" s="389" t="s">
        <v>277</v>
      </c>
      <c r="AA6" s="389" t="s">
        <v>278</v>
      </c>
      <c r="AB6" s="389" t="s">
        <v>279</v>
      </c>
      <c r="AC6" s="389" t="s">
        <v>280</v>
      </c>
      <c r="AD6" s="389" t="s">
        <v>281</v>
      </c>
      <c r="AE6" s="389" t="s">
        <v>282</v>
      </c>
      <c r="AF6" s="389" t="s">
        <v>283</v>
      </c>
      <c r="AG6" s="389" t="s">
        <v>284</v>
      </c>
      <c r="AH6" s="389" t="s">
        <v>285</v>
      </c>
      <c r="AI6" s="389" t="s">
        <v>286</v>
      </c>
      <c r="AJ6" s="389" t="s">
        <v>287</v>
      </c>
      <c r="AK6" s="389" t="s">
        <v>288</v>
      </c>
      <c r="AL6" s="389" t="s">
        <v>113</v>
      </c>
      <c r="AM6" s="389" t="s">
        <v>121</v>
      </c>
      <c r="AN6" s="389" t="s">
        <v>289</v>
      </c>
      <c r="AO6" s="389" t="s">
        <v>289</v>
      </c>
      <c r="AP6" s="389" t="s">
        <v>251</v>
      </c>
      <c r="AQ6" s="389" t="s">
        <v>252</v>
      </c>
      <c r="AR6" s="389" t="s">
        <v>74</v>
      </c>
      <c r="AS6" s="389" t="s">
        <v>288</v>
      </c>
      <c r="AT6" s="389" t="s">
        <v>290</v>
      </c>
      <c r="AU6" s="389" t="s">
        <v>291</v>
      </c>
      <c r="AV6" s="389" t="s">
        <v>292</v>
      </c>
      <c r="AW6" s="389" t="s">
        <v>293</v>
      </c>
      <c r="AX6" s="389" t="s">
        <v>294</v>
      </c>
      <c r="AY6" s="389" t="s">
        <v>295</v>
      </c>
      <c r="AZ6" s="389" t="s">
        <v>296</v>
      </c>
      <c r="BA6" s="389" t="s">
        <v>297</v>
      </c>
      <c r="BF6" s="389" t="s">
        <v>298</v>
      </c>
      <c r="BG6" s="389" t="s">
        <v>299</v>
      </c>
      <c r="BH6" s="389" t="s">
        <v>300</v>
      </c>
      <c r="BI6" s="389" t="s">
        <v>300</v>
      </c>
      <c r="BV6" s="389" t="s">
        <v>301</v>
      </c>
      <c r="BW6" s="389" t="s">
        <v>302</v>
      </c>
      <c r="BZ6" s="389" t="s">
        <v>303</v>
      </c>
      <c r="CA6" s="389" t="s">
        <v>304</v>
      </c>
      <c r="CB6" s="389" t="s">
        <v>305</v>
      </c>
      <c r="CC6" s="389" t="s">
        <v>306</v>
      </c>
      <c r="CD6" s="389" t="s">
        <v>261</v>
      </c>
      <c r="CF6" s="389" t="s">
        <v>307</v>
      </c>
      <c r="CG6" s="389" t="s">
        <v>308</v>
      </c>
      <c r="CN6" s="389" t="s">
        <v>309</v>
      </c>
      <c r="CO6" s="389" t="s">
        <v>310</v>
      </c>
    </row>
    <row r="7" spans="1:93">
      <c r="A7" s="389">
        <v>6</v>
      </c>
      <c r="C7" s="390" t="s">
        <v>213</v>
      </c>
      <c r="D7" s="390" t="s">
        <v>214</v>
      </c>
      <c r="E7" s="390" t="s">
        <v>311</v>
      </c>
      <c r="F7" s="390" t="s">
        <v>312</v>
      </c>
      <c r="G7" s="390"/>
      <c r="H7" s="390"/>
      <c r="I7" s="389" t="s">
        <v>313</v>
      </c>
      <c r="J7" s="389" t="s">
        <v>31</v>
      </c>
      <c r="K7" s="389" t="s">
        <v>314</v>
      </c>
      <c r="L7" s="389" t="s">
        <v>315</v>
      </c>
      <c r="M7" s="389" t="s">
        <v>316</v>
      </c>
      <c r="N7" s="389" t="s">
        <v>317</v>
      </c>
      <c r="O7" s="389" t="s">
        <v>318</v>
      </c>
      <c r="Q7" s="389" t="s">
        <v>1060</v>
      </c>
      <c r="R7" s="389" t="s">
        <v>1060</v>
      </c>
      <c r="V7" s="389" t="s">
        <v>319</v>
      </c>
      <c r="W7" s="389" t="s">
        <v>320</v>
      </c>
      <c r="Z7" s="389" t="s">
        <v>321</v>
      </c>
      <c r="AA7" s="389" t="s">
        <v>322</v>
      </c>
      <c r="AB7" s="389" t="s">
        <v>323</v>
      </c>
      <c r="AC7" s="389" t="s">
        <v>324</v>
      </c>
      <c r="AD7" s="389" t="s">
        <v>325</v>
      </c>
      <c r="AE7" s="389" t="s">
        <v>136</v>
      </c>
      <c r="AF7" s="389" t="s">
        <v>326</v>
      </c>
      <c r="AG7" s="389" t="s">
        <v>327</v>
      </c>
      <c r="AH7" s="389" t="s">
        <v>328</v>
      </c>
      <c r="AI7" s="389" t="s">
        <v>329</v>
      </c>
      <c r="AJ7" s="389" t="s">
        <v>330</v>
      </c>
      <c r="AK7" s="389" t="s">
        <v>331</v>
      </c>
      <c r="AL7" s="389" t="s">
        <v>332</v>
      </c>
      <c r="AM7" s="389" t="s">
        <v>333</v>
      </c>
      <c r="AP7" s="389" t="s">
        <v>298</v>
      </c>
      <c r="AQ7" s="389" t="s">
        <v>299</v>
      </c>
      <c r="AR7" s="389" t="s">
        <v>334</v>
      </c>
      <c r="AS7" s="389" t="s">
        <v>335</v>
      </c>
      <c r="AT7" s="389" t="s">
        <v>336</v>
      </c>
      <c r="AU7" s="389" t="s">
        <v>336</v>
      </c>
      <c r="AV7" s="389" t="s">
        <v>337</v>
      </c>
      <c r="AW7" s="389" t="s">
        <v>338</v>
      </c>
      <c r="AZ7" s="389" t="s">
        <v>339</v>
      </c>
      <c r="BA7" s="389" t="s">
        <v>340</v>
      </c>
      <c r="BF7" s="389" t="s">
        <v>341</v>
      </c>
      <c r="BG7" s="389" t="s">
        <v>342</v>
      </c>
      <c r="BH7" s="389" t="s">
        <v>343</v>
      </c>
      <c r="BI7" s="389" t="s">
        <v>344</v>
      </c>
      <c r="BV7" s="389" t="s">
        <v>345</v>
      </c>
      <c r="BW7" s="389" t="s">
        <v>346</v>
      </c>
      <c r="BZ7" s="389" t="s">
        <v>347</v>
      </c>
      <c r="CA7" s="389" t="s">
        <v>348</v>
      </c>
      <c r="CF7" s="389" t="s">
        <v>349</v>
      </c>
      <c r="CG7" s="389" t="s">
        <v>350</v>
      </c>
      <c r="CN7" s="389" t="s">
        <v>351</v>
      </c>
      <c r="CO7" s="389" t="s">
        <v>352</v>
      </c>
    </row>
    <row r="8" spans="1:93">
      <c r="A8" s="389">
        <v>7</v>
      </c>
      <c r="C8" s="390" t="s">
        <v>266</v>
      </c>
      <c r="D8" s="390" t="s">
        <v>267</v>
      </c>
      <c r="E8" s="390" t="s">
        <v>353</v>
      </c>
      <c r="F8" s="390" t="s">
        <v>354</v>
      </c>
      <c r="G8" s="390"/>
      <c r="H8" s="390"/>
      <c r="I8" s="389" t="s">
        <v>125</v>
      </c>
      <c r="J8" s="389" t="s">
        <v>355</v>
      </c>
      <c r="K8" s="389" t="s">
        <v>1147</v>
      </c>
      <c r="L8" s="389" t="s">
        <v>1163</v>
      </c>
      <c r="M8" s="389" t="s">
        <v>357</v>
      </c>
      <c r="N8" s="389" t="s">
        <v>358</v>
      </c>
      <c r="O8" s="389" t="s">
        <v>359</v>
      </c>
      <c r="Q8" s="389" t="s">
        <v>1060</v>
      </c>
      <c r="R8" s="389" t="s">
        <v>1060</v>
      </c>
      <c r="V8" s="389" t="s">
        <v>360</v>
      </c>
      <c r="W8" s="389" t="s">
        <v>361</v>
      </c>
      <c r="Z8" s="389" t="s">
        <v>362</v>
      </c>
      <c r="AA8" s="389" t="s">
        <v>363</v>
      </c>
      <c r="AB8" s="389" t="s">
        <v>364</v>
      </c>
      <c r="AC8" s="389" t="s">
        <v>365</v>
      </c>
      <c r="AD8" s="389" t="s">
        <v>107</v>
      </c>
      <c r="AE8" s="389" t="s">
        <v>366</v>
      </c>
      <c r="AF8" s="389" t="s">
        <v>367</v>
      </c>
      <c r="AG8" s="389" t="s">
        <v>368</v>
      </c>
      <c r="AH8" s="389" t="s">
        <v>369</v>
      </c>
      <c r="AI8" s="389" t="s">
        <v>370</v>
      </c>
      <c r="AJ8" s="389" t="s">
        <v>371</v>
      </c>
      <c r="AK8" s="389" t="s">
        <v>372</v>
      </c>
      <c r="AL8" s="389" t="s">
        <v>373</v>
      </c>
      <c r="AM8" s="389" t="s">
        <v>374</v>
      </c>
      <c r="AN8" s="389" t="s">
        <v>326</v>
      </c>
      <c r="AO8" s="389" t="s">
        <v>327</v>
      </c>
      <c r="AP8" s="389" t="s">
        <v>341</v>
      </c>
      <c r="AQ8" s="389" t="s">
        <v>342</v>
      </c>
      <c r="AR8" s="389" t="s">
        <v>123</v>
      </c>
      <c r="AS8" s="389" t="s">
        <v>124</v>
      </c>
      <c r="AT8" s="389" t="s">
        <v>375</v>
      </c>
      <c r="AU8" s="389" t="s">
        <v>376</v>
      </c>
      <c r="AV8" s="389" t="s">
        <v>377</v>
      </c>
      <c r="AW8" s="389" t="s">
        <v>377</v>
      </c>
      <c r="AX8" s="389" t="s">
        <v>378</v>
      </c>
      <c r="AY8" s="389" t="s">
        <v>379</v>
      </c>
      <c r="AZ8" s="389" t="s">
        <v>380</v>
      </c>
      <c r="BA8" s="389" t="s">
        <v>381</v>
      </c>
      <c r="BF8" s="389" t="s">
        <v>382</v>
      </c>
      <c r="BG8" s="389" t="s">
        <v>383</v>
      </c>
      <c r="BH8" s="389" t="s">
        <v>384</v>
      </c>
      <c r="BI8" s="389" t="s">
        <v>385</v>
      </c>
      <c r="BV8" s="389" t="s">
        <v>386</v>
      </c>
      <c r="BW8" s="389" t="s">
        <v>386</v>
      </c>
      <c r="BZ8" s="389" t="s">
        <v>91</v>
      </c>
      <c r="CA8" s="389" t="s">
        <v>91</v>
      </c>
      <c r="CF8" s="389" t="s">
        <v>387</v>
      </c>
      <c r="CG8" s="389" t="s">
        <v>388</v>
      </c>
      <c r="CN8" s="389" t="s">
        <v>389</v>
      </c>
      <c r="CO8" s="389" t="s">
        <v>390</v>
      </c>
    </row>
    <row r="9" spans="1:93">
      <c r="A9" s="389">
        <v>8</v>
      </c>
      <c r="C9" s="390" t="s">
        <v>311</v>
      </c>
      <c r="D9" s="390" t="s">
        <v>312</v>
      </c>
      <c r="E9" s="390" t="s">
        <v>391</v>
      </c>
      <c r="F9" s="390" t="s">
        <v>392</v>
      </c>
      <c r="G9" s="390"/>
      <c r="H9" s="390"/>
      <c r="I9" s="389" t="s">
        <v>393</v>
      </c>
      <c r="J9" s="389" t="s">
        <v>393</v>
      </c>
      <c r="K9" s="389" t="s">
        <v>394</v>
      </c>
      <c r="L9" s="389" t="s">
        <v>395</v>
      </c>
      <c r="M9" s="389" t="s">
        <v>330</v>
      </c>
      <c r="N9" s="389" t="s">
        <v>331</v>
      </c>
      <c r="O9" s="389" t="s">
        <v>396</v>
      </c>
      <c r="Q9" s="389" t="s">
        <v>875</v>
      </c>
      <c r="R9" s="389" t="s">
        <v>1067</v>
      </c>
      <c r="V9" s="389" t="s">
        <v>397</v>
      </c>
      <c r="W9" s="389" t="s">
        <v>398</v>
      </c>
      <c r="Z9" s="389" t="s">
        <v>399</v>
      </c>
      <c r="AA9" s="389" t="s">
        <v>400</v>
      </c>
      <c r="AB9" s="389" t="s">
        <v>401</v>
      </c>
      <c r="AC9" s="389" t="s">
        <v>402</v>
      </c>
      <c r="AD9" s="389" t="s">
        <v>403</v>
      </c>
      <c r="AE9" s="389" t="s">
        <v>404</v>
      </c>
      <c r="AF9" s="389" t="s">
        <v>405</v>
      </c>
      <c r="AG9" s="389" t="s">
        <v>406</v>
      </c>
      <c r="AH9" s="389" t="s">
        <v>407</v>
      </c>
      <c r="AI9" s="389" t="s">
        <v>408</v>
      </c>
      <c r="AJ9" s="389" t="s">
        <v>409</v>
      </c>
      <c r="AK9" s="389" t="s">
        <v>410</v>
      </c>
      <c r="AL9" s="389" t="s">
        <v>411</v>
      </c>
      <c r="AM9" s="389" t="s">
        <v>412</v>
      </c>
      <c r="AN9" s="389" t="s">
        <v>283</v>
      </c>
      <c r="AO9" s="389" t="s">
        <v>284</v>
      </c>
      <c r="AP9" s="389" t="s">
        <v>413</v>
      </c>
      <c r="AQ9" s="389" t="s">
        <v>414</v>
      </c>
      <c r="AR9" s="389" t="s">
        <v>330</v>
      </c>
      <c r="AS9" s="389" t="s">
        <v>331</v>
      </c>
      <c r="AT9" s="389" t="s">
        <v>415</v>
      </c>
      <c r="AU9" s="389" t="s">
        <v>416</v>
      </c>
      <c r="AV9" s="389" t="s">
        <v>417</v>
      </c>
      <c r="AW9" s="389" t="s">
        <v>417</v>
      </c>
      <c r="AX9" s="389" t="s">
        <v>418</v>
      </c>
      <c r="AY9" s="389" t="s">
        <v>350</v>
      </c>
      <c r="AZ9" s="389" t="s">
        <v>419</v>
      </c>
      <c r="BA9" s="389" t="s">
        <v>420</v>
      </c>
      <c r="BF9" s="389" t="s">
        <v>216</v>
      </c>
      <c r="BG9" s="389" t="s">
        <v>217</v>
      </c>
      <c r="BH9" s="389" t="s">
        <v>421</v>
      </c>
      <c r="BI9" s="389" t="s">
        <v>422</v>
      </c>
      <c r="BV9" s="389" t="s">
        <v>289</v>
      </c>
      <c r="BW9" s="389" t="s">
        <v>289</v>
      </c>
      <c r="BZ9" s="389" t="s">
        <v>283</v>
      </c>
      <c r="CA9" s="389" t="s">
        <v>284</v>
      </c>
      <c r="CB9" s="392" t="s">
        <v>423</v>
      </c>
      <c r="CC9" s="392" t="s">
        <v>423</v>
      </c>
      <c r="CF9" s="389" t="s">
        <v>424</v>
      </c>
      <c r="CG9" s="389" t="s">
        <v>425</v>
      </c>
    </row>
    <row r="10" spans="1:93">
      <c r="A10" s="389">
        <v>9</v>
      </c>
      <c r="C10" s="390" t="s">
        <v>353</v>
      </c>
      <c r="D10" s="390" t="s">
        <v>354</v>
      </c>
      <c r="E10" s="390" t="s">
        <v>426</v>
      </c>
      <c r="F10" s="390" t="s">
        <v>427</v>
      </c>
      <c r="G10" s="390"/>
      <c r="H10" s="390"/>
      <c r="I10" s="389" t="s">
        <v>282</v>
      </c>
      <c r="J10" s="389" t="s">
        <v>428</v>
      </c>
      <c r="K10" s="389" t="s">
        <v>429</v>
      </c>
      <c r="L10" s="389" t="s">
        <v>430</v>
      </c>
      <c r="M10" s="389" t="s">
        <v>431</v>
      </c>
      <c r="N10" s="389" t="s">
        <v>432</v>
      </c>
      <c r="O10" s="389" t="s">
        <v>1133</v>
      </c>
      <c r="P10" s="389" t="s">
        <v>434</v>
      </c>
      <c r="Q10" s="389" t="s">
        <v>1066</v>
      </c>
      <c r="R10" s="389" t="s">
        <v>1068</v>
      </c>
      <c r="V10" s="389" t="s">
        <v>162</v>
      </c>
      <c r="W10" s="389" t="s">
        <v>163</v>
      </c>
      <c r="Z10" s="389" t="s">
        <v>435</v>
      </c>
      <c r="AA10" s="389" t="s">
        <v>436</v>
      </c>
      <c r="AB10" s="389" t="s">
        <v>437</v>
      </c>
      <c r="AC10" s="389" t="s">
        <v>337</v>
      </c>
      <c r="AD10" s="389" t="s">
        <v>438</v>
      </c>
      <c r="AE10" s="389" t="s">
        <v>439</v>
      </c>
      <c r="AF10" s="389" t="s">
        <v>440</v>
      </c>
      <c r="AG10" s="389" t="s">
        <v>440</v>
      </c>
      <c r="AH10" s="389" t="s">
        <v>441</v>
      </c>
      <c r="AI10" s="389" t="s">
        <v>442</v>
      </c>
      <c r="AJ10" s="389" t="s">
        <v>162</v>
      </c>
      <c r="AK10" s="389" t="s">
        <v>163</v>
      </c>
      <c r="AN10" s="389" t="s">
        <v>257</v>
      </c>
      <c r="AO10" s="389" t="s">
        <v>258</v>
      </c>
      <c r="AP10" s="389" t="s">
        <v>443</v>
      </c>
      <c r="AQ10" s="389" t="s">
        <v>444</v>
      </c>
      <c r="AR10" s="389" t="s">
        <v>431</v>
      </c>
      <c r="AS10" s="389" t="s">
        <v>432</v>
      </c>
      <c r="AT10" s="389" t="s">
        <v>1055</v>
      </c>
      <c r="AU10" s="389" t="s">
        <v>1056</v>
      </c>
      <c r="AX10" s="389" t="s">
        <v>307</v>
      </c>
      <c r="AY10" s="389" t="s">
        <v>308</v>
      </c>
      <c r="AZ10" s="389" t="s">
        <v>445</v>
      </c>
      <c r="BA10" s="389" t="s">
        <v>446</v>
      </c>
      <c r="BF10" s="389" t="s">
        <v>357</v>
      </c>
      <c r="BG10" s="389" t="s">
        <v>358</v>
      </c>
      <c r="BH10" s="389" t="s">
        <v>447</v>
      </c>
      <c r="BI10" s="389" t="s">
        <v>448</v>
      </c>
      <c r="BZ10" s="389" t="s">
        <v>449</v>
      </c>
      <c r="CA10" s="389" t="s">
        <v>450</v>
      </c>
      <c r="CB10" s="389" t="s">
        <v>451</v>
      </c>
      <c r="CC10" s="389" t="s">
        <v>451</v>
      </c>
      <c r="CF10" s="389" t="s">
        <v>452</v>
      </c>
      <c r="CG10" s="389" t="s">
        <v>453</v>
      </c>
      <c r="CN10" s="389" t="s">
        <v>859</v>
      </c>
      <c r="CO10" s="389" t="s">
        <v>859</v>
      </c>
    </row>
    <row r="11" spans="1:93">
      <c r="A11" s="389">
        <v>10</v>
      </c>
      <c r="C11" s="390" t="s">
        <v>391</v>
      </c>
      <c r="D11" s="390" t="s">
        <v>392</v>
      </c>
      <c r="E11" s="390" t="s">
        <v>454</v>
      </c>
      <c r="F11" s="390" t="s">
        <v>455</v>
      </c>
      <c r="G11" s="390"/>
      <c r="H11" s="390"/>
      <c r="I11" s="389" t="s">
        <v>456</v>
      </c>
      <c r="J11" s="389" t="s">
        <v>457</v>
      </c>
      <c r="K11" s="389" t="s">
        <v>458</v>
      </c>
      <c r="L11" s="389" t="s">
        <v>459</v>
      </c>
      <c r="M11" s="389" t="s">
        <v>460</v>
      </c>
      <c r="N11" s="389" t="s">
        <v>461</v>
      </c>
      <c r="O11" s="389" t="s">
        <v>356</v>
      </c>
      <c r="P11" s="389" t="s">
        <v>462</v>
      </c>
      <c r="Q11" s="389" t="s">
        <v>463</v>
      </c>
      <c r="V11" s="389" t="s">
        <v>396</v>
      </c>
      <c r="W11" s="389" t="s">
        <v>464</v>
      </c>
      <c r="Z11" s="389" t="s">
        <v>465</v>
      </c>
      <c r="AA11" s="389" t="s">
        <v>466</v>
      </c>
      <c r="AB11" s="389" t="s">
        <v>467</v>
      </c>
      <c r="AC11" s="389" t="s">
        <v>1186</v>
      </c>
      <c r="AD11" s="389" t="s">
        <v>1186</v>
      </c>
      <c r="AE11" s="389" t="s">
        <v>468</v>
      </c>
      <c r="AF11" s="389" t="s">
        <v>469</v>
      </c>
      <c r="AG11" s="389" t="s">
        <v>469</v>
      </c>
      <c r="AH11" s="389" t="s">
        <v>470</v>
      </c>
      <c r="AI11" s="389" t="s">
        <v>471</v>
      </c>
      <c r="AJ11" s="389" t="s">
        <v>270</v>
      </c>
      <c r="AK11" s="389" t="s">
        <v>271</v>
      </c>
      <c r="AL11" s="389" t="s">
        <v>472</v>
      </c>
      <c r="AM11" s="389" t="s">
        <v>472</v>
      </c>
      <c r="AN11" s="389" t="s">
        <v>473</v>
      </c>
      <c r="AO11" s="389" t="s">
        <v>474</v>
      </c>
      <c r="AP11" s="389" t="s">
        <v>475</v>
      </c>
      <c r="AQ11" s="389" t="s">
        <v>476</v>
      </c>
      <c r="AR11" s="389" t="s">
        <v>477</v>
      </c>
      <c r="AS11" s="389" t="s">
        <v>478</v>
      </c>
      <c r="AX11" s="389" t="s">
        <v>387</v>
      </c>
      <c r="AY11" s="389" t="s">
        <v>388</v>
      </c>
      <c r="BF11" s="389" t="s">
        <v>330</v>
      </c>
      <c r="BG11" s="389" t="s">
        <v>331</v>
      </c>
      <c r="BV11" s="389" t="s">
        <v>108</v>
      </c>
      <c r="BW11" s="389" t="s">
        <v>109</v>
      </c>
      <c r="BZ11" s="389" t="s">
        <v>70</v>
      </c>
      <c r="CA11" s="389" t="s">
        <v>71</v>
      </c>
      <c r="CB11" s="389" t="s">
        <v>479</v>
      </c>
      <c r="CC11" s="389" t="s">
        <v>480</v>
      </c>
      <c r="CD11" s="389" t="s">
        <v>481</v>
      </c>
      <c r="CF11" s="389" t="s">
        <v>482</v>
      </c>
      <c r="CG11" s="389" t="s">
        <v>482</v>
      </c>
      <c r="CN11" s="389" t="s">
        <v>1135</v>
      </c>
      <c r="CO11" s="389" t="s">
        <v>1136</v>
      </c>
    </row>
    <row r="12" spans="1:93">
      <c r="A12" s="389">
        <v>11</v>
      </c>
      <c r="C12" s="390" t="s">
        <v>426</v>
      </c>
      <c r="D12" s="390" t="s">
        <v>427</v>
      </c>
      <c r="E12" s="390" t="s">
        <v>483</v>
      </c>
      <c r="F12" s="390" t="s">
        <v>484</v>
      </c>
      <c r="G12" s="390"/>
      <c r="H12" s="390"/>
      <c r="I12" s="389" t="s">
        <v>485</v>
      </c>
      <c r="J12" s="389" t="s">
        <v>485</v>
      </c>
      <c r="K12" s="389" t="s">
        <v>486</v>
      </c>
      <c r="L12" s="389" t="s">
        <v>487</v>
      </c>
      <c r="M12" s="389" t="s">
        <v>488</v>
      </c>
      <c r="N12" s="389" t="s">
        <v>489</v>
      </c>
      <c r="O12" s="389" t="s">
        <v>113</v>
      </c>
      <c r="Q12" s="389" t="s">
        <v>490</v>
      </c>
      <c r="V12" s="389" t="s">
        <v>491</v>
      </c>
      <c r="W12" s="389" t="s">
        <v>492</v>
      </c>
      <c r="Z12" s="389" t="s">
        <v>121</v>
      </c>
      <c r="AA12" s="389" t="s">
        <v>111</v>
      </c>
      <c r="AB12" s="389" t="s">
        <v>493</v>
      </c>
      <c r="AC12" s="389" t="s">
        <v>316</v>
      </c>
      <c r="AD12" s="389" t="s">
        <v>317</v>
      </c>
      <c r="AF12" s="389" t="s">
        <v>91</v>
      </c>
      <c r="AG12" s="389" t="s">
        <v>91</v>
      </c>
      <c r="AH12" s="389" t="s">
        <v>494</v>
      </c>
      <c r="AI12" s="389" t="s">
        <v>495</v>
      </c>
      <c r="AJ12" s="389" t="s">
        <v>356</v>
      </c>
      <c r="AK12" s="389" t="s">
        <v>465</v>
      </c>
      <c r="AL12" s="389" t="s">
        <v>132</v>
      </c>
      <c r="AM12" s="389" t="s">
        <v>133</v>
      </c>
      <c r="AN12" s="389" t="s">
        <v>496</v>
      </c>
      <c r="AO12" s="389" t="s">
        <v>497</v>
      </c>
      <c r="AP12" s="389" t="s">
        <v>498</v>
      </c>
      <c r="AQ12" s="389" t="s">
        <v>499</v>
      </c>
      <c r="AR12" s="389" t="s">
        <v>500</v>
      </c>
      <c r="AS12" s="389" t="s">
        <v>444</v>
      </c>
      <c r="AT12" s="389" t="s">
        <v>501</v>
      </c>
      <c r="AU12" s="389" t="s">
        <v>502</v>
      </c>
      <c r="AX12" s="389" t="s">
        <v>503</v>
      </c>
      <c r="AY12" s="389" t="s">
        <v>504</v>
      </c>
      <c r="BF12" s="389" t="s">
        <v>431</v>
      </c>
      <c r="BG12" s="389" t="s">
        <v>432</v>
      </c>
      <c r="BV12" s="389" t="s">
        <v>505</v>
      </c>
      <c r="BW12" s="389" t="s">
        <v>506</v>
      </c>
      <c r="BZ12" s="389" t="s">
        <v>507</v>
      </c>
      <c r="CA12" s="389" t="s">
        <v>508</v>
      </c>
      <c r="CB12" s="389" t="s">
        <v>509</v>
      </c>
      <c r="CC12" s="389" t="s">
        <v>510</v>
      </c>
      <c r="CD12" s="389" t="s">
        <v>481</v>
      </c>
      <c r="CN12" s="389" t="s">
        <v>511</v>
      </c>
      <c r="CO12" s="389" t="s">
        <v>512</v>
      </c>
    </row>
    <row r="13" spans="1:93">
      <c r="A13" s="389">
        <v>12</v>
      </c>
      <c r="C13" s="390" t="s">
        <v>454</v>
      </c>
      <c r="D13" s="390" t="s">
        <v>455</v>
      </c>
      <c r="E13" s="390" t="s">
        <v>513</v>
      </c>
      <c r="F13" s="389" t="s">
        <v>514</v>
      </c>
      <c r="G13" s="390"/>
      <c r="H13" s="390"/>
      <c r="I13" s="389" t="s">
        <v>515</v>
      </c>
      <c r="J13" s="389" t="s">
        <v>515</v>
      </c>
      <c r="K13" s="389" t="s">
        <v>516</v>
      </c>
      <c r="L13" s="389" t="s">
        <v>517</v>
      </c>
      <c r="M13" s="389" t="s">
        <v>185</v>
      </c>
      <c r="N13" s="389" t="s">
        <v>1174</v>
      </c>
      <c r="O13" s="389" t="s">
        <v>518</v>
      </c>
      <c r="V13" s="389" t="s">
        <v>519</v>
      </c>
      <c r="W13" s="389" t="s">
        <v>520</v>
      </c>
      <c r="Z13" s="389" t="s">
        <v>521</v>
      </c>
      <c r="AA13" s="389" t="s">
        <v>522</v>
      </c>
      <c r="AB13" s="389" t="s">
        <v>523</v>
      </c>
      <c r="AC13" s="389" t="s">
        <v>357</v>
      </c>
      <c r="AD13" s="389" t="s">
        <v>358</v>
      </c>
      <c r="AH13" s="389" t="s">
        <v>524</v>
      </c>
      <c r="AI13" s="389" t="s">
        <v>525</v>
      </c>
      <c r="AJ13" s="389" t="s">
        <v>314</v>
      </c>
      <c r="AK13" s="389" t="s">
        <v>315</v>
      </c>
      <c r="AL13" s="389" t="s">
        <v>185</v>
      </c>
      <c r="AM13" s="389" t="s">
        <v>186</v>
      </c>
      <c r="AN13" s="389" t="s">
        <v>526</v>
      </c>
      <c r="AO13" s="389" t="s">
        <v>527</v>
      </c>
      <c r="AP13" s="389" t="s">
        <v>326</v>
      </c>
      <c r="AQ13" s="389" t="s">
        <v>327</v>
      </c>
      <c r="AR13" s="389" t="s">
        <v>475</v>
      </c>
      <c r="AS13" s="389" t="s">
        <v>476</v>
      </c>
      <c r="AT13" s="389" t="s">
        <v>1057</v>
      </c>
      <c r="AU13" s="389" t="s">
        <v>1058</v>
      </c>
      <c r="BF13" s="389" t="s">
        <v>528</v>
      </c>
      <c r="BG13" s="389" t="s">
        <v>529</v>
      </c>
      <c r="BV13" s="389" t="s">
        <v>530</v>
      </c>
      <c r="BW13" s="389" t="s">
        <v>531</v>
      </c>
      <c r="BZ13" s="389" t="s">
        <v>532</v>
      </c>
      <c r="CA13" s="389" t="s">
        <v>533</v>
      </c>
      <c r="CN13" s="389" t="s">
        <v>534</v>
      </c>
      <c r="CO13" s="389" t="s">
        <v>535</v>
      </c>
    </row>
    <row r="14" spans="1:93">
      <c r="A14" s="389">
        <v>13</v>
      </c>
      <c r="C14" s="390" t="s">
        <v>483</v>
      </c>
      <c r="D14" s="390" t="s">
        <v>484</v>
      </c>
      <c r="E14" s="390" t="s">
        <v>536</v>
      </c>
      <c r="F14" s="390" t="s">
        <v>537</v>
      </c>
      <c r="G14" s="390"/>
      <c r="H14" s="390"/>
      <c r="I14" s="389" t="s">
        <v>538</v>
      </c>
      <c r="J14" s="389" t="s">
        <v>538</v>
      </c>
      <c r="K14" s="389" t="s">
        <v>539</v>
      </c>
      <c r="L14" s="389" t="s">
        <v>540</v>
      </c>
      <c r="M14" s="389" t="s">
        <v>251</v>
      </c>
      <c r="N14" s="389" t="s">
        <v>252</v>
      </c>
      <c r="O14" s="389" t="s">
        <v>356</v>
      </c>
      <c r="V14" s="389" t="s">
        <v>541</v>
      </c>
      <c r="W14" s="389" t="s">
        <v>541</v>
      </c>
      <c r="Z14" s="389" t="s">
        <v>465</v>
      </c>
      <c r="AA14" s="389" t="s">
        <v>400</v>
      </c>
      <c r="AB14" s="389" t="s">
        <v>401</v>
      </c>
      <c r="AF14" s="389" t="s">
        <v>542</v>
      </c>
      <c r="AG14" s="389" t="s">
        <v>543</v>
      </c>
      <c r="AH14" s="389" t="s">
        <v>544</v>
      </c>
      <c r="AI14" s="389" t="s">
        <v>545</v>
      </c>
      <c r="AJ14" s="389" t="s">
        <v>546</v>
      </c>
      <c r="AK14" s="389" t="s">
        <v>547</v>
      </c>
      <c r="AL14" s="389" t="s">
        <v>236</v>
      </c>
      <c r="AM14" s="389" t="s">
        <v>237</v>
      </c>
      <c r="AN14" s="389" t="s">
        <v>548</v>
      </c>
      <c r="AO14" s="389" t="s">
        <v>549</v>
      </c>
      <c r="AR14" s="389" t="s">
        <v>550</v>
      </c>
      <c r="AS14" s="389" t="s">
        <v>499</v>
      </c>
      <c r="AT14" s="389" t="s">
        <v>1059</v>
      </c>
      <c r="AU14" s="389" t="s">
        <v>317</v>
      </c>
      <c r="BF14" s="389" t="s">
        <v>551</v>
      </c>
      <c r="BG14" s="389" t="s">
        <v>284</v>
      </c>
      <c r="BV14" s="389" t="s">
        <v>552</v>
      </c>
      <c r="BW14" s="389" t="s">
        <v>553</v>
      </c>
      <c r="BZ14" s="389" t="s">
        <v>554</v>
      </c>
      <c r="CA14" s="389" t="s">
        <v>555</v>
      </c>
      <c r="CB14" s="389" t="s">
        <v>556</v>
      </c>
      <c r="CC14" s="389" t="s">
        <v>556</v>
      </c>
      <c r="CN14" s="389" t="s">
        <v>557</v>
      </c>
      <c r="CO14" s="389" t="s">
        <v>558</v>
      </c>
    </row>
    <row r="15" spans="1:93" ht="63" customHeight="1">
      <c r="A15" s="389">
        <v>14</v>
      </c>
      <c r="C15" s="390" t="s">
        <v>513</v>
      </c>
      <c r="D15" s="389" t="s">
        <v>514</v>
      </c>
      <c r="E15" s="390" t="s">
        <v>559</v>
      </c>
      <c r="F15" s="390" t="s">
        <v>560</v>
      </c>
      <c r="I15" s="389" t="s">
        <v>561</v>
      </c>
      <c r="J15" s="389" t="s">
        <v>561</v>
      </c>
      <c r="K15" s="389" t="s">
        <v>562</v>
      </c>
      <c r="L15" s="389" t="s">
        <v>563</v>
      </c>
      <c r="M15" s="389" t="s">
        <v>341</v>
      </c>
      <c r="N15" s="389" t="s">
        <v>342</v>
      </c>
      <c r="O15" s="389" t="s">
        <v>564</v>
      </c>
      <c r="V15" s="389" t="s">
        <v>565</v>
      </c>
      <c r="W15" s="389" t="s">
        <v>566</v>
      </c>
      <c r="Z15" s="389" t="s">
        <v>567</v>
      </c>
      <c r="AA15" s="389" t="s">
        <v>568</v>
      </c>
      <c r="AB15" s="389" t="s">
        <v>569</v>
      </c>
      <c r="AC15" s="389" t="s">
        <v>570</v>
      </c>
      <c r="AD15" s="389" t="s">
        <v>571</v>
      </c>
      <c r="AF15" s="389" t="s">
        <v>572</v>
      </c>
      <c r="AG15" s="389" t="s">
        <v>573</v>
      </c>
      <c r="AH15" s="389" t="s">
        <v>574</v>
      </c>
      <c r="AI15" s="389" t="s">
        <v>575</v>
      </c>
      <c r="AL15" s="389" t="s">
        <v>433</v>
      </c>
      <c r="AM15" s="389" t="s">
        <v>121</v>
      </c>
      <c r="AN15" s="389" t="s">
        <v>576</v>
      </c>
      <c r="AO15" s="389" t="s">
        <v>577</v>
      </c>
      <c r="AR15" s="389" t="s">
        <v>345</v>
      </c>
      <c r="AS15" s="389" t="s">
        <v>578</v>
      </c>
      <c r="BV15" s="389" t="s">
        <v>1053</v>
      </c>
      <c r="BW15" s="389" t="s">
        <v>1054</v>
      </c>
      <c r="BZ15" s="389" t="s">
        <v>579</v>
      </c>
      <c r="CA15" s="389" t="s">
        <v>579</v>
      </c>
      <c r="CB15" s="389" t="s">
        <v>580</v>
      </c>
      <c r="CC15" s="389" t="s">
        <v>581</v>
      </c>
      <c r="CD15" s="388" t="s">
        <v>582</v>
      </c>
      <c r="CN15" s="389" t="s">
        <v>859</v>
      </c>
      <c r="CO15" s="389" t="s">
        <v>859</v>
      </c>
    </row>
    <row r="16" spans="1:93" ht="176">
      <c r="A16" s="389">
        <v>15</v>
      </c>
      <c r="C16" s="390" t="s">
        <v>536</v>
      </c>
      <c r="D16" s="390" t="s">
        <v>537</v>
      </c>
      <c r="E16" s="390" t="s">
        <v>583</v>
      </c>
      <c r="F16" s="390" t="s">
        <v>584</v>
      </c>
      <c r="I16" s="389" t="s">
        <v>585</v>
      </c>
      <c r="J16" s="389" t="s">
        <v>586</v>
      </c>
      <c r="K16" s="389" t="s">
        <v>587</v>
      </c>
      <c r="L16" s="389" t="s">
        <v>588</v>
      </c>
      <c r="M16" s="389" t="s">
        <v>528</v>
      </c>
      <c r="N16" s="389" t="s">
        <v>589</v>
      </c>
      <c r="O16" s="389" t="s">
        <v>564</v>
      </c>
      <c r="R16" s="389" t="s">
        <v>6</v>
      </c>
      <c r="S16" s="389" t="s">
        <v>6</v>
      </c>
      <c r="V16" s="389" t="s">
        <v>590</v>
      </c>
      <c r="W16" s="389" t="s">
        <v>591</v>
      </c>
      <c r="Z16" s="389" t="s">
        <v>567</v>
      </c>
      <c r="AA16" s="389" t="s">
        <v>257</v>
      </c>
      <c r="AB16" s="389" t="s">
        <v>592</v>
      </c>
      <c r="AC16" s="389" t="s">
        <v>593</v>
      </c>
      <c r="AD16" s="389" t="s">
        <v>594</v>
      </c>
      <c r="AH16" s="389" t="s">
        <v>595</v>
      </c>
      <c r="AI16" s="389" t="s">
        <v>596</v>
      </c>
      <c r="AJ16" s="389" t="s">
        <v>597</v>
      </c>
      <c r="AK16" s="389" t="s">
        <v>598</v>
      </c>
      <c r="AL16" s="389" t="s">
        <v>599</v>
      </c>
      <c r="AM16" s="389" t="s">
        <v>333</v>
      </c>
      <c r="AN16" s="389" t="s">
        <v>600</v>
      </c>
      <c r="AO16" s="389" t="s">
        <v>601</v>
      </c>
      <c r="BV16" s="389" t="s">
        <v>1131</v>
      </c>
      <c r="BW16" s="389" t="s">
        <v>1132</v>
      </c>
      <c r="BZ16" s="389" t="s">
        <v>440</v>
      </c>
      <c r="CA16" s="389" t="s">
        <v>440</v>
      </c>
      <c r="CB16" s="389" t="s">
        <v>602</v>
      </c>
      <c r="CC16" s="389" t="s">
        <v>603</v>
      </c>
      <c r="CD16" s="388" t="s">
        <v>582</v>
      </c>
    </row>
    <row r="17" spans="1:82">
      <c r="A17" s="389">
        <v>16</v>
      </c>
      <c r="C17" s="390" t="s">
        <v>559</v>
      </c>
      <c r="D17" s="390" t="s">
        <v>560</v>
      </c>
      <c r="E17" s="390" t="s">
        <v>604</v>
      </c>
      <c r="F17" s="390" t="s">
        <v>605</v>
      </c>
      <c r="I17" s="389" t="s">
        <v>49</v>
      </c>
      <c r="J17" s="389" t="s">
        <v>50</v>
      </c>
      <c r="K17" s="389" t="s">
        <v>1148</v>
      </c>
      <c r="L17" s="389" t="s">
        <v>1164</v>
      </c>
      <c r="M17" s="389" t="s">
        <v>298</v>
      </c>
      <c r="N17" s="389" t="s">
        <v>299</v>
      </c>
      <c r="O17" s="389" t="s">
        <v>606</v>
      </c>
      <c r="V17" s="389" t="s">
        <v>1187</v>
      </c>
      <c r="W17" s="389" t="s">
        <v>607</v>
      </c>
      <c r="Z17" s="389" t="s">
        <v>608</v>
      </c>
      <c r="AA17" s="389" t="s">
        <v>609</v>
      </c>
      <c r="AB17" s="389" t="s">
        <v>610</v>
      </c>
      <c r="AC17" s="389" t="s">
        <v>611</v>
      </c>
      <c r="AD17" s="389" t="s">
        <v>612</v>
      </c>
      <c r="AH17" s="389" t="s">
        <v>613</v>
      </c>
      <c r="AI17" s="389" t="s">
        <v>614</v>
      </c>
      <c r="AJ17" s="389" t="s">
        <v>183</v>
      </c>
      <c r="AK17" s="389" t="s">
        <v>184</v>
      </c>
      <c r="AL17" s="389" t="s">
        <v>91</v>
      </c>
      <c r="AM17" s="389" t="s">
        <v>374</v>
      </c>
      <c r="AN17" s="389" t="s">
        <v>345</v>
      </c>
      <c r="AO17" s="389" t="s">
        <v>346</v>
      </c>
      <c r="AR17" s="389" t="s">
        <v>615</v>
      </c>
      <c r="AS17" s="389" t="s">
        <v>616</v>
      </c>
      <c r="BF17" s="389" t="s">
        <v>617</v>
      </c>
      <c r="BG17" s="389" t="s">
        <v>618</v>
      </c>
      <c r="BV17" s="389" t="s">
        <v>619</v>
      </c>
      <c r="BW17" s="389" t="s">
        <v>620</v>
      </c>
      <c r="BZ17" s="389" t="s">
        <v>576</v>
      </c>
      <c r="CA17" s="394" t="s">
        <v>621</v>
      </c>
    </row>
    <row r="18" spans="1:82">
      <c r="A18" s="389">
        <v>17</v>
      </c>
      <c r="C18" s="390">
        <v>2023</v>
      </c>
      <c r="D18" s="390">
        <v>2023</v>
      </c>
      <c r="E18" s="390" t="s">
        <v>622</v>
      </c>
      <c r="F18" s="390" t="s">
        <v>623</v>
      </c>
      <c r="I18" s="389" t="s">
        <v>624</v>
      </c>
      <c r="J18" s="389" t="s">
        <v>624</v>
      </c>
      <c r="K18" s="389" t="s">
        <v>1149</v>
      </c>
      <c r="L18" s="389" t="s">
        <v>1165</v>
      </c>
      <c r="M18" s="389" t="s">
        <v>625</v>
      </c>
      <c r="N18" s="389" t="s">
        <v>626</v>
      </c>
      <c r="O18" s="389" t="s">
        <v>134</v>
      </c>
      <c r="Q18" s="389" t="s">
        <v>827</v>
      </c>
      <c r="R18" s="389" t="s">
        <v>827</v>
      </c>
      <c r="V18" s="389" t="s">
        <v>627</v>
      </c>
      <c r="W18" s="389" t="s">
        <v>628</v>
      </c>
      <c r="Z18" s="389" t="s">
        <v>135</v>
      </c>
      <c r="AA18" s="389" t="s">
        <v>473</v>
      </c>
      <c r="AB18" s="389" t="s">
        <v>629</v>
      </c>
      <c r="AC18" s="389" t="s">
        <v>630</v>
      </c>
      <c r="AD18" s="389" t="s">
        <v>631</v>
      </c>
      <c r="AH18" s="389" t="s">
        <v>632</v>
      </c>
      <c r="AI18" s="389" t="s">
        <v>633</v>
      </c>
      <c r="AJ18" s="389" t="s">
        <v>235</v>
      </c>
      <c r="AK18" s="389" t="s">
        <v>235</v>
      </c>
      <c r="AN18" s="389" t="s">
        <v>634</v>
      </c>
      <c r="AO18" s="389" t="s">
        <v>635</v>
      </c>
      <c r="AR18" s="389" t="s">
        <v>636</v>
      </c>
      <c r="AS18" s="389" t="s">
        <v>637</v>
      </c>
      <c r="BF18" s="389" t="s">
        <v>251</v>
      </c>
      <c r="BG18" s="389" t="s">
        <v>252</v>
      </c>
      <c r="BV18" s="389" t="s">
        <v>638</v>
      </c>
      <c r="BW18" s="389" t="s">
        <v>639</v>
      </c>
      <c r="BZ18" s="392" t="s">
        <v>640</v>
      </c>
      <c r="CA18" s="392" t="s">
        <v>641</v>
      </c>
      <c r="CB18" s="389" t="s">
        <v>642</v>
      </c>
      <c r="CC18" s="389" t="s">
        <v>643</v>
      </c>
    </row>
    <row r="19" spans="1:82">
      <c r="A19" s="389">
        <v>18</v>
      </c>
      <c r="C19" s="390" t="s">
        <v>583</v>
      </c>
      <c r="D19" s="390" t="s">
        <v>584</v>
      </c>
      <c r="E19" s="390" t="s">
        <v>644</v>
      </c>
      <c r="F19" s="390" t="s">
        <v>645</v>
      </c>
      <c r="I19" s="389" t="s">
        <v>646</v>
      </c>
      <c r="J19" s="389" t="s">
        <v>647</v>
      </c>
      <c r="K19" s="389" t="s">
        <v>363</v>
      </c>
      <c r="L19" s="389" t="s">
        <v>364</v>
      </c>
      <c r="M19" s="389" t="s">
        <v>1156</v>
      </c>
      <c r="N19" s="389" t="s">
        <v>648</v>
      </c>
      <c r="O19" s="389" t="s">
        <v>649</v>
      </c>
      <c r="Q19" s="389" t="s">
        <v>1061</v>
      </c>
      <c r="R19" s="389" t="s">
        <v>827</v>
      </c>
      <c r="Z19" s="389" t="s">
        <v>650</v>
      </c>
      <c r="AC19" s="389" t="s">
        <v>651</v>
      </c>
      <c r="AD19" s="389" t="s">
        <v>652</v>
      </c>
      <c r="AH19" s="389" t="s">
        <v>653</v>
      </c>
      <c r="AI19" s="389" t="s">
        <v>654</v>
      </c>
      <c r="AJ19" s="389" t="s">
        <v>287</v>
      </c>
      <c r="AK19" s="389" t="s">
        <v>288</v>
      </c>
      <c r="AN19" s="389" t="s">
        <v>655</v>
      </c>
      <c r="AO19" s="389" t="s">
        <v>656</v>
      </c>
      <c r="AR19" s="389" t="s">
        <v>657</v>
      </c>
      <c r="AS19" s="389" t="s">
        <v>658</v>
      </c>
      <c r="BF19" s="389" t="s">
        <v>382</v>
      </c>
      <c r="BG19" s="389" t="s">
        <v>383</v>
      </c>
      <c r="BV19" s="389" t="s">
        <v>659</v>
      </c>
      <c r="BW19" s="389" t="s">
        <v>660</v>
      </c>
      <c r="BZ19" s="389" t="s">
        <v>661</v>
      </c>
      <c r="CA19" s="389" t="s">
        <v>662</v>
      </c>
    </row>
    <row r="20" spans="1:82">
      <c r="A20" s="389">
        <v>19</v>
      </c>
      <c r="C20" s="390" t="s">
        <v>604</v>
      </c>
      <c r="D20" s="390" t="s">
        <v>605</v>
      </c>
      <c r="E20" s="390" t="s">
        <v>663</v>
      </c>
      <c r="F20" s="389" t="s">
        <v>664</v>
      </c>
      <c r="I20" s="389" t="s">
        <v>665</v>
      </c>
      <c r="J20" s="389" t="s">
        <v>665</v>
      </c>
      <c r="K20" s="389" t="s">
        <v>666</v>
      </c>
      <c r="L20" s="389" t="s">
        <v>315</v>
      </c>
      <c r="M20" s="389" t="s">
        <v>667</v>
      </c>
      <c r="N20" s="389" t="s">
        <v>668</v>
      </c>
      <c r="O20" s="389" t="s">
        <v>669</v>
      </c>
      <c r="Q20" s="389" t="s">
        <v>862</v>
      </c>
      <c r="R20" s="389" t="s">
        <v>1070</v>
      </c>
      <c r="Z20" s="389" t="s">
        <v>670</v>
      </c>
      <c r="AA20" s="389" t="s">
        <v>1179</v>
      </c>
      <c r="AB20" s="389" t="s">
        <v>671</v>
      </c>
      <c r="AC20" s="389" t="s">
        <v>672</v>
      </c>
      <c r="AD20" s="389" t="s">
        <v>673</v>
      </c>
      <c r="AH20" s="389" t="s">
        <v>674</v>
      </c>
      <c r="AI20" s="389" t="s">
        <v>675</v>
      </c>
      <c r="AJ20" s="389" t="s">
        <v>330</v>
      </c>
      <c r="AK20" s="389" t="s">
        <v>331</v>
      </c>
      <c r="AN20" s="389" t="s">
        <v>130</v>
      </c>
      <c r="AO20" s="389" t="s">
        <v>131</v>
      </c>
      <c r="AR20" s="389" t="s">
        <v>74</v>
      </c>
      <c r="AS20" s="389" t="s">
        <v>288</v>
      </c>
      <c r="BF20" s="389" t="s">
        <v>287</v>
      </c>
      <c r="BG20" s="389" t="s">
        <v>288</v>
      </c>
      <c r="BV20" s="389" t="s">
        <v>676</v>
      </c>
      <c r="BW20" s="389" t="s">
        <v>677</v>
      </c>
      <c r="BZ20" s="389" t="s">
        <v>678</v>
      </c>
      <c r="CA20" s="389" t="s">
        <v>678</v>
      </c>
      <c r="CB20" s="389" t="s">
        <v>679</v>
      </c>
      <c r="CC20" s="389" t="s">
        <v>680</v>
      </c>
      <c r="CD20" s="389" t="s">
        <v>681</v>
      </c>
    </row>
    <row r="21" spans="1:82">
      <c r="A21" s="389">
        <v>20</v>
      </c>
      <c r="C21" s="390" t="s">
        <v>622</v>
      </c>
      <c r="D21" s="390" t="s">
        <v>623</v>
      </c>
      <c r="E21" s="390" t="s">
        <v>1075</v>
      </c>
      <c r="F21" s="389" t="s">
        <v>1076</v>
      </c>
      <c r="G21" s="389" t="s">
        <v>1123</v>
      </c>
      <c r="I21" s="389" t="s">
        <v>682</v>
      </c>
      <c r="J21" s="389" t="s">
        <v>683</v>
      </c>
      <c r="K21" s="389" t="s">
        <v>1157</v>
      </c>
      <c r="L21" s="389" t="s">
        <v>684</v>
      </c>
      <c r="M21" s="389" t="s">
        <v>685</v>
      </c>
      <c r="N21" s="389" t="s">
        <v>686</v>
      </c>
      <c r="O21" s="389" t="s">
        <v>687</v>
      </c>
      <c r="Q21" s="389" t="s">
        <v>1069</v>
      </c>
      <c r="R21" s="389" t="s">
        <v>1071</v>
      </c>
      <c r="Z21" s="389" t="s">
        <v>670</v>
      </c>
      <c r="AA21" s="389" t="s">
        <v>688</v>
      </c>
      <c r="AB21" s="389" t="s">
        <v>689</v>
      </c>
      <c r="AC21" s="389" t="s">
        <v>431</v>
      </c>
      <c r="AD21" s="389" t="s">
        <v>432</v>
      </c>
      <c r="AH21" s="389" t="s">
        <v>690</v>
      </c>
      <c r="AI21" s="389" t="s">
        <v>691</v>
      </c>
      <c r="AJ21" s="389" t="s">
        <v>692</v>
      </c>
      <c r="AK21" s="389" t="s">
        <v>693</v>
      </c>
      <c r="AN21" s="389" t="s">
        <v>597</v>
      </c>
      <c r="AO21" s="389" t="s">
        <v>598</v>
      </c>
      <c r="AR21" s="389" t="s">
        <v>334</v>
      </c>
      <c r="AS21" s="389" t="s">
        <v>335</v>
      </c>
      <c r="BF21" s="389" t="s">
        <v>357</v>
      </c>
      <c r="BG21" s="389" t="s">
        <v>358</v>
      </c>
      <c r="BV21" s="389" t="s">
        <v>694</v>
      </c>
      <c r="BW21" s="389" t="s">
        <v>695</v>
      </c>
      <c r="BZ21" s="389" t="s">
        <v>661</v>
      </c>
      <c r="CA21" s="389" t="s">
        <v>662</v>
      </c>
    </row>
    <row r="22" spans="1:82">
      <c r="A22" s="389">
        <v>21</v>
      </c>
      <c r="C22" s="390" t="s">
        <v>644</v>
      </c>
      <c r="D22" s="390" t="s">
        <v>645</v>
      </c>
      <c r="E22" s="389" t="s">
        <v>1123</v>
      </c>
      <c r="F22" s="389" t="s">
        <v>1124</v>
      </c>
      <c r="G22" s="389" t="s">
        <v>1124</v>
      </c>
      <c r="I22" s="389" t="s">
        <v>696</v>
      </c>
      <c r="J22" s="389" t="s">
        <v>697</v>
      </c>
      <c r="K22" s="389" t="s">
        <v>698</v>
      </c>
      <c r="L22" s="389" t="s">
        <v>699</v>
      </c>
      <c r="M22" s="389" t="s">
        <v>700</v>
      </c>
      <c r="N22" s="389" t="s">
        <v>701</v>
      </c>
      <c r="O22" s="389" t="s">
        <v>702</v>
      </c>
      <c r="Q22" s="389" t="s">
        <v>1064</v>
      </c>
      <c r="R22" s="389" t="s">
        <v>1065</v>
      </c>
      <c r="Z22" s="389" t="s">
        <v>703</v>
      </c>
      <c r="AA22" s="389" t="s">
        <v>1157</v>
      </c>
      <c r="AB22" s="389" t="s">
        <v>684</v>
      </c>
      <c r="AH22" s="389" t="s">
        <v>1078</v>
      </c>
      <c r="AI22" s="389" t="s">
        <v>1077</v>
      </c>
      <c r="AJ22" s="389" t="s">
        <v>704</v>
      </c>
      <c r="AK22" s="389" t="s">
        <v>705</v>
      </c>
      <c r="AN22" s="389" t="s">
        <v>667</v>
      </c>
      <c r="AO22" s="389" t="s">
        <v>668</v>
      </c>
      <c r="AR22" s="389" t="s">
        <v>123</v>
      </c>
      <c r="AS22" s="389" t="s">
        <v>124</v>
      </c>
      <c r="BF22" s="389" t="s">
        <v>330</v>
      </c>
      <c r="BG22" s="389" t="s">
        <v>331</v>
      </c>
      <c r="BZ22" s="392" t="s">
        <v>706</v>
      </c>
      <c r="CA22" s="389" t="s">
        <v>707</v>
      </c>
      <c r="CB22" s="389" t="s">
        <v>708</v>
      </c>
      <c r="CC22" s="389" t="s">
        <v>709</v>
      </c>
      <c r="CD22" s="389" t="s">
        <v>710</v>
      </c>
    </row>
    <row r="23" spans="1:82">
      <c r="A23" s="389">
        <v>22</v>
      </c>
      <c r="C23" s="390">
        <v>2024</v>
      </c>
      <c r="D23" s="390">
        <v>2024</v>
      </c>
      <c r="K23" s="389" t="s">
        <v>711</v>
      </c>
      <c r="L23" s="389" t="s">
        <v>712</v>
      </c>
      <c r="M23" s="389" t="s">
        <v>713</v>
      </c>
      <c r="N23" s="389" t="s">
        <v>714</v>
      </c>
      <c r="O23" s="389" t="s">
        <v>187</v>
      </c>
      <c r="Q23" s="389" t="s">
        <v>1062</v>
      </c>
      <c r="R23" s="389" t="s">
        <v>1063</v>
      </c>
      <c r="Z23" s="389" t="s">
        <v>188</v>
      </c>
      <c r="AC23" s="389" t="s">
        <v>715</v>
      </c>
      <c r="AD23" s="389" t="s">
        <v>716</v>
      </c>
      <c r="AJ23" s="389" t="s">
        <v>162</v>
      </c>
      <c r="AK23" s="389" t="s">
        <v>163</v>
      </c>
      <c r="AN23" s="389" t="s">
        <v>717</v>
      </c>
      <c r="AO23" s="389" t="s">
        <v>718</v>
      </c>
      <c r="AR23" s="389" t="s">
        <v>330</v>
      </c>
      <c r="AS23" s="389" t="s">
        <v>331</v>
      </c>
      <c r="BF23" s="389" t="s">
        <v>431</v>
      </c>
      <c r="BG23" s="389" t="s">
        <v>432</v>
      </c>
      <c r="BV23" s="389" t="s">
        <v>719</v>
      </c>
      <c r="BW23" s="389" t="s">
        <v>720</v>
      </c>
      <c r="BZ23" s="389" t="s">
        <v>721</v>
      </c>
      <c r="CA23" s="389" t="s">
        <v>722</v>
      </c>
      <c r="CB23" s="389" t="s">
        <v>218</v>
      </c>
      <c r="CC23" s="389" t="s">
        <v>225</v>
      </c>
      <c r="CD23" s="389" t="s">
        <v>723</v>
      </c>
    </row>
    <row r="24" spans="1:82">
      <c r="A24" s="389">
        <v>23</v>
      </c>
      <c r="C24" s="390" t="s">
        <v>663</v>
      </c>
      <c r="D24" s="389" t="s">
        <v>664</v>
      </c>
      <c r="I24" s="389" t="s">
        <v>724</v>
      </c>
      <c r="J24" s="389" t="s">
        <v>725</v>
      </c>
      <c r="K24" s="389" t="s">
        <v>726</v>
      </c>
      <c r="L24" s="1" t="s">
        <v>1166</v>
      </c>
      <c r="M24" s="389" t="s">
        <v>1155</v>
      </c>
      <c r="N24" s="389" t="s">
        <v>718</v>
      </c>
      <c r="O24" s="389" t="s">
        <v>727</v>
      </c>
      <c r="Z24" s="389" t="s">
        <v>728</v>
      </c>
      <c r="AA24" s="389" t="s">
        <v>1180</v>
      </c>
      <c r="AB24" s="389" t="s">
        <v>1181</v>
      </c>
      <c r="AC24" s="389" t="s">
        <v>357</v>
      </c>
      <c r="AD24" s="389" t="s">
        <v>124</v>
      </c>
      <c r="AJ24" s="389" t="s">
        <v>270</v>
      </c>
      <c r="AK24" s="389" t="s">
        <v>271</v>
      </c>
      <c r="AN24" s="389" t="s">
        <v>469</v>
      </c>
      <c r="AO24" s="389" t="s">
        <v>469</v>
      </c>
      <c r="AR24" s="389" t="s">
        <v>431</v>
      </c>
      <c r="AS24" s="389" t="s">
        <v>432</v>
      </c>
      <c r="BF24" s="389" t="s">
        <v>528</v>
      </c>
      <c r="BG24" s="389" t="s">
        <v>529</v>
      </c>
      <c r="BV24" s="389" t="s">
        <v>729</v>
      </c>
      <c r="BW24" s="389" t="s">
        <v>730</v>
      </c>
      <c r="BZ24" s="389" t="s">
        <v>111</v>
      </c>
      <c r="CA24" s="389" t="s">
        <v>112</v>
      </c>
      <c r="CB24" s="389" t="s">
        <v>731</v>
      </c>
      <c r="CC24" s="389" t="s">
        <v>173</v>
      </c>
      <c r="CD24" s="389" t="s">
        <v>732</v>
      </c>
    </row>
    <row r="25" spans="1:82">
      <c r="A25" s="389">
        <v>24</v>
      </c>
      <c r="C25" s="390" t="s">
        <v>1075</v>
      </c>
      <c r="D25" s="389" t="s">
        <v>1076</v>
      </c>
      <c r="I25" s="389" t="s">
        <v>733</v>
      </c>
      <c r="J25" s="389" t="s">
        <v>734</v>
      </c>
      <c r="K25" s="389" t="s">
        <v>735</v>
      </c>
      <c r="L25" s="389" t="s">
        <v>736</v>
      </c>
      <c r="M25" s="389" t="s">
        <v>737</v>
      </c>
      <c r="N25" s="389" t="s">
        <v>738</v>
      </c>
      <c r="O25" s="389" t="s">
        <v>739</v>
      </c>
      <c r="Q25" s="389" t="s">
        <v>1072</v>
      </c>
      <c r="R25" s="389" t="s">
        <v>1074</v>
      </c>
      <c r="Z25" s="389" t="s">
        <v>740</v>
      </c>
      <c r="AC25" s="389" t="s">
        <v>431</v>
      </c>
      <c r="AD25" s="389" t="s">
        <v>432</v>
      </c>
      <c r="AJ25" s="389" t="s">
        <v>741</v>
      </c>
      <c r="AK25" s="389" t="s">
        <v>742</v>
      </c>
      <c r="AR25" s="389" t="s">
        <v>477</v>
      </c>
      <c r="AS25" s="389" t="s">
        <v>478</v>
      </c>
      <c r="BF25" s="389" t="s">
        <v>743</v>
      </c>
      <c r="BG25" s="389" t="s">
        <v>744</v>
      </c>
      <c r="BV25" s="389" t="s">
        <v>745</v>
      </c>
      <c r="BW25" s="389" t="s">
        <v>745</v>
      </c>
      <c r="BZ25" s="389" t="s">
        <v>287</v>
      </c>
      <c r="CA25" s="389" t="s">
        <v>746</v>
      </c>
      <c r="CB25" s="389" t="s">
        <v>747</v>
      </c>
      <c r="CC25" s="389" t="s">
        <v>277</v>
      </c>
      <c r="CD25" s="389" t="s">
        <v>748</v>
      </c>
    </row>
    <row r="26" spans="1:82">
      <c r="A26" s="389">
        <v>25</v>
      </c>
      <c r="C26" s="390" t="s">
        <v>1123</v>
      </c>
      <c r="D26" s="389" t="s">
        <v>1124</v>
      </c>
      <c r="K26" s="389" t="s">
        <v>749</v>
      </c>
      <c r="L26" s="389" t="s">
        <v>1167</v>
      </c>
      <c r="M26" s="389" t="s">
        <v>496</v>
      </c>
      <c r="N26" s="389" t="s">
        <v>1173</v>
      </c>
      <c r="O26" s="389" t="s">
        <v>750</v>
      </c>
      <c r="Z26" s="389" t="s">
        <v>751</v>
      </c>
      <c r="AC26" s="389" t="s">
        <v>752</v>
      </c>
      <c r="AD26" s="389" t="s">
        <v>753</v>
      </c>
      <c r="AJ26" s="389" t="s">
        <v>356</v>
      </c>
      <c r="AK26" s="389" t="s">
        <v>465</v>
      </c>
      <c r="AR26" s="389" t="s">
        <v>111</v>
      </c>
      <c r="AS26" s="389" t="s">
        <v>112</v>
      </c>
      <c r="BV26" s="389" t="s">
        <v>754</v>
      </c>
      <c r="BW26" s="389" t="s">
        <v>755</v>
      </c>
      <c r="CB26" s="389" t="s">
        <v>106</v>
      </c>
      <c r="CC26" s="389" t="s">
        <v>107</v>
      </c>
    </row>
    <row r="27" spans="1:82">
      <c r="A27" s="389">
        <v>26</v>
      </c>
      <c r="I27" s="389" t="s">
        <v>756</v>
      </c>
      <c r="J27" s="389" t="s">
        <v>757</v>
      </c>
      <c r="K27" s="389" t="s">
        <v>758</v>
      </c>
      <c r="L27" s="389" t="s">
        <v>759</v>
      </c>
      <c r="M27" s="389" t="s">
        <v>1154</v>
      </c>
      <c r="N27" s="389" t="s">
        <v>712</v>
      </c>
      <c r="O27" s="389" t="s">
        <v>760</v>
      </c>
      <c r="Z27" s="389" t="s">
        <v>761</v>
      </c>
      <c r="AA27" s="389" t="s">
        <v>762</v>
      </c>
      <c r="AB27" s="389" t="s">
        <v>227</v>
      </c>
      <c r="AJ27" s="389" t="s">
        <v>763</v>
      </c>
      <c r="AK27" s="389" t="s">
        <v>764</v>
      </c>
      <c r="AR27" s="389" t="s">
        <v>443</v>
      </c>
      <c r="AS27" s="389" t="s">
        <v>444</v>
      </c>
      <c r="BF27" s="389" t="s">
        <v>765</v>
      </c>
      <c r="BG27" s="389" t="s">
        <v>766</v>
      </c>
      <c r="BZ27" s="389" t="s">
        <v>767</v>
      </c>
      <c r="CA27" s="389" t="s">
        <v>768</v>
      </c>
    </row>
    <row r="28" spans="1:82">
      <c r="A28" s="389">
        <v>27</v>
      </c>
      <c r="K28" s="389" t="s">
        <v>769</v>
      </c>
      <c r="L28" s="389" t="s">
        <v>1168</v>
      </c>
      <c r="O28" s="389" t="s">
        <v>770</v>
      </c>
      <c r="Z28" s="389" t="s">
        <v>771</v>
      </c>
      <c r="AA28" s="389" t="s">
        <v>772</v>
      </c>
      <c r="AB28" s="389" t="s">
        <v>773</v>
      </c>
      <c r="AC28" s="389" t="s">
        <v>774</v>
      </c>
      <c r="AD28" s="389" t="s">
        <v>775</v>
      </c>
      <c r="AJ28" s="389" t="s">
        <v>314</v>
      </c>
      <c r="AK28" s="389" t="s">
        <v>315</v>
      </c>
      <c r="AR28" s="389" t="s">
        <v>475</v>
      </c>
      <c r="AS28" s="389" t="s">
        <v>476</v>
      </c>
      <c r="BF28" s="389" t="s">
        <v>298</v>
      </c>
      <c r="BG28" s="389" t="s">
        <v>299</v>
      </c>
      <c r="BV28" s="389" t="s">
        <v>38</v>
      </c>
      <c r="BW28" s="389" t="s">
        <v>38</v>
      </c>
      <c r="BZ28" s="389" t="s">
        <v>496</v>
      </c>
      <c r="CA28" s="389" t="s">
        <v>497</v>
      </c>
    </row>
    <row r="29" spans="1:82">
      <c r="A29" s="389">
        <v>28</v>
      </c>
      <c r="K29" s="389" t="s">
        <v>776</v>
      </c>
      <c r="L29" s="389" t="s">
        <v>777</v>
      </c>
      <c r="M29" s="389" t="s">
        <v>778</v>
      </c>
      <c r="N29" s="389" t="s">
        <v>779</v>
      </c>
      <c r="O29" s="389" t="s">
        <v>780</v>
      </c>
      <c r="Z29" s="389" t="s">
        <v>781</v>
      </c>
      <c r="AA29" s="389" t="s">
        <v>782</v>
      </c>
      <c r="AB29" s="389" t="s">
        <v>689</v>
      </c>
      <c r="AC29" s="389" t="s">
        <v>752</v>
      </c>
      <c r="AD29" s="389" t="s">
        <v>783</v>
      </c>
      <c r="AJ29" s="389" t="s">
        <v>784</v>
      </c>
      <c r="AK29" s="389" t="s">
        <v>785</v>
      </c>
      <c r="AR29" s="389" t="s">
        <v>550</v>
      </c>
      <c r="AS29" s="389" t="s">
        <v>499</v>
      </c>
      <c r="BF29" s="389" t="s">
        <v>382</v>
      </c>
      <c r="BG29" s="389" t="s">
        <v>383</v>
      </c>
      <c r="BV29" s="389" t="s">
        <v>606</v>
      </c>
      <c r="BW29" s="389" t="s">
        <v>567</v>
      </c>
      <c r="CB29" s="389" t="s">
        <v>786</v>
      </c>
      <c r="CC29" s="389" t="s">
        <v>787</v>
      </c>
    </row>
    <row r="30" spans="1:82">
      <c r="A30" s="389">
        <v>29</v>
      </c>
      <c r="I30" s="603" t="s">
        <v>696</v>
      </c>
      <c r="J30" s="603" t="s">
        <v>697</v>
      </c>
      <c r="K30" s="389" t="s">
        <v>557</v>
      </c>
      <c r="L30" s="389" t="s">
        <v>558</v>
      </c>
      <c r="M30" s="389" t="s">
        <v>788</v>
      </c>
      <c r="N30" s="389" t="s">
        <v>789</v>
      </c>
      <c r="O30" s="389" t="s">
        <v>790</v>
      </c>
      <c r="Z30" s="389" t="s">
        <v>791</v>
      </c>
      <c r="AA30" s="389" t="s">
        <v>792</v>
      </c>
      <c r="AB30" s="389" t="s">
        <v>279</v>
      </c>
      <c r="AC30" s="389" t="s">
        <v>793</v>
      </c>
      <c r="AD30" s="389" t="s">
        <v>794</v>
      </c>
      <c r="AR30" s="389" t="s">
        <v>634</v>
      </c>
      <c r="AS30" s="389" t="s">
        <v>795</v>
      </c>
      <c r="BF30" s="389" t="s">
        <v>287</v>
      </c>
      <c r="BG30" s="389" t="s">
        <v>288</v>
      </c>
      <c r="BV30" s="389" t="s">
        <v>702</v>
      </c>
      <c r="BW30" s="389" t="s">
        <v>796</v>
      </c>
      <c r="BZ30" s="389" t="s">
        <v>185</v>
      </c>
      <c r="CA30" s="389" t="s">
        <v>186</v>
      </c>
      <c r="CB30" s="389" t="s">
        <v>797</v>
      </c>
      <c r="CC30" s="389" t="s">
        <v>798</v>
      </c>
    </row>
    <row r="31" spans="1:82">
      <c r="A31" s="389">
        <v>30</v>
      </c>
      <c r="I31" s="389" t="s">
        <v>70</v>
      </c>
      <c r="J31" s="389" t="s">
        <v>71</v>
      </c>
      <c r="K31" s="389" t="s">
        <v>799</v>
      </c>
      <c r="L31" s="389" t="s">
        <v>800</v>
      </c>
      <c r="M31" s="389" t="s">
        <v>801</v>
      </c>
      <c r="N31" s="389" t="s">
        <v>802</v>
      </c>
      <c r="O31" s="389" t="s">
        <v>74</v>
      </c>
      <c r="Z31" s="389" t="s">
        <v>75</v>
      </c>
      <c r="AA31" s="389" t="s">
        <v>106</v>
      </c>
      <c r="AB31" s="389" t="s">
        <v>107</v>
      </c>
      <c r="AC31" s="389" t="s">
        <v>235</v>
      </c>
      <c r="AD31" s="389" t="s">
        <v>235</v>
      </c>
      <c r="AJ31" s="389" t="s">
        <v>803</v>
      </c>
      <c r="AK31" s="389" t="s">
        <v>804</v>
      </c>
      <c r="BF31" s="389" t="s">
        <v>357</v>
      </c>
      <c r="BG31" s="389" t="s">
        <v>358</v>
      </c>
      <c r="BV31" s="389" t="s">
        <v>805</v>
      </c>
      <c r="BW31" s="389" t="s">
        <v>806</v>
      </c>
      <c r="BZ31" s="389" t="s">
        <v>737</v>
      </c>
      <c r="CA31" s="389" t="s">
        <v>738</v>
      </c>
    </row>
    <row r="32" spans="1:82">
      <c r="A32" s="389">
        <v>31</v>
      </c>
      <c r="I32" s="389" t="s">
        <v>108</v>
      </c>
      <c r="J32" s="389" t="s">
        <v>109</v>
      </c>
      <c r="K32" s="389" t="s">
        <v>807</v>
      </c>
      <c r="L32" s="389" t="s">
        <v>808</v>
      </c>
      <c r="O32" s="389" t="s">
        <v>74</v>
      </c>
      <c r="Z32" s="389" t="s">
        <v>75</v>
      </c>
      <c r="AC32" s="389" t="s">
        <v>287</v>
      </c>
      <c r="AD32" s="389" t="s">
        <v>288</v>
      </c>
      <c r="AJ32" s="389" t="s">
        <v>809</v>
      </c>
      <c r="AK32" s="389" t="s">
        <v>810</v>
      </c>
      <c r="AR32" s="389" t="s">
        <v>1188</v>
      </c>
      <c r="AS32" s="389" t="s">
        <v>1188</v>
      </c>
      <c r="BF32" s="389" t="s">
        <v>330</v>
      </c>
      <c r="BG32" s="389" t="s">
        <v>331</v>
      </c>
    </row>
    <row r="33" spans="1:79">
      <c r="A33" s="389">
        <v>32</v>
      </c>
      <c r="I33" s="389" t="s">
        <v>215</v>
      </c>
      <c r="J33" s="389" t="s">
        <v>215</v>
      </c>
      <c r="K33" s="389" t="s">
        <v>1150</v>
      </c>
      <c r="L33" s="389" t="s">
        <v>811</v>
      </c>
      <c r="O33" s="389" t="s">
        <v>812</v>
      </c>
      <c r="Z33" s="389" t="s">
        <v>121</v>
      </c>
      <c r="AA33" s="389" t="s">
        <v>813</v>
      </c>
      <c r="AB33" s="389" t="s">
        <v>814</v>
      </c>
      <c r="AC33" s="389" t="s">
        <v>330</v>
      </c>
      <c r="AD33" s="389" t="s">
        <v>331</v>
      </c>
      <c r="AJ33" s="389" t="s">
        <v>815</v>
      </c>
      <c r="AK33" s="389" t="s">
        <v>816</v>
      </c>
      <c r="BF33" s="389" t="s">
        <v>431</v>
      </c>
      <c r="BG33" s="389" t="s">
        <v>432</v>
      </c>
      <c r="BV33" s="389" t="s">
        <v>817</v>
      </c>
      <c r="BW33" s="389" t="s">
        <v>818</v>
      </c>
      <c r="BZ33" s="389" t="s">
        <v>819</v>
      </c>
      <c r="CA33" s="389" t="s">
        <v>820</v>
      </c>
    </row>
    <row r="34" spans="1:79">
      <c r="A34" s="389">
        <v>33</v>
      </c>
      <c r="I34" s="389" t="s">
        <v>821</v>
      </c>
      <c r="J34" s="389" t="s">
        <v>822</v>
      </c>
      <c r="K34" s="389" t="s">
        <v>823</v>
      </c>
      <c r="L34" s="389" t="s">
        <v>824</v>
      </c>
      <c r="O34" s="389" t="s">
        <v>731</v>
      </c>
      <c r="Z34" s="389" t="s">
        <v>173</v>
      </c>
      <c r="AA34" s="389" t="s">
        <v>825</v>
      </c>
      <c r="AB34" s="389" t="s">
        <v>826</v>
      </c>
      <c r="AC34" s="389" t="s">
        <v>752</v>
      </c>
      <c r="AD34" s="389" t="s">
        <v>783</v>
      </c>
      <c r="AJ34" s="389" t="s">
        <v>185</v>
      </c>
      <c r="AK34" s="389" t="s">
        <v>186</v>
      </c>
      <c r="BF34" s="389" t="s">
        <v>528</v>
      </c>
      <c r="BG34" s="389" t="s">
        <v>529</v>
      </c>
      <c r="BV34" s="389" t="s">
        <v>827</v>
      </c>
      <c r="BW34" s="389" t="s">
        <v>827</v>
      </c>
      <c r="BZ34" s="389" t="s">
        <v>528</v>
      </c>
      <c r="CA34" s="389" t="s">
        <v>589</v>
      </c>
    </row>
    <row r="35" spans="1:79">
      <c r="A35" s="389">
        <v>34</v>
      </c>
      <c r="I35" s="389" t="s">
        <v>828</v>
      </c>
      <c r="J35" s="389" t="s">
        <v>829</v>
      </c>
      <c r="K35" s="389" t="s">
        <v>830</v>
      </c>
      <c r="L35" s="389" t="s">
        <v>831</v>
      </c>
      <c r="O35" s="389" t="s">
        <v>218</v>
      </c>
      <c r="Z35" s="389" t="s">
        <v>225</v>
      </c>
      <c r="AA35" s="389" t="s">
        <v>832</v>
      </c>
      <c r="AC35" s="389" t="s">
        <v>576</v>
      </c>
      <c r="AD35" s="389" t="s">
        <v>833</v>
      </c>
      <c r="AJ35" s="389" t="s">
        <v>834</v>
      </c>
      <c r="AK35" s="389" t="s">
        <v>835</v>
      </c>
      <c r="BF35" s="389" t="s">
        <v>836</v>
      </c>
      <c r="BG35" s="389" t="s">
        <v>837</v>
      </c>
      <c r="BV35" s="389" t="s">
        <v>838</v>
      </c>
      <c r="BW35" s="389" t="s">
        <v>839</v>
      </c>
      <c r="BZ35" s="389" t="s">
        <v>840</v>
      </c>
      <c r="CA35" s="389" t="s">
        <v>841</v>
      </c>
    </row>
    <row r="36" spans="1:79">
      <c r="A36" s="389">
        <v>35</v>
      </c>
      <c r="I36" s="389" t="s">
        <v>268</v>
      </c>
      <c r="J36" s="389" t="s">
        <v>1051</v>
      </c>
      <c r="K36" s="389" t="s">
        <v>351</v>
      </c>
      <c r="L36" s="389" t="s">
        <v>352</v>
      </c>
      <c r="O36" s="389" t="s">
        <v>272</v>
      </c>
      <c r="Z36" s="389" t="s">
        <v>277</v>
      </c>
      <c r="AA36" s="389" t="s">
        <v>842</v>
      </c>
      <c r="AJ36" s="389" t="s">
        <v>843</v>
      </c>
      <c r="AK36" s="389" t="s">
        <v>844</v>
      </c>
      <c r="BV36" s="389" t="s">
        <v>845</v>
      </c>
      <c r="BW36" s="389" t="s">
        <v>846</v>
      </c>
      <c r="BZ36" s="389" t="s">
        <v>667</v>
      </c>
      <c r="CA36" s="389" t="s">
        <v>718</v>
      </c>
    </row>
    <row r="37" spans="1:79">
      <c r="A37" s="389">
        <v>36</v>
      </c>
      <c r="I37" s="389" t="s">
        <v>847</v>
      </c>
      <c r="J37" s="389" t="s">
        <v>848</v>
      </c>
      <c r="K37" s="389" t="s">
        <v>849</v>
      </c>
      <c r="L37" s="389" t="s">
        <v>850</v>
      </c>
      <c r="O37" s="389" t="s">
        <v>708</v>
      </c>
      <c r="Z37" s="389" t="s">
        <v>321</v>
      </c>
      <c r="AA37" s="389" t="s">
        <v>851</v>
      </c>
      <c r="AJ37" s="389" t="s">
        <v>852</v>
      </c>
      <c r="AK37" s="389" t="s">
        <v>853</v>
      </c>
      <c r="BF37" s="389" t="s">
        <v>854</v>
      </c>
      <c r="BG37" s="389" t="s">
        <v>855</v>
      </c>
      <c r="BV37" s="389" t="s">
        <v>856</v>
      </c>
      <c r="BW37" s="389" t="s">
        <v>857</v>
      </c>
    </row>
    <row r="38" spans="1:79">
      <c r="A38" s="389">
        <v>37</v>
      </c>
      <c r="I38" s="389" t="s">
        <v>313</v>
      </c>
      <c r="J38" s="389" t="s">
        <v>31</v>
      </c>
      <c r="K38" s="389" t="s">
        <v>1151</v>
      </c>
      <c r="L38" s="389" t="s">
        <v>858</v>
      </c>
      <c r="O38" s="389" t="s">
        <v>359</v>
      </c>
      <c r="Z38" s="389" t="s">
        <v>362</v>
      </c>
      <c r="AC38" s="389" t="s">
        <v>1184</v>
      </c>
      <c r="AD38" s="389" t="s">
        <v>1185</v>
      </c>
      <c r="BV38" s="389" t="s">
        <v>859</v>
      </c>
      <c r="BW38" s="389" t="s">
        <v>859</v>
      </c>
      <c r="BZ38" s="389" t="s">
        <v>711</v>
      </c>
      <c r="CA38" s="389" t="s">
        <v>714</v>
      </c>
    </row>
    <row r="39" spans="1:79">
      <c r="A39" s="389">
        <v>38</v>
      </c>
      <c r="I39" s="389" t="s">
        <v>38</v>
      </c>
      <c r="J39" s="389" t="s">
        <v>38</v>
      </c>
      <c r="O39" s="389" t="s">
        <v>162</v>
      </c>
      <c r="Z39" s="389" t="s">
        <v>163</v>
      </c>
      <c r="AC39" s="389" t="s">
        <v>860</v>
      </c>
      <c r="AD39" s="389" t="s">
        <v>861</v>
      </c>
      <c r="BV39" s="389" t="s">
        <v>862</v>
      </c>
      <c r="BW39" s="389" t="s">
        <v>863</v>
      </c>
      <c r="BZ39" s="392" t="s">
        <v>717</v>
      </c>
      <c r="CA39" s="389" t="s">
        <v>864</v>
      </c>
    </row>
    <row r="40" spans="1:79">
      <c r="A40" s="389">
        <v>39</v>
      </c>
      <c r="I40" s="389" t="s">
        <v>865</v>
      </c>
      <c r="J40" s="389" t="s">
        <v>866</v>
      </c>
      <c r="O40" s="389" t="s">
        <v>867</v>
      </c>
      <c r="Z40" s="389" t="s">
        <v>868</v>
      </c>
      <c r="AC40" s="389" t="s">
        <v>869</v>
      </c>
      <c r="AD40" s="389" t="s">
        <v>870</v>
      </c>
      <c r="AJ40" s="389" t="s">
        <v>871</v>
      </c>
      <c r="AK40" s="389" t="s">
        <v>872</v>
      </c>
      <c r="BF40" s="389" t="s">
        <v>873</v>
      </c>
      <c r="BG40" s="389" t="s">
        <v>874</v>
      </c>
      <c r="BV40" s="389" t="s">
        <v>875</v>
      </c>
      <c r="BW40" s="389" t="s">
        <v>876</v>
      </c>
    </row>
    <row r="41" spans="1:79">
      <c r="A41" s="389">
        <v>40</v>
      </c>
      <c r="I41" s="389" t="s">
        <v>877</v>
      </c>
      <c r="J41" s="389" t="s">
        <v>877</v>
      </c>
      <c r="O41" s="389" t="s">
        <v>878</v>
      </c>
      <c r="Z41" s="389" t="s">
        <v>107</v>
      </c>
      <c r="AJ41" s="389" t="s">
        <v>879</v>
      </c>
      <c r="AK41" s="389" t="s">
        <v>880</v>
      </c>
      <c r="BF41" s="389" t="s">
        <v>881</v>
      </c>
      <c r="BG41" s="389" t="s">
        <v>882</v>
      </c>
      <c r="BV41" s="389" t="s">
        <v>156</v>
      </c>
      <c r="BW41" s="389" t="s">
        <v>157</v>
      </c>
      <c r="BZ41" s="389" t="s">
        <v>883</v>
      </c>
      <c r="CA41" s="389" t="s">
        <v>884</v>
      </c>
    </row>
    <row r="42" spans="1:79">
      <c r="A42" s="389">
        <v>41</v>
      </c>
      <c r="I42" s="389" t="s">
        <v>282</v>
      </c>
      <c r="J42" s="389" t="s">
        <v>428</v>
      </c>
      <c r="O42" s="389" t="s">
        <v>111</v>
      </c>
      <c r="Z42" s="389" t="s">
        <v>112</v>
      </c>
      <c r="AC42" s="389" t="s">
        <v>885</v>
      </c>
      <c r="AD42" s="389" t="s">
        <v>886</v>
      </c>
      <c r="AJ42" s="389" t="s">
        <v>887</v>
      </c>
      <c r="AK42" s="389" t="s">
        <v>888</v>
      </c>
      <c r="BF42" s="389" t="s">
        <v>889</v>
      </c>
      <c r="BG42" s="389" t="s">
        <v>890</v>
      </c>
      <c r="BV42" s="389" t="s">
        <v>859</v>
      </c>
      <c r="BW42" s="389" t="s">
        <v>859</v>
      </c>
      <c r="BZ42" s="389" t="s">
        <v>72</v>
      </c>
      <c r="CA42" s="389" t="s">
        <v>73</v>
      </c>
    </row>
    <row r="43" spans="1:79">
      <c r="I43" s="389" t="s">
        <v>456</v>
      </c>
      <c r="J43" s="389" t="s">
        <v>457</v>
      </c>
      <c r="K43" s="389" t="s">
        <v>891</v>
      </c>
      <c r="L43" s="389" t="s">
        <v>1052</v>
      </c>
      <c r="O43" s="389" t="s">
        <v>164</v>
      </c>
      <c r="Z43" s="389" t="s">
        <v>165</v>
      </c>
      <c r="AJ43" s="389" t="s">
        <v>892</v>
      </c>
      <c r="AK43" s="389" t="s">
        <v>893</v>
      </c>
      <c r="BF43" s="389" t="s">
        <v>894</v>
      </c>
      <c r="BG43" s="389" t="s">
        <v>895</v>
      </c>
      <c r="BZ43" s="389" t="s">
        <v>896</v>
      </c>
      <c r="CA43" s="389" t="s">
        <v>897</v>
      </c>
    </row>
    <row r="44" spans="1:79">
      <c r="I44" s="389" t="s">
        <v>485</v>
      </c>
      <c r="J44" s="389" t="s">
        <v>485</v>
      </c>
      <c r="K44" s="389" t="s">
        <v>1142</v>
      </c>
      <c r="L44" s="389" t="s">
        <v>1141</v>
      </c>
      <c r="M44" s="389" t="s">
        <v>1158</v>
      </c>
      <c r="N44" s="389" t="s">
        <v>1159</v>
      </c>
      <c r="O44" s="389" t="s">
        <v>216</v>
      </c>
      <c r="Z44" s="389" t="s">
        <v>217</v>
      </c>
      <c r="AJ44" s="389" t="s">
        <v>898</v>
      </c>
      <c r="AK44" s="389" t="s">
        <v>899</v>
      </c>
      <c r="BF44" s="389" t="s">
        <v>900</v>
      </c>
      <c r="BG44" s="389" t="s">
        <v>901</v>
      </c>
      <c r="BZ44" s="389" t="s">
        <v>539</v>
      </c>
      <c r="CA44" s="389" t="s">
        <v>540</v>
      </c>
    </row>
    <row r="45" spans="1:79">
      <c r="I45" s="389" t="s">
        <v>902</v>
      </c>
      <c r="J45" s="389" t="s">
        <v>903</v>
      </c>
      <c r="M45" s="389" t="s">
        <v>830</v>
      </c>
      <c r="N45" s="389" t="s">
        <v>1134</v>
      </c>
      <c r="O45" s="389" t="s">
        <v>396</v>
      </c>
      <c r="Z45" s="389" t="s">
        <v>904</v>
      </c>
      <c r="AJ45" s="389" t="s">
        <v>879</v>
      </c>
      <c r="AK45" s="389" t="s">
        <v>880</v>
      </c>
      <c r="BF45" s="389" t="s">
        <v>905</v>
      </c>
      <c r="BG45" s="389" t="s">
        <v>906</v>
      </c>
      <c r="BZ45" s="389" t="s">
        <v>562</v>
      </c>
      <c r="CA45" s="389" t="s">
        <v>563</v>
      </c>
    </row>
    <row r="46" spans="1:79">
      <c r="I46" s="389" t="s">
        <v>907</v>
      </c>
      <c r="J46" s="389" t="s">
        <v>907</v>
      </c>
      <c r="M46" s="389" t="s">
        <v>1138</v>
      </c>
      <c r="N46" s="389" t="s">
        <v>1137</v>
      </c>
      <c r="AJ46" s="389" t="s">
        <v>887</v>
      </c>
      <c r="AK46" s="389" t="s">
        <v>888</v>
      </c>
      <c r="BF46" s="389" t="s">
        <v>908</v>
      </c>
      <c r="BG46" s="389" t="s">
        <v>909</v>
      </c>
    </row>
    <row r="47" spans="1:79">
      <c r="O47" s="389" t="s">
        <v>910</v>
      </c>
      <c r="Z47" s="389" t="s">
        <v>911</v>
      </c>
      <c r="AJ47" s="389" t="s">
        <v>912</v>
      </c>
      <c r="AK47" s="389" t="s">
        <v>913</v>
      </c>
      <c r="BZ47" s="389" t="s">
        <v>849</v>
      </c>
      <c r="CA47" s="389" t="s">
        <v>850</v>
      </c>
    </row>
    <row r="48" spans="1:79">
      <c r="I48" s="389" t="s">
        <v>914</v>
      </c>
      <c r="J48" s="389" t="s">
        <v>915</v>
      </c>
      <c r="O48" s="389" t="s">
        <v>780</v>
      </c>
      <c r="Z48" s="389" t="s">
        <v>781</v>
      </c>
      <c r="AJ48" s="389" t="s">
        <v>916</v>
      </c>
      <c r="AK48" s="389" t="s">
        <v>917</v>
      </c>
      <c r="BF48" s="389" t="s">
        <v>918</v>
      </c>
      <c r="BG48" s="389" t="s">
        <v>919</v>
      </c>
      <c r="BZ48" s="389" t="s">
        <v>400</v>
      </c>
      <c r="CA48" s="389" t="s">
        <v>401</v>
      </c>
    </row>
    <row r="49" spans="9:79">
      <c r="I49" s="389" t="s">
        <v>68</v>
      </c>
      <c r="J49" s="389" t="s">
        <v>69</v>
      </c>
      <c r="AJ49" s="389" t="s">
        <v>920</v>
      </c>
      <c r="AK49" s="389" t="s">
        <v>810</v>
      </c>
      <c r="BZ49" s="389" t="s">
        <v>758</v>
      </c>
      <c r="CA49" s="389" t="s">
        <v>759</v>
      </c>
    </row>
    <row r="50" spans="9:79">
      <c r="I50" s="389" t="s">
        <v>106</v>
      </c>
      <c r="J50" s="389" t="s">
        <v>107</v>
      </c>
      <c r="O50" s="389" t="s">
        <v>111</v>
      </c>
      <c r="Z50" s="389" t="s">
        <v>112</v>
      </c>
      <c r="AJ50" s="389" t="s">
        <v>921</v>
      </c>
      <c r="AK50" s="389" t="s">
        <v>922</v>
      </c>
      <c r="BF50" s="389" t="s">
        <v>1178</v>
      </c>
      <c r="BG50" s="389" t="s">
        <v>1177</v>
      </c>
      <c r="BZ50" s="389" t="s">
        <v>776</v>
      </c>
      <c r="CA50" s="389" t="s">
        <v>777</v>
      </c>
    </row>
    <row r="51" spans="9:79">
      <c r="I51" s="389" t="str">
        <f>IF('Summary | Sumário'!D6=Names!B3,Names!I48,Names!J48)</f>
        <v>Discontinued Data</v>
      </c>
      <c r="O51" s="389" t="s">
        <v>762</v>
      </c>
      <c r="Z51" s="389" t="s">
        <v>227</v>
      </c>
      <c r="AJ51" s="389" t="s">
        <v>923</v>
      </c>
      <c r="AK51" s="389" t="s">
        <v>924</v>
      </c>
      <c r="BF51" s="389" t="s">
        <v>1084</v>
      </c>
      <c r="BG51" s="389" t="s">
        <v>1085</v>
      </c>
      <c r="BZ51" s="389" t="s">
        <v>769</v>
      </c>
      <c r="CA51" s="389" t="s">
        <v>925</v>
      </c>
    </row>
    <row r="52" spans="9:79">
      <c r="I52" s="389" t="str">
        <f>IF('Summary | Sumário'!D7=Names!B4,Names!I49,Names!J49)</f>
        <v>Operational Data</v>
      </c>
      <c r="O52" s="389" t="s">
        <v>1183</v>
      </c>
      <c r="Z52" s="389" t="s">
        <v>773</v>
      </c>
      <c r="AJ52" s="389" t="s">
        <v>926</v>
      </c>
      <c r="AK52" s="389" t="s">
        <v>927</v>
      </c>
      <c r="BF52" s="389" t="s">
        <v>1086</v>
      </c>
      <c r="BG52" s="389" t="s">
        <v>1087</v>
      </c>
    </row>
    <row r="53" spans="9:79">
      <c r="I53" s="389" t="str">
        <f>IF('Summary | Sumário'!D8=Names!B5,Names!I50,Names!J50)</f>
        <v>Others</v>
      </c>
      <c r="O53" s="389" t="s">
        <v>928</v>
      </c>
      <c r="Z53" s="389" t="s">
        <v>689</v>
      </c>
      <c r="BF53" s="389" t="s">
        <v>1175</v>
      </c>
      <c r="BG53" s="389" t="s">
        <v>1176</v>
      </c>
      <c r="BZ53" s="389" t="s">
        <v>99</v>
      </c>
      <c r="CA53" s="389" t="s">
        <v>929</v>
      </c>
    </row>
    <row r="54" spans="9:79">
      <c r="O54" s="389" t="s">
        <v>930</v>
      </c>
      <c r="Z54" s="389" t="s">
        <v>279</v>
      </c>
    </row>
    <row r="55" spans="9:79">
      <c r="O55" s="389" t="s">
        <v>878</v>
      </c>
      <c r="Z55" s="389" t="s">
        <v>107</v>
      </c>
      <c r="AJ55" s="389" t="s">
        <v>918</v>
      </c>
      <c r="AK55" s="389" t="s">
        <v>931</v>
      </c>
      <c r="BF55" s="389" t="s">
        <v>1088</v>
      </c>
      <c r="BG55" s="389" t="s">
        <v>1089</v>
      </c>
      <c r="BZ55" s="389" t="s">
        <v>932</v>
      </c>
      <c r="CA55" s="389" t="s">
        <v>932</v>
      </c>
    </row>
    <row r="56" spans="9:79">
      <c r="O56" s="389" t="s">
        <v>1152</v>
      </c>
      <c r="Z56" s="389" t="s">
        <v>165</v>
      </c>
      <c r="BF56" s="389" t="s">
        <v>1095</v>
      </c>
      <c r="BG56" s="389" t="s">
        <v>1094</v>
      </c>
      <c r="BZ56" s="389" t="s">
        <v>933</v>
      </c>
      <c r="CA56" s="389" t="s">
        <v>934</v>
      </c>
    </row>
    <row r="57" spans="9:79">
      <c r="O57" s="389" t="s">
        <v>935</v>
      </c>
      <c r="Z57" s="389" t="s">
        <v>936</v>
      </c>
      <c r="AJ57" s="389" t="s">
        <v>937</v>
      </c>
      <c r="AK57" s="389" t="s">
        <v>938</v>
      </c>
      <c r="BZ57" s="389" t="s">
        <v>939</v>
      </c>
      <c r="CA57" s="389" t="s">
        <v>939</v>
      </c>
    </row>
    <row r="58" spans="9:79">
      <c r="O58" s="389" t="s">
        <v>940</v>
      </c>
      <c r="Z58" s="389" t="s">
        <v>941</v>
      </c>
      <c r="BF58" s="389" t="s">
        <v>1090</v>
      </c>
      <c r="BG58" s="389" t="s">
        <v>1091</v>
      </c>
      <c r="BZ58" s="389" t="s">
        <v>942</v>
      </c>
      <c r="CA58" s="389" t="s">
        <v>943</v>
      </c>
    </row>
    <row r="59" spans="9:79">
      <c r="O59" s="389" t="s">
        <v>944</v>
      </c>
      <c r="Z59" s="389" t="s">
        <v>945</v>
      </c>
      <c r="BF59" s="389" t="s">
        <v>1092</v>
      </c>
      <c r="BG59" s="389" t="s">
        <v>1093</v>
      </c>
    </row>
    <row r="60" spans="9:79">
      <c r="O60" s="389" t="s">
        <v>946</v>
      </c>
      <c r="Z60" s="389" t="s">
        <v>947</v>
      </c>
      <c r="BZ60" s="389" t="s">
        <v>948</v>
      </c>
      <c r="CA60" s="389" t="s">
        <v>949</v>
      </c>
    </row>
    <row r="61" spans="9:79">
      <c r="O61" s="389" t="s">
        <v>950</v>
      </c>
      <c r="Z61" s="389" t="s">
        <v>951</v>
      </c>
      <c r="BF61" s="389" t="s">
        <v>1102</v>
      </c>
      <c r="BG61" s="389" t="s">
        <v>1103</v>
      </c>
    </row>
    <row r="62" spans="9:79">
      <c r="O62" s="389" t="s">
        <v>952</v>
      </c>
      <c r="Z62" s="389" t="s">
        <v>953</v>
      </c>
    </row>
    <row r="63" spans="9:79">
      <c r="O63" s="389" t="s">
        <v>954</v>
      </c>
      <c r="Z63" s="389" t="s">
        <v>955</v>
      </c>
      <c r="BZ63" s="389" t="s">
        <v>113</v>
      </c>
      <c r="CA63" s="389" t="s">
        <v>121</v>
      </c>
    </row>
    <row r="64" spans="9:79">
      <c r="O64" s="389" t="s">
        <v>956</v>
      </c>
      <c r="Z64" s="389" t="s">
        <v>957</v>
      </c>
      <c r="BF64" s="389" t="s">
        <v>1100</v>
      </c>
      <c r="BG64" s="389" t="s">
        <v>1101</v>
      </c>
      <c r="BZ64" s="389" t="s">
        <v>958</v>
      </c>
      <c r="CA64" s="389" t="s">
        <v>959</v>
      </c>
    </row>
    <row r="65" spans="15:59">
      <c r="O65" s="389" t="s">
        <v>960</v>
      </c>
      <c r="Z65" s="389" t="s">
        <v>961</v>
      </c>
      <c r="BF65" s="389" t="s">
        <v>711</v>
      </c>
      <c r="BG65" s="389" t="s">
        <v>712</v>
      </c>
    </row>
    <row r="66" spans="15:59">
      <c r="O66" s="389" t="s">
        <v>962</v>
      </c>
      <c r="Z66" s="389" t="s">
        <v>963</v>
      </c>
      <c r="BF66" s="389" t="s">
        <v>1104</v>
      </c>
      <c r="BG66" s="389" t="s">
        <v>1105</v>
      </c>
    </row>
    <row r="67" spans="15:59">
      <c r="O67" s="389" t="s">
        <v>964</v>
      </c>
      <c r="Z67" s="389" t="s">
        <v>965</v>
      </c>
    </row>
    <row r="68" spans="15:59">
      <c r="O68" s="389" t="s">
        <v>966</v>
      </c>
      <c r="Z68" s="389" t="s">
        <v>967</v>
      </c>
      <c r="BF68" s="389" t="s">
        <v>667</v>
      </c>
      <c r="BG68" s="389" t="s">
        <v>668</v>
      </c>
    </row>
    <row r="69" spans="15:59">
      <c r="O69" s="389" t="s">
        <v>968</v>
      </c>
      <c r="Z69" s="389" t="s">
        <v>969</v>
      </c>
      <c r="BF69" s="389" t="s">
        <v>1110</v>
      </c>
      <c r="BG69" s="389" t="s">
        <v>1111</v>
      </c>
    </row>
    <row r="70" spans="15:59">
      <c r="O70" s="389" t="s">
        <v>968</v>
      </c>
      <c r="Z70" s="389" t="s">
        <v>969</v>
      </c>
    </row>
    <row r="71" spans="15:59">
      <c r="O71" s="389" t="s">
        <v>970</v>
      </c>
      <c r="Z71" s="389" t="s">
        <v>971</v>
      </c>
      <c r="BF71" s="389" t="s">
        <v>1116</v>
      </c>
      <c r="BG71" s="389" t="s">
        <v>1115</v>
      </c>
    </row>
    <row r="72" spans="15:59">
      <c r="O72" s="389" t="s">
        <v>166</v>
      </c>
      <c r="Z72" s="389" t="s">
        <v>173</v>
      </c>
      <c r="BF72" s="389" t="s">
        <v>1108</v>
      </c>
      <c r="BG72" s="389" t="s">
        <v>1109</v>
      </c>
    </row>
    <row r="73" spans="15:59">
      <c r="O73" s="389" t="s">
        <v>972</v>
      </c>
      <c r="Z73" s="389" t="s">
        <v>973</v>
      </c>
    </row>
    <row r="74" spans="15:59">
      <c r="O74" s="389" t="s">
        <v>974</v>
      </c>
      <c r="Z74" s="389" t="s">
        <v>975</v>
      </c>
      <c r="BF74" s="389" t="s">
        <v>1106</v>
      </c>
      <c r="BG74" s="389" t="s">
        <v>1107</v>
      </c>
    </row>
    <row r="75" spans="15:59">
      <c r="O75" s="389" t="s">
        <v>218</v>
      </c>
      <c r="Z75" s="389" t="s">
        <v>225</v>
      </c>
    </row>
    <row r="76" spans="15:59">
      <c r="O76" s="389" t="s">
        <v>976</v>
      </c>
      <c r="Z76" s="389" t="s">
        <v>977</v>
      </c>
      <c r="BF76" s="389" t="s">
        <v>711</v>
      </c>
      <c r="BG76" s="389" t="s">
        <v>1112</v>
      </c>
    </row>
    <row r="77" spans="15:59">
      <c r="O77" s="389" t="s">
        <v>272</v>
      </c>
      <c r="Z77" s="389" t="s">
        <v>277</v>
      </c>
    </row>
    <row r="78" spans="15:59">
      <c r="O78" s="389" t="s">
        <v>708</v>
      </c>
      <c r="Z78" s="389" t="s">
        <v>321</v>
      </c>
      <c r="BF78" s="389" t="s">
        <v>1113</v>
      </c>
      <c r="BG78" s="389" t="s">
        <v>1114</v>
      </c>
    </row>
    <row r="79" spans="15:59">
      <c r="O79" s="389" t="s">
        <v>359</v>
      </c>
      <c r="Z79" s="389" t="s">
        <v>362</v>
      </c>
    </row>
    <row r="80" spans="15:59">
      <c r="O80" s="389" t="s">
        <v>396</v>
      </c>
      <c r="Z80" s="389" t="s">
        <v>399</v>
      </c>
    </row>
    <row r="81" spans="15:59">
      <c r="O81" s="389" t="s">
        <v>162</v>
      </c>
      <c r="Z81" s="389" t="s">
        <v>978</v>
      </c>
      <c r="BF81" s="389" t="s">
        <v>1117</v>
      </c>
      <c r="BG81" s="389" t="s">
        <v>1118</v>
      </c>
    </row>
    <row r="82" spans="15:59">
      <c r="O82" s="389" t="s">
        <v>979</v>
      </c>
      <c r="Z82" s="389" t="s">
        <v>980</v>
      </c>
      <c r="BF82" s="389" t="s">
        <v>1119</v>
      </c>
      <c r="BG82" s="389" t="s">
        <v>1115</v>
      </c>
    </row>
    <row r="83" spans="15:59">
      <c r="O83" s="389" t="s">
        <v>981</v>
      </c>
      <c r="Z83" s="389" t="s">
        <v>982</v>
      </c>
    </row>
    <row r="84" spans="15:59">
      <c r="O84" s="389" t="s">
        <v>983</v>
      </c>
      <c r="Z84" s="389" t="s">
        <v>984</v>
      </c>
      <c r="BF84" s="389" t="s">
        <v>1121</v>
      </c>
      <c r="BG84" s="389" t="s">
        <v>1122</v>
      </c>
    </row>
    <row r="85" spans="15:59">
      <c r="O85" s="389" t="s">
        <v>985</v>
      </c>
      <c r="Z85" s="389" t="s">
        <v>986</v>
      </c>
    </row>
    <row r="86" spans="15:59">
      <c r="O86" s="389" t="s">
        <v>987</v>
      </c>
      <c r="Z86" s="389" t="s">
        <v>988</v>
      </c>
    </row>
    <row r="87" spans="15:59">
      <c r="O87" s="389" t="s">
        <v>989</v>
      </c>
      <c r="Z87" s="389" t="s">
        <v>990</v>
      </c>
    </row>
    <row r="88" spans="15:59">
      <c r="O88" s="389" t="s">
        <v>991</v>
      </c>
      <c r="Z88" s="389" t="s">
        <v>992</v>
      </c>
    </row>
    <row r="89" spans="15:59">
      <c r="O89" s="389" t="s">
        <v>993</v>
      </c>
      <c r="Z89" s="389" t="s">
        <v>994</v>
      </c>
    </row>
    <row r="90" spans="15:59">
      <c r="O90" s="389" t="s">
        <v>995</v>
      </c>
      <c r="Z90" s="389" t="s">
        <v>996</v>
      </c>
    </row>
    <row r="91" spans="15:59">
      <c r="O91" s="389" t="s">
        <v>997</v>
      </c>
      <c r="Z91" s="389" t="s">
        <v>998</v>
      </c>
    </row>
    <row r="92" spans="15:59">
      <c r="O92" s="389" t="s">
        <v>999</v>
      </c>
      <c r="Z92" s="389" t="s">
        <v>1000</v>
      </c>
    </row>
    <row r="93" spans="15:59">
      <c r="O93" s="389" t="s">
        <v>166</v>
      </c>
      <c r="Z93" s="389" t="s">
        <v>173</v>
      </c>
    </row>
    <row r="94" spans="15:59">
      <c r="O94" s="389" t="s">
        <v>218</v>
      </c>
      <c r="Z94" s="389" t="s">
        <v>225</v>
      </c>
    </row>
    <row r="95" spans="15:59">
      <c r="O95" s="389" t="s">
        <v>272</v>
      </c>
      <c r="Z95" s="389" t="s">
        <v>277</v>
      </c>
    </row>
    <row r="96" spans="15:59">
      <c r="O96" s="389" t="s">
        <v>1001</v>
      </c>
      <c r="Z96" s="389" t="s">
        <v>1002</v>
      </c>
    </row>
    <row r="97" spans="15:26">
      <c r="O97" s="389" t="s">
        <v>318</v>
      </c>
      <c r="Z97" s="389" t="s">
        <v>321</v>
      </c>
    </row>
    <row r="98" spans="15:26">
      <c r="O98" s="389" t="s">
        <v>1003</v>
      </c>
      <c r="Z98" s="389" t="s">
        <v>1004</v>
      </c>
    </row>
    <row r="99" spans="15:26">
      <c r="O99" s="389" t="s">
        <v>359</v>
      </c>
      <c r="Z99" s="389" t="s">
        <v>362</v>
      </c>
    </row>
    <row r="100" spans="15:26">
      <c r="O100" s="389" t="s">
        <v>396</v>
      </c>
      <c r="Z100" s="389" t="s">
        <v>399</v>
      </c>
    </row>
    <row r="102" spans="15:26">
      <c r="O102" s="389" t="s">
        <v>1005</v>
      </c>
      <c r="Z102" s="389" t="s">
        <v>1006</v>
      </c>
    </row>
    <row r="103" spans="15:26">
      <c r="O103" s="389" t="s">
        <v>1007</v>
      </c>
      <c r="Z103" s="389" t="s">
        <v>1008</v>
      </c>
    </row>
    <row r="104" spans="15:26">
      <c r="O104" s="389" t="s">
        <v>1009</v>
      </c>
      <c r="Z104" s="389" t="s">
        <v>1010</v>
      </c>
    </row>
    <row r="106" spans="15:26">
      <c r="O106" s="389" t="s">
        <v>1011</v>
      </c>
      <c r="Z106" s="389" t="s">
        <v>806</v>
      </c>
    </row>
    <row r="107" spans="15:26">
      <c r="O107" s="389" t="s">
        <v>1012</v>
      </c>
      <c r="Z107" s="389" t="s">
        <v>1013</v>
      </c>
    </row>
    <row r="108" spans="15:26">
      <c r="O108" s="389" t="s">
        <v>1014</v>
      </c>
      <c r="Z108" s="389" t="s">
        <v>1015</v>
      </c>
    </row>
    <row r="109" spans="15:26">
      <c r="O109" s="389" t="s">
        <v>1016</v>
      </c>
      <c r="Z109" s="389" t="s">
        <v>1017</v>
      </c>
    </row>
    <row r="112" spans="15:26">
      <c r="O112" s="389" t="s">
        <v>1018</v>
      </c>
      <c r="Z112" s="389" t="s">
        <v>1019</v>
      </c>
    </row>
    <row r="113" spans="15:26">
      <c r="O113" s="389" t="s">
        <v>270</v>
      </c>
      <c r="Z113" s="389" t="s">
        <v>1019</v>
      </c>
    </row>
    <row r="116" spans="15:26">
      <c r="O116" s="389" t="s">
        <v>1020</v>
      </c>
      <c r="Z116" s="389" t="s">
        <v>1021</v>
      </c>
    </row>
    <row r="117" spans="15:26">
      <c r="O117" s="389" t="s">
        <v>918</v>
      </c>
      <c r="Z117" s="389" t="s">
        <v>931</v>
      </c>
    </row>
    <row r="118" spans="15:26">
      <c r="O118" s="389" t="s">
        <v>935</v>
      </c>
      <c r="Z118" s="389" t="s">
        <v>936</v>
      </c>
    </row>
    <row r="122" spans="15:26">
      <c r="O122" s="389" t="s">
        <v>1011</v>
      </c>
      <c r="Z122" s="389" t="s">
        <v>806</v>
      </c>
    </row>
    <row r="123" spans="15:26">
      <c r="O123" s="389" t="s">
        <v>1022</v>
      </c>
      <c r="Z123" s="389" t="s">
        <v>1023</v>
      </c>
    </row>
    <row r="124" spans="15:26">
      <c r="O124" s="389" t="s">
        <v>1014</v>
      </c>
      <c r="Z124" s="389" t="s">
        <v>1015</v>
      </c>
    </row>
    <row r="125" spans="15:26">
      <c r="O125" s="389" t="s">
        <v>1016</v>
      </c>
      <c r="Z125" s="389" t="s">
        <v>1017</v>
      </c>
    </row>
    <row r="126" spans="15:26">
      <c r="O126" s="389" t="s">
        <v>649</v>
      </c>
      <c r="Z126" s="389" t="s">
        <v>650</v>
      </c>
    </row>
    <row r="127" spans="15:26">
      <c r="O127" s="389" t="s">
        <v>1024</v>
      </c>
      <c r="Z127" s="389" t="s">
        <v>1025</v>
      </c>
    </row>
    <row r="129" spans="15:26">
      <c r="O129" s="680" t="s">
        <v>1083</v>
      </c>
      <c r="Z129" s="680" t="s">
        <v>1082</v>
      </c>
    </row>
    <row r="130" spans="15:26">
      <c r="O130" s="680" t="s">
        <v>1080</v>
      </c>
      <c r="Z130" s="680" t="s">
        <v>1081</v>
      </c>
    </row>
  </sheetData>
  <sheetProtection algorithmName="SHA-512" hashValue="5vcb8H9gB7cHruqvfbkJZL8IavNIjPV6aIwAZA83hrYBPIjZjjOjwnXzoJl2ALGA1nIQBbByKlM6V+ElrAr6XA==" saltValue="U6WFZBAZ8D0Ctumt14SobA==" spinCount="100000" sheet="1" scenarios="1" selectLockedCells="1" selectUnlockedCells="1"/>
  <phoneticPr fontId="6" type="noConversion"/>
  <hyperlinks>
    <hyperlink ref="BB1" location="Summary!A1" display="Back to summary" xr:uid="{01D50603-9891-594D-ACF6-3472A9D2145C}"/>
  </hyperlinks>
  <pageMargins left="0.7" right="0.7" top="0.75" bottom="0.75" header="0.3" footer="0.3"/>
  <pageSetup paperSize="9"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9BD92-4370-5547-86EB-6AF7D5DB47F8}">
  <sheetPr codeName="Sheet11">
    <tabColor rgb="FFEC7100"/>
  </sheetPr>
  <dimension ref="B1:AI13"/>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8" width="10.83203125" style="117" customWidth="1"/>
    <col min="9" max="9" width="2.83203125" style="117" customWidth="1"/>
    <col min="10" max="28" width="10.83203125" style="117" customWidth="1"/>
    <col min="29" max="29" width="5.83203125" style="117" customWidth="1"/>
    <col min="30" max="31" width="10.83203125" style="117" customWidth="1"/>
    <col min="32" max="16384" width="10.83203125" style="116"/>
  </cols>
  <sheetData>
    <row r="1" spans="2:35" ht="13" customHeight="1">
      <c r="AF1" s="117"/>
    </row>
    <row r="2" spans="2:35" s="10" customFormat="1" ht="13" customHeight="1">
      <c r="B2" s="267" t="str">
        <f>IF('Summary | Sumário'!D$6=Names!B$3,Names!X1,Names!Y1)</f>
        <v>Expenses (IFRS,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322"/>
      <c r="J2" s="20" t="str">
        <f>IF('Summary | Sumário'!D6=Names!B3,Names!C6,Names!D6)</f>
        <v>1Q21</v>
      </c>
      <c r="K2" s="21" t="str">
        <f>IF('Summary | Sumário'!D6=Names!B3,Names!C7,Names!D7)</f>
        <v>2Q21</v>
      </c>
      <c r="L2" s="21" t="str">
        <f>IF('Summary | Sumário'!D6=Names!B3,Names!C8,Names!D8)</f>
        <v>3Q21</v>
      </c>
      <c r="M2" s="21" t="str">
        <f>IF('Summary | Sumário'!D6=Names!B3,Names!C9,Names!D9)</f>
        <v>4Q21</v>
      </c>
      <c r="N2" s="21" t="str">
        <f>IF('Summary | Sumário'!D6=Names!B3,Names!C10,Names!D10)</f>
        <v>1Q22</v>
      </c>
      <c r="O2" s="21" t="str">
        <f>IF('Summary | Sumário'!D6=Names!B3,Names!C11,Names!D11)</f>
        <v>2Q22</v>
      </c>
      <c r="P2" s="21" t="str">
        <f>IF('Summary | Sumário'!D6=Names!B3,Names!C12,Names!D12)</f>
        <v>3Q22</v>
      </c>
      <c r="Q2" s="21" t="str">
        <f>IF('Summary | Sumário'!D6=Names!B3,Names!C13,Names!D13)</f>
        <v>4Q22</v>
      </c>
      <c r="R2" s="21" t="str">
        <f>IF('Summary | Sumário'!D6=Names!B3,Names!C14,Names!D14)</f>
        <v>1Q23</v>
      </c>
      <c r="S2" s="21" t="str">
        <f>IF('Summary | Sumário'!D6=Names!B3,Names!C15,Names!D15)</f>
        <v>2Q23</v>
      </c>
      <c r="T2" s="21" t="str">
        <f>IF('Summary | Sumário'!D6=Names!B3,Names!C16,Names!D16)</f>
        <v>3Q23</v>
      </c>
      <c r="U2" s="21" t="str">
        <f>IF('Summary | Sumário'!D6=Names!B3,Names!C17,Names!D17)</f>
        <v>4Q23</v>
      </c>
      <c r="V2" s="21" t="str">
        <f>IF('Summary | Sumário'!D6=Names!B3,Names!C19,Names!D19)</f>
        <v>1Q24</v>
      </c>
      <c r="W2" s="21" t="str">
        <f>IF('Summary | Sumário'!D6=Names!B3,Names!C20,Names!D20)</f>
        <v>2Q24</v>
      </c>
      <c r="X2" s="21" t="str">
        <f>IF('Summary | Sumário'!D6=Names!B3,Names!C21,Names!D21)</f>
        <v>3Q24</v>
      </c>
      <c r="Y2" s="21" t="str">
        <f>IF('Summary | Sumário'!D6=Names!B3,Names!C22,Names!D22)</f>
        <v>4Q24</v>
      </c>
      <c r="Z2" s="21" t="str">
        <f>IF('Summary | Sumário'!D6=Names!B3,Names!C24,Names!D24)</f>
        <v>1Q25</v>
      </c>
      <c r="AA2" s="21" t="str">
        <f>IF('Summary | Sumário'!D6=Names!B3,Names!C25,Names!D25)</f>
        <v>2Q25</v>
      </c>
      <c r="AB2" s="269" t="str">
        <f>IF('Summary | Sumário'!D6=Names!B3,Names!C26,Names!D26)</f>
        <v>3Q25</v>
      </c>
      <c r="AC2" s="321"/>
      <c r="AD2" s="104" t="str">
        <f>IF('Summary | Sumário'!$D$6=Names!$B$3,Names!$I$24,Names!$J$24)</f>
        <v>QoQ Variation</v>
      </c>
      <c r="AE2" s="104" t="str">
        <f>IF('Summary | Sumário'!$D$6=Names!$B$3,Names!$I$25,Names!$J$25)</f>
        <v>YoY Variation</v>
      </c>
      <c r="AF2" s="11"/>
      <c r="AH2" s="12"/>
      <c r="AI2" s="13"/>
    </row>
    <row r="3" spans="2:35" ht="13" customHeight="1">
      <c r="B3" s="47"/>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27"/>
    </row>
    <row r="4" spans="2:35" ht="13" customHeight="1">
      <c r="B4" s="3" t="str">
        <f>IF('Summary | Sumário'!D$6=Names!B$3,Names!X2,Names!Y2)</f>
        <v>Total Expenses</v>
      </c>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row>
    <row r="5" spans="2:35" ht="13" customHeight="1">
      <c r="B5" s="288" t="str">
        <f>IF('Summary | Sumário'!D$6=Names!B$3,Names!M13,Names!N13)</f>
        <v>Impairment losses on financial assets</v>
      </c>
      <c r="C5" s="289">
        <f>'3. IS | DRE'!C14</f>
        <v>-138570</v>
      </c>
      <c r="D5" s="289">
        <f>'3. IS | DRE'!D14</f>
        <v>-213688</v>
      </c>
      <c r="E5" s="289">
        <f>'3. IS | DRE'!E14</f>
        <v>-595581</v>
      </c>
      <c r="F5" s="289">
        <f>'3. IS | DRE'!F14</f>
        <v>-1083237</v>
      </c>
      <c r="G5" s="289">
        <f>'3. IS | DRE'!G14</f>
        <v>-1541584</v>
      </c>
      <c r="H5" s="289">
        <f>'3. IS | DRE'!H14</f>
        <v>-1799452.3359999999</v>
      </c>
      <c r="I5" s="179"/>
      <c r="J5" s="289">
        <f>'3. IS | DRE'!J14</f>
        <v>-106669</v>
      </c>
      <c r="K5" s="289">
        <f>'3. IS | DRE'!K14</f>
        <v>-167441</v>
      </c>
      <c r="L5" s="289">
        <f>'3. IS | DRE'!L14</f>
        <v>-138005</v>
      </c>
      <c r="M5" s="289">
        <f>'3. IS | DRE'!M14</f>
        <v>-183466</v>
      </c>
      <c r="N5" s="289">
        <f>'3. IS | DRE'!N14</f>
        <v>-312946</v>
      </c>
      <c r="O5" s="289">
        <f>'3. IS | DRE'!O14</f>
        <v>-242464</v>
      </c>
      <c r="P5" s="289">
        <f>'3. IS | DRE'!P14</f>
        <v>-263113</v>
      </c>
      <c r="Q5" s="289">
        <f>'3. IS | DRE'!Q14</f>
        <v>-264714</v>
      </c>
      <c r="R5" s="289">
        <f>'3. IS | DRE'!R14</f>
        <v>-350681</v>
      </c>
      <c r="S5" s="289">
        <f>'3. IS | DRE'!S14</f>
        <v>-398560</v>
      </c>
      <c r="T5" s="289">
        <f>'3. IS | DRE'!T14</f>
        <v>-407899</v>
      </c>
      <c r="U5" s="289">
        <f>'3. IS | DRE'!U14</f>
        <v>-384444</v>
      </c>
      <c r="V5" s="289">
        <f>'3. IS | DRE'!V14</f>
        <v>-411048</v>
      </c>
      <c r="W5" s="289">
        <f>'3. IS | DRE'!W14</f>
        <v>-421247.66100000002</v>
      </c>
      <c r="X5" s="289">
        <f>'3. IS | DRE'!X14</f>
        <v>-471426.65</v>
      </c>
      <c r="Y5" s="289">
        <f>'3. IS | DRE'!Y14</f>
        <v>-495730.02499999967</v>
      </c>
      <c r="Z5" s="289">
        <f>'3. IS | DRE'!Z14</f>
        <v>-513681.4</v>
      </c>
      <c r="AA5" s="289">
        <f>'3. IS | DRE'!AA14</f>
        <v>-569249</v>
      </c>
      <c r="AB5" s="289">
        <f>'3. IS | DRE'!AB14</f>
        <v>-640796</v>
      </c>
      <c r="AC5" s="179"/>
      <c r="AD5" s="357">
        <f>AB5/AA5-1</f>
        <v>0.12568665030592929</v>
      </c>
      <c r="AE5" s="357">
        <f>AB5/X5-1</f>
        <v>0.35926978247835573</v>
      </c>
    </row>
    <row r="6" spans="2:35" ht="13" customHeight="1">
      <c r="B6" s="51" t="str">
        <f>IF('Summary | Sumário'!D$6=Names!B$3,Names!BF4,Names!BG4)</f>
        <v>Total operational expenses</v>
      </c>
      <c r="C6" s="179">
        <f>SUM(C7:C9)</f>
        <v>-572970</v>
      </c>
      <c r="D6" s="179">
        <f t="shared" ref="D6:Z6" si="0">SUM(D7:D9)</f>
        <v>-914082</v>
      </c>
      <c r="E6" s="179">
        <f t="shared" si="0"/>
        <v>-1701818.2949999999</v>
      </c>
      <c r="F6" s="179">
        <f t="shared" si="0"/>
        <v>-2392061</v>
      </c>
      <c r="G6" s="179">
        <f>SUM(G7:G9)</f>
        <v>-2412527</v>
      </c>
      <c r="H6" s="179">
        <f>SUM(H7:H9)</f>
        <v>-2915645.6869999999</v>
      </c>
      <c r="I6" s="179"/>
      <c r="J6" s="179">
        <f t="shared" si="0"/>
        <v>-320122.31299999997</v>
      </c>
      <c r="K6" s="179">
        <f t="shared" si="0"/>
        <v>-391145</v>
      </c>
      <c r="L6" s="179">
        <f t="shared" si="0"/>
        <v>-387488.18799999997</v>
      </c>
      <c r="M6" s="179">
        <f t="shared" si="0"/>
        <v>-603062.79399999999</v>
      </c>
      <c r="N6" s="179">
        <f t="shared" si="0"/>
        <v>-558404</v>
      </c>
      <c r="O6" s="179">
        <f t="shared" si="0"/>
        <v>-556595</v>
      </c>
      <c r="P6" s="179">
        <f t="shared" si="0"/>
        <v>-591798</v>
      </c>
      <c r="Q6" s="179">
        <f t="shared" si="0"/>
        <v>-685264</v>
      </c>
      <c r="R6" s="179">
        <f t="shared" si="0"/>
        <v>-595604</v>
      </c>
      <c r="S6" s="179">
        <f t="shared" si="0"/>
        <v>-575247</v>
      </c>
      <c r="T6" s="179">
        <f t="shared" si="0"/>
        <v>-614129</v>
      </c>
      <c r="U6" s="179">
        <f t="shared" si="0"/>
        <v>-627547</v>
      </c>
      <c r="V6" s="179">
        <f t="shared" si="0"/>
        <v>-627607</v>
      </c>
      <c r="W6" s="179">
        <f t="shared" si="0"/>
        <v>-660068.69851999998</v>
      </c>
      <c r="X6" s="179">
        <f t="shared" si="0"/>
        <v>-787129.60447999998</v>
      </c>
      <c r="Y6" s="179">
        <f t="shared" si="0"/>
        <v>-840840.38400000008</v>
      </c>
      <c r="Z6" s="179">
        <f t="shared" si="0"/>
        <v>-830517.8</v>
      </c>
      <c r="AA6" s="179">
        <f t="shared" ref="AA6:AB6" si="1">SUM(AA7:AA9)</f>
        <v>-873425.6</v>
      </c>
      <c r="AB6" s="179">
        <f t="shared" si="1"/>
        <v>-913115</v>
      </c>
      <c r="AC6" s="179"/>
      <c r="AD6" s="349">
        <f t="shared" ref="AD6:AD13" si="2">AB6/AA6-1</f>
        <v>4.5441077064835245E-2</v>
      </c>
      <c r="AE6" s="349">
        <f t="shared" ref="AE6:AE10" si="3">AB6/X6-1</f>
        <v>0.1600567362769052</v>
      </c>
    </row>
    <row r="7" spans="2:35" ht="13" customHeight="1">
      <c r="B7" s="610" t="str">
        <f>IF('Summary | Sumário'!D$6=Names!B$3,Names!BF5,Names!BG5)</f>
        <v>Personnel expenses</v>
      </c>
      <c r="C7" s="174">
        <v>-169198</v>
      </c>
      <c r="D7" s="174">
        <v>-229096</v>
      </c>
      <c r="E7" s="174">
        <v>-443328</v>
      </c>
      <c r="F7" s="174">
        <v>-733605</v>
      </c>
      <c r="G7" s="174">
        <v>-790739</v>
      </c>
      <c r="H7" s="174">
        <v>-937761.13</v>
      </c>
      <c r="I7" s="179"/>
      <c r="J7" s="174">
        <v>-81861</v>
      </c>
      <c r="K7" s="174">
        <v>-93046</v>
      </c>
      <c r="L7" s="174">
        <v>-121250</v>
      </c>
      <c r="M7" s="174">
        <v>-147171</v>
      </c>
      <c r="N7" s="174">
        <v>-145120</v>
      </c>
      <c r="O7" s="174">
        <v>-172466</v>
      </c>
      <c r="P7" s="174">
        <v>-176232</v>
      </c>
      <c r="Q7" s="174">
        <v>-239787</v>
      </c>
      <c r="R7" s="174">
        <v>-172412</v>
      </c>
      <c r="S7" s="174">
        <v>-186249</v>
      </c>
      <c r="T7" s="174">
        <v>-210661</v>
      </c>
      <c r="U7" s="174">
        <v>-221417</v>
      </c>
      <c r="V7" s="174">
        <v>-190463</v>
      </c>
      <c r="W7" s="174">
        <v>-204206.56551999997</v>
      </c>
      <c r="X7" s="174">
        <v>-258954.60447999998</v>
      </c>
      <c r="Y7" s="174">
        <v>-284136.96000000008</v>
      </c>
      <c r="Z7" s="174">
        <v>-234873.2</v>
      </c>
      <c r="AA7" s="174">
        <v>-256765</v>
      </c>
      <c r="AB7" s="174">
        <v>-285248</v>
      </c>
      <c r="AC7" s="179"/>
      <c r="AD7" s="350">
        <f t="shared" si="2"/>
        <v>0.11093022802952124</v>
      </c>
      <c r="AE7" s="350">
        <f t="shared" si="3"/>
        <v>0.10153669819001321</v>
      </c>
    </row>
    <row r="8" spans="2:35" ht="13" customHeight="1">
      <c r="B8" s="554" t="str">
        <f>IF('Summary | Sumário'!D$6=Names!B$3,Names!BF6,Names!BG6)</f>
        <v>Administrative expenses</v>
      </c>
      <c r="C8" s="179">
        <v>-386309</v>
      </c>
      <c r="D8" s="179">
        <v>-641327</v>
      </c>
      <c r="E8" s="179">
        <v>-1164239.7749999999</v>
      </c>
      <c r="F8" s="179">
        <v>-1494484</v>
      </c>
      <c r="G8" s="179">
        <v>-1461348</v>
      </c>
      <c r="H8" s="179">
        <v>-1769055.128</v>
      </c>
      <c r="I8" s="179"/>
      <c r="J8" s="179">
        <v>-219095.31299999999</v>
      </c>
      <c r="K8" s="179">
        <v>-272761</v>
      </c>
      <c r="L8" s="179">
        <v>-235355.18799999999</v>
      </c>
      <c r="M8" s="179">
        <v>-437028.27399999998</v>
      </c>
      <c r="N8" s="179">
        <v>-376806</v>
      </c>
      <c r="O8" s="179">
        <v>-348618</v>
      </c>
      <c r="P8" s="179">
        <v>-379946</v>
      </c>
      <c r="Q8" s="179">
        <v>-389114</v>
      </c>
      <c r="R8" s="179">
        <v>-385615</v>
      </c>
      <c r="S8" s="179">
        <v>-347868</v>
      </c>
      <c r="T8" s="179">
        <v>-362877</v>
      </c>
      <c r="U8" s="179">
        <v>-364988</v>
      </c>
      <c r="V8" s="179">
        <v>-395244</v>
      </c>
      <c r="W8" s="179">
        <v>-402827.25400000002</v>
      </c>
      <c r="X8" s="179">
        <v>-474826</v>
      </c>
      <c r="Y8" s="179">
        <v>-496157.87400000007</v>
      </c>
      <c r="Z8" s="179">
        <v>-528199.6</v>
      </c>
      <c r="AA8" s="179">
        <v>-540029.6</v>
      </c>
      <c r="AB8" s="179">
        <v>-543343</v>
      </c>
      <c r="AC8" s="179"/>
      <c r="AD8" s="349">
        <f t="shared" si="2"/>
        <v>6.1355896047179392E-3</v>
      </c>
      <c r="AE8" s="349">
        <f t="shared" si="3"/>
        <v>0.14429917485563126</v>
      </c>
    </row>
    <row r="9" spans="2:35" ht="13" customHeight="1">
      <c r="B9" s="610" t="str">
        <f>IF('Summary | Sumário'!D$6=Names!B$3,Names!BF7,Names!BG7)</f>
        <v>Depreciation and amortization</v>
      </c>
      <c r="C9" s="174">
        <v>-17463</v>
      </c>
      <c r="D9" s="174">
        <v>-43659</v>
      </c>
      <c r="E9" s="174">
        <v>-94250.52</v>
      </c>
      <c r="F9" s="174">
        <v>-163972</v>
      </c>
      <c r="G9" s="174">
        <v>-160440</v>
      </c>
      <c r="H9" s="174">
        <v>-208829.429</v>
      </c>
      <c r="I9" s="179"/>
      <c r="J9" s="174">
        <v>-19166</v>
      </c>
      <c r="K9" s="174">
        <v>-25338</v>
      </c>
      <c r="L9" s="174">
        <v>-30883</v>
      </c>
      <c r="M9" s="174">
        <v>-18863.520000000004</v>
      </c>
      <c r="N9" s="174">
        <v>-36478</v>
      </c>
      <c r="O9" s="174">
        <v>-35511</v>
      </c>
      <c r="P9" s="174">
        <v>-35620</v>
      </c>
      <c r="Q9" s="174">
        <v>-56363</v>
      </c>
      <c r="R9" s="174">
        <v>-37577</v>
      </c>
      <c r="S9" s="174">
        <v>-41130</v>
      </c>
      <c r="T9" s="174">
        <v>-40591</v>
      </c>
      <c r="U9" s="174">
        <v>-41142</v>
      </c>
      <c r="V9" s="174">
        <v>-41900</v>
      </c>
      <c r="W9" s="174">
        <v>-53034.879000000001</v>
      </c>
      <c r="X9" s="174">
        <v>-53349</v>
      </c>
      <c r="Y9" s="174">
        <v>-60545.549999999988</v>
      </c>
      <c r="Z9" s="174">
        <v>-67445</v>
      </c>
      <c r="AA9" s="174">
        <v>-76631</v>
      </c>
      <c r="AB9" s="174">
        <v>-84524</v>
      </c>
      <c r="AC9" s="179"/>
      <c r="AD9" s="350">
        <f t="shared" si="2"/>
        <v>0.10300009134684407</v>
      </c>
      <c r="AE9" s="350">
        <f t="shared" si="3"/>
        <v>0.58435959436915397</v>
      </c>
    </row>
    <row r="10" spans="2:35" ht="13" customHeight="1">
      <c r="B10" s="51" t="str">
        <f>IF('Summary | Sumário'!D$6=Names!B$3,Names!BF13,Names!BG13)</f>
        <v>Tax expenses</v>
      </c>
      <c r="C10" s="179">
        <v>0</v>
      </c>
      <c r="D10" s="179">
        <v>0</v>
      </c>
      <c r="E10" s="179">
        <v>-146721.22500000001</v>
      </c>
      <c r="F10" s="179">
        <v>-248588</v>
      </c>
      <c r="G10" s="179">
        <v>-326584</v>
      </c>
      <c r="H10" s="179">
        <v>-477037.39600000001</v>
      </c>
      <c r="I10" s="179"/>
      <c r="J10" s="179">
        <v>-27534.687000000002</v>
      </c>
      <c r="K10" s="179">
        <v>-30373</v>
      </c>
      <c r="L10" s="179">
        <v>-40645.811999999998</v>
      </c>
      <c r="M10" s="179">
        <v>-48167.726000000002</v>
      </c>
      <c r="N10" s="179">
        <v>-56693</v>
      </c>
      <c r="O10" s="179">
        <v>-61600</v>
      </c>
      <c r="P10" s="179">
        <v>-61544</v>
      </c>
      <c r="Q10" s="179">
        <v>-68751</v>
      </c>
      <c r="R10" s="179">
        <v>-68871</v>
      </c>
      <c r="S10" s="179">
        <v>-72463</v>
      </c>
      <c r="T10" s="179">
        <v>-94072</v>
      </c>
      <c r="U10" s="179">
        <v>-91178</v>
      </c>
      <c r="V10" s="179">
        <v>-86331</v>
      </c>
      <c r="W10" s="179">
        <v>-99417.270999999993</v>
      </c>
      <c r="X10" s="179">
        <v>-123632.909</v>
      </c>
      <c r="Y10" s="179">
        <v>-167656.21600000001</v>
      </c>
      <c r="Z10" s="179">
        <v>-136055</v>
      </c>
      <c r="AA10" s="179">
        <v>-176879.6</v>
      </c>
      <c r="AB10" s="179">
        <v>-190327.6</v>
      </c>
      <c r="AC10" s="327"/>
      <c r="AD10" s="349">
        <f t="shared" si="2"/>
        <v>7.6029118111981209E-2</v>
      </c>
      <c r="AE10" s="349">
        <f t="shared" si="3"/>
        <v>0.53945742714830081</v>
      </c>
      <c r="AG10" s="185"/>
      <c r="AH10" s="185"/>
    </row>
    <row r="11" spans="2:35" ht="13" customHeight="1">
      <c r="B11" s="177" t="str">
        <f>IF('Summary | Sumário'!D$6=Names!B$3,Names!M19,Names!N19)</f>
        <v>Income from equity interests in associates</v>
      </c>
      <c r="C11" s="174">
        <f>'3. IS | DRE'!C22</f>
        <v>0</v>
      </c>
      <c r="D11" s="174">
        <f>'3. IS | DRE'!D22</f>
        <v>0</v>
      </c>
      <c r="E11" s="174">
        <f>'3. IS | DRE'!E22</f>
        <v>-8764</v>
      </c>
      <c r="F11" s="174">
        <f>'3. IS | DRE'!F22</f>
        <v>-17384</v>
      </c>
      <c r="G11" s="174">
        <f>'3. IS | DRE'!G22</f>
        <v>-32040</v>
      </c>
      <c r="H11" s="174">
        <f>'3. IS | DRE'!H22</f>
        <v>-2480</v>
      </c>
      <c r="I11" s="179"/>
      <c r="J11" s="174">
        <f>'3. IS | DRE'!J22</f>
        <v>0</v>
      </c>
      <c r="K11" s="174">
        <f>'3. IS | DRE'!K22</f>
        <v>3893</v>
      </c>
      <c r="L11" s="174">
        <f>'3. IS | DRE'!L22</f>
        <v>-5454</v>
      </c>
      <c r="M11" s="174">
        <f>'3. IS | DRE'!M22</f>
        <v>-7203</v>
      </c>
      <c r="N11" s="174">
        <f>'3. IS | DRE'!N22</f>
        <v>-5572</v>
      </c>
      <c r="O11" s="174">
        <f>'3. IS | DRE'!O22</f>
        <v>-4490</v>
      </c>
      <c r="P11" s="174">
        <f>'3. IS | DRE'!P22</f>
        <v>-3892</v>
      </c>
      <c r="Q11" s="174">
        <f>'3. IS | DRE'!Q22</f>
        <v>-3430</v>
      </c>
      <c r="R11" s="174">
        <f>'3. IS | DRE'!R22</f>
        <v>-3061</v>
      </c>
      <c r="S11" s="174">
        <f>'3. IS | DRE'!S22</f>
        <v>-23465</v>
      </c>
      <c r="T11" s="174">
        <f>'3. IS | DRE'!T22</f>
        <v>-4070.8986899999982</v>
      </c>
      <c r="U11" s="174">
        <f>'3. IS | DRE'!U22</f>
        <v>-1443.1013100000018</v>
      </c>
      <c r="V11" s="174">
        <f>'3. IS | DRE'!V22</f>
        <v>-2223</v>
      </c>
      <c r="W11" s="174">
        <f>'3. IS | DRE'!W22</f>
        <v>-257.02199999999999</v>
      </c>
      <c r="X11" s="174">
        <f>'3. IS | DRE'!X22</f>
        <v>0</v>
      </c>
      <c r="Y11" s="705">
        <f>'3. IS | DRE'!Y22</f>
        <v>0</v>
      </c>
      <c r="Z11" s="174">
        <f>'3. IS | DRE'!Z22</f>
        <v>0</v>
      </c>
      <c r="AA11" s="174">
        <f>'3. IS | DRE'!AA22</f>
        <v>0</v>
      </c>
      <c r="AB11" s="174">
        <f>'3. IS | DRE'!AB22</f>
        <v>0</v>
      </c>
      <c r="AC11" s="116"/>
      <c r="AD11" s="174">
        <v>0</v>
      </c>
      <c r="AE11" s="174">
        <v>0</v>
      </c>
    </row>
    <row r="12" spans="2:35" ht="13" customHeight="1">
      <c r="B12" s="116" t="str">
        <f>IF('Summary | Sumário'!D$6=Names!B$3,Names!M27,Names!N27)</f>
        <v>Income tax</v>
      </c>
      <c r="C12" s="179">
        <f>'3. IS | DRE'!C25</f>
        <v>29686</v>
      </c>
      <c r="D12" s="179">
        <f>'3. IS | DRE'!D25</f>
        <v>37709</v>
      </c>
      <c r="E12" s="179">
        <f>'3. IS | DRE'!E25</f>
        <v>175993</v>
      </c>
      <c r="F12" s="179">
        <f>'3. IS | DRE'!F25</f>
        <v>164494</v>
      </c>
      <c r="G12" s="179">
        <f>'3. IS | DRE'!G25</f>
        <v>-87581</v>
      </c>
      <c r="H12" s="179">
        <f>'3. IS | DRE'!H25</f>
        <v>-232708.78587989899</v>
      </c>
      <c r="I12" s="179"/>
      <c r="J12" s="179">
        <f>'3. IS | DRE'!J25</f>
        <v>34867</v>
      </c>
      <c r="K12" s="179">
        <f>'3. IS | DRE'!K25</f>
        <v>87154</v>
      </c>
      <c r="L12" s="179">
        <f>'3. IS | DRE'!L25</f>
        <v>-568.73549999999886</v>
      </c>
      <c r="M12" s="179">
        <f>'3. IS | DRE'!M25</f>
        <v>54540.735499999995</v>
      </c>
      <c r="N12" s="179">
        <f>'3. IS | DRE'!N25</f>
        <v>71272</v>
      </c>
      <c r="O12" s="179">
        <f>'3. IS | DRE'!O25</f>
        <v>3654</v>
      </c>
      <c r="P12" s="179">
        <f>'3. IS | DRE'!P25</f>
        <v>40448</v>
      </c>
      <c r="Q12" s="179">
        <f>'3. IS | DRE'!Q25</f>
        <v>49120</v>
      </c>
      <c r="R12" s="179">
        <f>'3. IS | DRE'!R25</f>
        <v>18319</v>
      </c>
      <c r="S12" s="179">
        <f>'3. IS | DRE'!S25</f>
        <v>-16127</v>
      </c>
      <c r="T12" s="179">
        <f>'3. IS | DRE'!T25</f>
        <v>-41194</v>
      </c>
      <c r="U12" s="179">
        <f>'3. IS | DRE'!U25</f>
        <v>-48579</v>
      </c>
      <c r="V12" s="179">
        <f>'3. IS | DRE'!V25</f>
        <v>-78512</v>
      </c>
      <c r="W12" s="179">
        <f>'3. IS | DRE'!W25</f>
        <v>-74943.733999999997</v>
      </c>
      <c r="X12" s="179">
        <f>'3. IS | DRE'!X25</f>
        <v>-33942</v>
      </c>
      <c r="Y12" s="179">
        <f>'3. IS | DRE'!Y25</f>
        <v>-45311.051879898987</v>
      </c>
      <c r="Z12" s="179">
        <f>'3. IS | DRE'!Z25</f>
        <v>-50759</v>
      </c>
      <c r="AA12" s="179">
        <f>'3. IS | DRE'!AA25</f>
        <v>-51361</v>
      </c>
      <c r="AB12" s="179">
        <f>'3. IS | DRE'!AB25</f>
        <v>-61920</v>
      </c>
      <c r="AC12" s="116"/>
      <c r="AD12" s="349">
        <f t="shared" si="2"/>
        <v>0.20558400342672445</v>
      </c>
      <c r="AE12" s="349">
        <f>AB12/X12-1</f>
        <v>0.82428849213363975</v>
      </c>
    </row>
    <row r="13" spans="2:35" ht="13" customHeight="1">
      <c r="B13" s="298" t="str">
        <f>IF('Summary | Sumário'!D$6=Names!B$3,Names!X3,Names!Y3)</f>
        <v>Total expenses</v>
      </c>
      <c r="C13" s="282">
        <f t="shared" ref="C13:G13" si="4">C5+C6+C10+C11+C12</f>
        <v>-681854</v>
      </c>
      <c r="D13" s="282">
        <f t="shared" si="4"/>
        <v>-1090061</v>
      </c>
      <c r="E13" s="282">
        <f t="shared" si="4"/>
        <v>-2276891.52</v>
      </c>
      <c r="F13" s="282">
        <f t="shared" si="4"/>
        <v>-3576776</v>
      </c>
      <c r="G13" s="282">
        <f t="shared" si="4"/>
        <v>-4400316</v>
      </c>
      <c r="H13" s="282">
        <f>H5+H6+H10+H11+H12</f>
        <v>-5427324.2048798986</v>
      </c>
      <c r="I13" s="227"/>
      <c r="J13" s="282">
        <f t="shared" ref="J13:Y13" si="5">J5+J6+J10+J11+J12</f>
        <v>-419458.99999999994</v>
      </c>
      <c r="K13" s="282">
        <f t="shared" si="5"/>
        <v>-497912</v>
      </c>
      <c r="L13" s="282">
        <f t="shared" si="5"/>
        <v>-572161.73549999995</v>
      </c>
      <c r="M13" s="282">
        <f t="shared" si="5"/>
        <v>-787358.78450000007</v>
      </c>
      <c r="N13" s="282">
        <f t="shared" si="5"/>
        <v>-862343</v>
      </c>
      <c r="O13" s="282">
        <f t="shared" si="5"/>
        <v>-861495</v>
      </c>
      <c r="P13" s="282">
        <f t="shared" si="5"/>
        <v>-879899</v>
      </c>
      <c r="Q13" s="282">
        <f t="shared" si="5"/>
        <v>-973039</v>
      </c>
      <c r="R13" s="282">
        <f t="shared" si="5"/>
        <v>-999898</v>
      </c>
      <c r="S13" s="282">
        <f t="shared" si="5"/>
        <v>-1085862</v>
      </c>
      <c r="T13" s="282">
        <f t="shared" si="5"/>
        <v>-1161364.8986899999</v>
      </c>
      <c r="U13" s="282">
        <f t="shared" si="5"/>
        <v>-1153191.1013100001</v>
      </c>
      <c r="V13" s="282">
        <f t="shared" si="5"/>
        <v>-1205721</v>
      </c>
      <c r="W13" s="282">
        <f t="shared" si="5"/>
        <v>-1255934.3865199999</v>
      </c>
      <c r="X13" s="282">
        <f t="shared" si="5"/>
        <v>-1416131.1634800001</v>
      </c>
      <c r="Y13" s="282">
        <f t="shared" si="5"/>
        <v>-1549537.6768798986</v>
      </c>
      <c r="Z13" s="282">
        <f>Z5+Z6+Z10+Z11+Z12</f>
        <v>-1531013.2000000002</v>
      </c>
      <c r="AA13" s="282">
        <f>AA5+AA6+AA10+AA11+AA12</f>
        <v>-1670915.2000000002</v>
      </c>
      <c r="AB13" s="282">
        <f>AB5+AB6+AB10+AB11+AB12</f>
        <v>-1806158.6</v>
      </c>
      <c r="AC13" s="227"/>
      <c r="AD13" s="360">
        <f t="shared" si="2"/>
        <v>8.093971495381691E-2</v>
      </c>
      <c r="AE13" s="360">
        <f>AB13/X13-1</f>
        <v>0.27541759307206171</v>
      </c>
    </row>
  </sheetData>
  <sheetProtection algorithmName="SHA-512" hashValue="iiL9jijH7fq6XPegW1JKOW5vn1HAGQwbG1li+xwymodRmnCWC4Eq3qcjstgQmtFQZIvf40OUNWTj00Kbqs5SPA==" saltValue="SxDK0Wwg5ZrBlEZzJzq/FA=="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28134-02C1-4344-8523-0BA3F217A95A}">
  <sheetPr codeName="Sheet12">
    <tabColor rgb="FFF7CAB0"/>
  </sheetPr>
  <dimension ref="B1:AI31"/>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8" width="10.83203125" style="117" customWidth="1"/>
    <col min="9" max="9" width="2.83203125" style="117" customWidth="1"/>
    <col min="10" max="28" width="10.83203125" style="117" customWidth="1"/>
    <col min="29" max="29" width="5.83203125" style="117" customWidth="1"/>
    <col min="30" max="31" width="10.83203125" style="117" customWidth="1"/>
    <col min="32" max="16384" width="10.83203125" style="116"/>
  </cols>
  <sheetData>
    <row r="1" spans="2:35" ht="13" customHeight="1">
      <c r="AF1" s="117"/>
    </row>
    <row r="2" spans="2:35" s="10" customFormat="1" ht="13" customHeight="1">
      <c r="B2" s="267" t="str">
        <f>IF('Summary | Sumário'!D$6=Names!B$3,Names!AF1,Names!AG1)</f>
        <v>Financials KPIs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322"/>
      <c r="J2" s="20" t="str">
        <f>IF('Summary | Sumário'!D6=Names!B3,Names!C6,Names!D6)</f>
        <v>1Q21</v>
      </c>
      <c r="K2" s="21" t="str">
        <f>IF('Summary | Sumário'!D6=Names!B3,Names!C7,Names!D7)</f>
        <v>2Q21</v>
      </c>
      <c r="L2" s="21" t="str">
        <f>IF('Summary | Sumário'!D6=Names!B3,Names!C8,Names!D8)</f>
        <v>3Q21</v>
      </c>
      <c r="M2" s="21" t="str">
        <f>IF('Summary | Sumário'!D6=Names!B3,Names!C9,Names!D9)</f>
        <v>4Q21</v>
      </c>
      <c r="N2" s="21" t="str">
        <f>IF('Summary | Sumário'!D6=Names!B3,Names!C10,Names!D10)</f>
        <v>1Q22</v>
      </c>
      <c r="O2" s="21" t="str">
        <f>IF('Summary | Sumário'!D6=Names!B3,Names!C11,Names!D11)</f>
        <v>2Q22</v>
      </c>
      <c r="P2" s="21" t="str">
        <f>IF('Summary | Sumário'!D6=Names!B3,Names!C12,Names!D12)</f>
        <v>3Q22</v>
      </c>
      <c r="Q2" s="21" t="str">
        <f>IF('Summary | Sumário'!D6=Names!B3,Names!C13,Names!D13)</f>
        <v>4Q22</v>
      </c>
      <c r="R2" s="21" t="str">
        <f>IF('Summary | Sumário'!D6=Names!B3,Names!C14,Names!D14)</f>
        <v>1Q23</v>
      </c>
      <c r="S2" s="21" t="str">
        <f>IF('Summary | Sumário'!D6=Names!B3,Names!C15,Names!D15)</f>
        <v>2Q23</v>
      </c>
      <c r="T2" s="21" t="str">
        <f>IF('Summary | Sumário'!D6=Names!B3,Names!C16,Names!D16)</f>
        <v>3Q23</v>
      </c>
      <c r="U2" s="21" t="str">
        <f>IF('Summary | Sumário'!D6=Names!B3,Names!C17,Names!D17)</f>
        <v>4Q23</v>
      </c>
      <c r="V2" s="21" t="str">
        <f>IF('Summary | Sumário'!D6=Names!B3,Names!C19,Names!D19)</f>
        <v>1Q24</v>
      </c>
      <c r="W2" s="21" t="str">
        <f>IF('Summary | Sumário'!D6=Names!B3,Names!C20,Names!D20)</f>
        <v>2Q24</v>
      </c>
      <c r="X2" s="21" t="str">
        <f>IF('Summary | Sumário'!D6=Names!B3,Names!C21,Names!D21)</f>
        <v>3Q24</v>
      </c>
      <c r="Y2" s="21" t="str">
        <f>IF('Summary | Sumário'!D6=Names!B3,Names!C22,Names!D22)</f>
        <v>4Q24</v>
      </c>
      <c r="Z2" s="21" t="str">
        <f>IF('Summary | Sumário'!D6=Names!B3,Names!C24,Names!D24)</f>
        <v>1Q25</v>
      </c>
      <c r="AA2" s="21" t="str">
        <f>IF('Summary | Sumário'!D6=Names!B3,Names!C25,Names!D25)</f>
        <v>2Q25</v>
      </c>
      <c r="AB2" s="269" t="str">
        <f>IF('Summary | Sumário'!D6=Names!B3,Names!C26,Names!D26)</f>
        <v>3Q25</v>
      </c>
      <c r="AC2" s="321"/>
      <c r="AD2" s="104" t="str">
        <f>IF('Summary | Sumário'!$D$6=Names!$B$3,Names!$I$24,Names!$J$24)</f>
        <v>QoQ Variation</v>
      </c>
      <c r="AE2" s="104" t="str">
        <f>IF('Summary | Sumário'!$D$6=Names!$B$3,Names!$I$25,Names!$J$25)</f>
        <v>YoY Variation</v>
      </c>
      <c r="AF2" s="11"/>
      <c r="AH2" s="12"/>
      <c r="AI2" s="13"/>
    </row>
    <row r="3" spans="2:35" ht="13" customHeight="1">
      <c r="B3" s="47"/>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27"/>
    </row>
    <row r="4" spans="2:35" ht="13" customHeight="1">
      <c r="B4" s="270" t="str">
        <f>IF('Summary | Sumário'!D$6=Names!B$3,Names!AF2,Names!AG2)</f>
        <v>Financials KPIs</v>
      </c>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row>
    <row r="5" spans="2:35" ht="13" customHeight="1">
      <c r="B5" s="288" t="str">
        <f>IF('Summary | Sumário'!D$6=Names!B$3,Names!O22,Names!Z22)</f>
        <v>NPL 15-90 days (%)</v>
      </c>
      <c r="C5" s="337">
        <f>'9.1 Asset Quality'!C21</f>
        <v>9.5370982442912824E-2</v>
      </c>
      <c r="D5" s="337">
        <f>'9.1 Asset Quality'!D21</f>
        <v>5.0796743357097301E-2</v>
      </c>
      <c r="E5" s="337">
        <f>'9.1 Asset Quality'!E21</f>
        <v>4.2605297450119241E-2</v>
      </c>
      <c r="F5" s="337">
        <f>'9.1 Asset Quality'!F21</f>
        <v>4.1430841865461747E-2</v>
      </c>
      <c r="G5" s="337">
        <f>'9.1 Asset Quality'!G21</f>
        <v>4.0071198175600488E-2</v>
      </c>
      <c r="H5" s="337">
        <f>'9.1 Asset Quality'!H21</f>
        <v>3.4280430547543803E-2</v>
      </c>
      <c r="I5" s="204"/>
      <c r="J5" s="337">
        <f>'9.1 Asset Quality'!J21</f>
        <v>5.7741669034963569E-2</v>
      </c>
      <c r="K5" s="337">
        <f>'9.1 Asset Quality'!K21</f>
        <v>4.9041696604805549E-2</v>
      </c>
      <c r="L5" s="337">
        <f>'9.1 Asset Quality'!L21</f>
        <v>4.345700639486462E-2</v>
      </c>
      <c r="M5" s="337">
        <f>'9.1 Asset Quality'!M21</f>
        <v>4.2605297450119241E-2</v>
      </c>
      <c r="N5" s="337">
        <f>'9.1 Asset Quality'!N21</f>
        <v>4.5114029137614607E-2</v>
      </c>
      <c r="O5" s="337">
        <f>'9.1 Asset Quality'!O21</f>
        <v>4.5433557125597483E-2</v>
      </c>
      <c r="P5" s="337">
        <f>'9.1 Asset Quality'!P21</f>
        <v>4.314105737204002E-2</v>
      </c>
      <c r="Q5" s="337">
        <f>'9.1 Asset Quality'!Q21</f>
        <v>4.1430841865461747E-2</v>
      </c>
      <c r="R5" s="337">
        <f>'9.1 Asset Quality'!R21</f>
        <v>4.3458095606172524E-2</v>
      </c>
      <c r="S5" s="337">
        <f>'9.1 Asset Quality'!S21</f>
        <v>4.1964720582480561E-2</v>
      </c>
      <c r="T5" s="337">
        <f>'9.1 Asset Quality'!T21</f>
        <v>4.2636576262433189E-2</v>
      </c>
      <c r="U5" s="337">
        <f>'9.1 Asset Quality'!U21</f>
        <v>4.0071198175600488E-2</v>
      </c>
      <c r="V5" s="337">
        <f>'9.1 Asset Quality'!V21</f>
        <v>4.4087392795071748E-2</v>
      </c>
      <c r="W5" s="337">
        <f>'9.1 Asset Quality'!W21</f>
        <v>3.9289590020879214E-2</v>
      </c>
      <c r="X5" s="337">
        <f>'9.1 Asset Quality'!X21</f>
        <v>3.6008983670181932E-2</v>
      </c>
      <c r="Y5" s="337">
        <f>'9.1 Asset Quality'!Y21</f>
        <v>3.4280430547543803E-2</v>
      </c>
      <c r="Z5" s="337">
        <f>'9.1 Asset Quality'!Z21</f>
        <v>3.7539033898415307E-2</v>
      </c>
      <c r="AA5" s="337">
        <f>'9.1 Asset Quality'!AA21</f>
        <v>3.7498374725471094E-2</v>
      </c>
      <c r="AB5" s="337">
        <f>'9.1 Asset Quality'!AB21</f>
        <v>3.8018117748348602E-2</v>
      </c>
      <c r="AC5" s="179"/>
      <c r="AD5" s="613">
        <f>(AB5-AA5)*100</f>
        <v>5.1974302287750851E-2</v>
      </c>
      <c r="AE5" s="613">
        <f>(AB5-X5)*100</f>
        <v>0.20091340781666703</v>
      </c>
    </row>
    <row r="6" spans="2:35" ht="13" customHeight="1">
      <c r="B6" s="51" t="str">
        <f>IF('Summary | Sumário'!D$6=Names!B$3,Names!O17,Names!Z17)</f>
        <v>NPL &gt; 90 days (%)</v>
      </c>
      <c r="C6" s="204">
        <f>'9.1 Asset Quality'!C26</f>
        <v>4.613178731386007E-2</v>
      </c>
      <c r="D6" s="204">
        <f>'9.1 Asset Quality'!D26</f>
        <v>3.0609729310091011E-2</v>
      </c>
      <c r="E6" s="204">
        <f>'9.1 Asset Quality'!E26</f>
        <v>2.9686127241903896E-2</v>
      </c>
      <c r="F6" s="204">
        <f>'9.1 Asset Quality'!F26</f>
        <v>4.07236995153967E-2</v>
      </c>
      <c r="G6" s="204">
        <f>'9.1 Asset Quality'!G26</f>
        <v>4.5948866208864708E-2</v>
      </c>
      <c r="H6" s="204">
        <f>'9.1 Asset Quality'!H26</f>
        <v>4.2179708903771096E-2</v>
      </c>
      <c r="I6" s="204"/>
      <c r="J6" s="204">
        <f>'9.1 Asset Quality'!J26</f>
        <v>2.7518698219089782E-2</v>
      </c>
      <c r="K6" s="204">
        <f>'9.1 Asset Quality'!K26</f>
        <v>2.982128363105719E-2</v>
      </c>
      <c r="L6" s="204">
        <f>'9.1 Asset Quality'!L26</f>
        <v>3.0204543180505222E-2</v>
      </c>
      <c r="M6" s="204">
        <f>'9.1 Asset Quality'!M26</f>
        <v>2.9686127241903896E-2</v>
      </c>
      <c r="N6" s="204">
        <f>'9.1 Asset Quality'!N26</f>
        <v>3.428186408174301E-2</v>
      </c>
      <c r="O6" s="204">
        <f>'9.1 Asset Quality'!O26</f>
        <v>3.8004014778354349E-2</v>
      </c>
      <c r="P6" s="204">
        <f>'9.1 Asset Quality'!P26</f>
        <v>3.8069376847907885E-2</v>
      </c>
      <c r="Q6" s="204">
        <f>'9.1 Asset Quality'!Q26</f>
        <v>4.07236995153967E-2</v>
      </c>
      <c r="R6" s="204">
        <f>'9.1 Asset Quality'!R26</f>
        <v>4.425561390533074E-2</v>
      </c>
      <c r="S6" s="204">
        <f>'9.1 Asset Quality'!S26</f>
        <v>4.6937273988870744E-2</v>
      </c>
      <c r="T6" s="204">
        <f>'9.1 Asset Quality'!T26</f>
        <v>4.6873218175344886E-2</v>
      </c>
      <c r="U6" s="204">
        <f>'9.1 Asset Quality'!U26</f>
        <v>4.5948866208864708E-2</v>
      </c>
      <c r="V6" s="204">
        <f>'9.1 Asset Quality'!V26</f>
        <v>4.8307930395170035E-2</v>
      </c>
      <c r="W6" s="204">
        <f>'9.1 Asset Quality'!W26</f>
        <v>4.6618172011492563E-2</v>
      </c>
      <c r="X6" s="204">
        <f>'9.1 Asset Quality'!X26</f>
        <v>4.5182000499596732E-2</v>
      </c>
      <c r="Y6" s="204">
        <f>'9.1 Asset Quality'!Y26</f>
        <v>4.2179708903771096E-2</v>
      </c>
      <c r="Z6" s="204">
        <f>'9.1 Asset Quality'!Z26</f>
        <v>4.0718360845246861E-2</v>
      </c>
      <c r="AA6" s="204">
        <f>'9.1 Asset Quality'!AA26</f>
        <v>4.2012384903609853E-2</v>
      </c>
      <c r="AB6" s="204">
        <f>'9.1 Asset Quality'!AB26</f>
        <v>4.2470166612367834E-2</v>
      </c>
      <c r="AD6" s="364">
        <f t="shared" ref="AD6:AD12" si="0">(AB6-AA6)*100</f>
        <v>4.5778170875798024E-2</v>
      </c>
      <c r="AE6" s="364">
        <f t="shared" ref="AE6:AE12" si="1">(AB6-X6)*100</f>
        <v>-0.27118338872288983</v>
      </c>
    </row>
    <row r="7" spans="2:35" ht="13" customHeight="1">
      <c r="B7" s="53" t="str">
        <f>IF('Summary | Sumário'!D$6=Names!B$3,Names!O126,Names!Z126)</f>
        <v>Coverage ratio (%)</v>
      </c>
      <c r="C7" s="341">
        <f>'9.1 Asset Quality'!C34</f>
        <v>1.2955774675319989</v>
      </c>
      <c r="D7" s="341">
        <f>'9.1 Asset Quality'!D34</f>
        <v>1.2362993155399116</v>
      </c>
      <c r="E7" s="341">
        <f>'9.1 Asset Quality'!E34</f>
        <v>1.3695865756226624</v>
      </c>
      <c r="F7" s="341">
        <f>'9.1 Asset Quality'!F34</f>
        <v>1.3483872650445294</v>
      </c>
      <c r="G7" s="341">
        <f>'9.1 Asset Quality'!G34</f>
        <v>1.343397801947867</v>
      </c>
      <c r="H7" s="341">
        <f>'9.1 Asset Quality'!H34</f>
        <v>1.3625649121395018</v>
      </c>
      <c r="I7" s="342"/>
      <c r="J7" s="341">
        <f>'9.1 Asset Quality'!J34</f>
        <v>1.1778723729850911</v>
      </c>
      <c r="K7" s="341">
        <f>'9.1 Asset Quality'!K34</f>
        <v>1.2955774675319989</v>
      </c>
      <c r="L7" s="341">
        <f>'9.1 Asset Quality'!L34</f>
        <v>1.2362993155399116</v>
      </c>
      <c r="M7" s="341">
        <f>'9.1 Asset Quality'!M34</f>
        <v>1.3695865756226624</v>
      </c>
      <c r="N7" s="341">
        <f>'9.1 Asset Quality'!N34</f>
        <v>1.3153093610626549</v>
      </c>
      <c r="O7" s="341">
        <f>'9.1 Asset Quality'!O34</f>
        <v>1.3402206202440683</v>
      </c>
      <c r="P7" s="341">
        <f>'9.1 Asset Quality'!P34</f>
        <v>1.4508092842877671</v>
      </c>
      <c r="Q7" s="341">
        <f>'9.1 Asset Quality'!Q34</f>
        <v>1.3483872650445294</v>
      </c>
      <c r="R7" s="341">
        <f>'9.1 Asset Quality'!R34</f>
        <v>1.3416430321424944</v>
      </c>
      <c r="S7" s="341">
        <f>'9.1 Asset Quality'!S34</f>
        <v>1.3296856642590198</v>
      </c>
      <c r="T7" s="341">
        <f>'9.1 Asset Quality'!T34</f>
        <v>1.3188960574080884</v>
      </c>
      <c r="U7" s="341">
        <f>'9.1 Asset Quality'!U34</f>
        <v>1.343397801947867</v>
      </c>
      <c r="V7" s="341">
        <f>'9.1 Asset Quality'!V34</f>
        <v>1.325796015185797</v>
      </c>
      <c r="W7" s="341">
        <f>'9.1 Asset Quality'!W34</f>
        <v>1.3017531336546826</v>
      </c>
      <c r="X7" s="341">
        <f>'9.1 Asset Quality'!X34</f>
        <v>1.2953231740838689</v>
      </c>
      <c r="Y7" s="341">
        <f>'9.1 Asset Quality'!Y34</f>
        <v>1.3625649121395018</v>
      </c>
      <c r="Z7" s="341">
        <f>'9.1 Asset Quality'!Z34</f>
        <v>1.4254534411552315</v>
      </c>
      <c r="AA7" s="341">
        <f>'9.1 Asset Quality'!AA34</f>
        <v>1.4339593935505011</v>
      </c>
      <c r="AB7" s="341">
        <f>'9.1 Asset Quality'!AB34</f>
        <v>1.4631857564609239</v>
      </c>
      <c r="AD7" s="363">
        <f t="shared" si="0"/>
        <v>2.9226362910422798</v>
      </c>
      <c r="AE7" s="363">
        <f t="shared" si="1"/>
        <v>16.786258237705496</v>
      </c>
      <c r="AF7" s="208"/>
    </row>
    <row r="8" spans="2:35" ht="13" customHeight="1">
      <c r="B8" s="51" t="str">
        <f>IF('Summary | Sumário'!D$6=Names!B$3,Names!R5,Names!S5)</f>
        <v>All-in cost of risk (%)</v>
      </c>
      <c r="C8" s="611">
        <f>'9.1 Asset Quality'!C43</f>
        <v>2.9005395627358637E-2</v>
      </c>
      <c r="D8" s="611">
        <f>'9.1 Asset Quality'!D43</f>
        <v>3.1500109268915409E-2</v>
      </c>
      <c r="E8" s="611">
        <f>'9.1 Asset Quality'!E43</f>
        <v>4.2473822514589699E-2</v>
      </c>
      <c r="F8" s="611">
        <f>'9.1 Asset Quality'!F43</f>
        <v>4.6317183838668459E-2</v>
      </c>
      <c r="G8" s="611">
        <f>'9.1 Asset Quality'!G43</f>
        <v>5.0763660863218409E-2</v>
      </c>
      <c r="H8" s="611">
        <f>'9.1 Asset Quality'!H43</f>
        <v>4.6974431184395926E-2</v>
      </c>
      <c r="I8" s="342"/>
      <c r="J8" s="611">
        <f>'9.1 Asset Quality'!J43</f>
        <v>3.6294785137454662E-2</v>
      </c>
      <c r="K8" s="611">
        <f>'9.1 Asset Quality'!K43</f>
        <v>5.1689493991981396E-2</v>
      </c>
      <c r="L8" s="611">
        <f>'9.1 Asset Quality'!L43</f>
        <v>3.5989203377592288E-2</v>
      </c>
      <c r="M8" s="611">
        <f>'9.1 Asset Quality'!M43</f>
        <v>4.1029523187723967E-2</v>
      </c>
      <c r="N8" s="611">
        <f>'9.1 Asset Quality'!N43</f>
        <v>6.3011912919397436E-2</v>
      </c>
      <c r="O8" s="611">
        <f>'9.1 Asset Quality'!O43</f>
        <v>4.5258610425504199E-2</v>
      </c>
      <c r="P8" s="611">
        <f>'9.1 Asset Quality'!P43</f>
        <v>4.4313443197696145E-2</v>
      </c>
      <c r="Q8" s="611">
        <f>'9.1 Asset Quality'!Q43</f>
        <v>4.0230685016000328E-2</v>
      </c>
      <c r="R8" s="611">
        <f>'9.1 Asset Quality'!R43</f>
        <v>5.0543650227926271E-2</v>
      </c>
      <c r="S8" s="611">
        <f>'9.1 Asset Quality'!S43</f>
        <v>5.5909005204313231E-2</v>
      </c>
      <c r="T8" s="611">
        <f>'9.1 Asset Quality'!T43</f>
        <v>5.5000173940667627E-2</v>
      </c>
      <c r="U8" s="611">
        <f>'9.1 Asset Quality'!U43</f>
        <v>4.8432678565455717E-2</v>
      </c>
      <c r="V8" s="611">
        <f>'9.1 Asset Quality'!V43</f>
        <v>4.8569182560775234E-2</v>
      </c>
      <c r="W8" s="611">
        <f>'9.1 Asset Quality'!W43</f>
        <v>4.6726508416808088E-2</v>
      </c>
      <c r="X8" s="611">
        <f>'9.1 Asset Quality'!X43</f>
        <v>4.8574047314921272E-2</v>
      </c>
      <c r="Y8" s="611">
        <f>'9.1 Asset Quality'!Y43</f>
        <v>4.7546725119791959E-2</v>
      </c>
      <c r="Z8" s="611">
        <f>'9.1 Asset Quality'!Z43</f>
        <v>4.6474056852563637E-2</v>
      </c>
      <c r="AA8" s="611">
        <f>'9.1 Asset Quality'!AA43</f>
        <v>4.9775789895540309E-2</v>
      </c>
      <c r="AB8" s="611">
        <f>'9.1 Asset Quality'!AB43</f>
        <v>5.3529851769126745E-2</v>
      </c>
      <c r="AD8" s="364">
        <f t="shared" si="0"/>
        <v>0.37540618735864351</v>
      </c>
      <c r="AE8" s="364">
        <f t="shared" si="1"/>
        <v>0.4955804454205473</v>
      </c>
    </row>
    <row r="9" spans="2:35" ht="13" customHeight="1">
      <c r="B9" s="53" t="str">
        <f>IF('Summary | Sumário'!D$6=Names!B$3,Names!Q7,Names!R7)</f>
        <v>NIM 2.0 (%)</v>
      </c>
      <c r="C9" s="341">
        <f>'9.2 NIM &amp; Yields'!C9</f>
        <v>6.3020680026689813E-2</v>
      </c>
      <c r="D9" s="341">
        <f>'9.2 NIM &amp; Yields'!D9</f>
        <v>5.5495979335055338E-2</v>
      </c>
      <c r="E9" s="341">
        <f>'9.2 NIM &amp; Yields'!E9</f>
        <v>6.8360492746172299E-2</v>
      </c>
      <c r="F9" s="341">
        <f>'9.2 NIM &amp; Yields'!F9</f>
        <v>7.267746383265955E-2</v>
      </c>
      <c r="G9" s="341">
        <f>'9.2 NIM &amp; Yields'!G9</f>
        <v>7.7824527213777778E-2</v>
      </c>
      <c r="H9" s="341">
        <f>'9.2 NIM &amp; Yields'!H9</f>
        <v>8.2436165002568437E-2</v>
      </c>
      <c r="I9" s="342"/>
      <c r="J9" s="341">
        <f>'9.2 NIM &amp; Yields'!J9</f>
        <v>6.8733691830851179E-2</v>
      </c>
      <c r="K9" s="341">
        <f>'9.2 NIM &amp; Yields'!K9</f>
        <v>5.7239372741286251E-2</v>
      </c>
      <c r="L9" s="341">
        <f>'9.2 NIM &amp; Yields'!L9</f>
        <v>6.7054588581747704E-2</v>
      </c>
      <c r="M9" s="341">
        <f>'9.2 NIM &amp; Yields'!M9</f>
        <v>7.5645922678885091E-2</v>
      </c>
      <c r="N9" s="341">
        <f>'9.2 NIM &amp; Yields'!N9</f>
        <v>7.4233407062940196E-2</v>
      </c>
      <c r="O9" s="341">
        <f>'9.2 NIM &amp; Yields'!O9</f>
        <v>7.5588216731602362E-2</v>
      </c>
      <c r="P9" s="341">
        <f>'9.2 NIM &amp; Yields'!P9</f>
        <v>7.0166279314210447E-2</v>
      </c>
      <c r="Q9" s="341">
        <f>'9.2 NIM &amp; Yields'!Q9</f>
        <v>7.8094470161594251E-2</v>
      </c>
      <c r="R9" s="341">
        <f>'9.2 NIM &amp; Yields'!R9</f>
        <v>7.7923974174730459E-2</v>
      </c>
      <c r="S9" s="341">
        <f>'9.2 NIM &amp; Yields'!S9</f>
        <v>8.5539472440613981E-2</v>
      </c>
      <c r="T9" s="341">
        <f>'9.2 NIM &amp; Yields'!T9</f>
        <v>8.1482839464113735E-2</v>
      </c>
      <c r="U9" s="341">
        <f>'9.2 NIM &amp; Yields'!U9</f>
        <v>7.8697434892860935E-2</v>
      </c>
      <c r="V9" s="341">
        <f>'9.2 NIM &amp; Yields'!V9</f>
        <v>8.2180472229888515E-2</v>
      </c>
      <c r="W9" s="341">
        <f>'9.2 NIM &amp; Yields'!W9</f>
        <v>8.2371027681412398E-2</v>
      </c>
      <c r="X9" s="341">
        <f>'9.2 NIM &amp; Yields'!X9</f>
        <v>8.6757681580365315E-2</v>
      </c>
      <c r="Y9" s="341">
        <f>'9.2 NIM &amp; Yields'!Y9</f>
        <v>8.7425087440085245E-2</v>
      </c>
      <c r="Z9" s="341">
        <f>'9.2 NIM &amp; Yields'!Z9</f>
        <v>8.8434242308333022E-2</v>
      </c>
      <c r="AA9" s="341">
        <f>'9.2 NIM &amp; Yields'!AA9</f>
        <v>9.0695418380868989E-2</v>
      </c>
      <c r="AB9" s="341">
        <f>'9.2 NIM &amp; Yields'!AB9</f>
        <v>9.279500492766278E-2</v>
      </c>
      <c r="AD9" s="363">
        <f t="shared" si="0"/>
        <v>0.20995865467937913</v>
      </c>
      <c r="AE9" s="363">
        <f t="shared" si="1"/>
        <v>0.60373233472974652</v>
      </c>
    </row>
    <row r="10" spans="2:35" ht="13" customHeight="1">
      <c r="B10" s="51" t="str">
        <f>IF('Summary | Sumário'!D$6=Names!B$3,Names!Q10,Names!R10)</f>
        <v>Risk-adjusted NIM 2.0 (%)</v>
      </c>
      <c r="C10" s="611">
        <f>'9.2 NIM &amp; Yields'!C18</f>
        <v>4.8257574316724908E-2</v>
      </c>
      <c r="D10" s="611">
        <f>'9.2 NIM &amp; Yields'!D18</f>
        <v>3.9323698139541174E-2</v>
      </c>
      <c r="E10" s="611">
        <f>'9.2 NIM &amp; Yields'!E18</f>
        <v>4.3136944003390354E-2</v>
      </c>
      <c r="F10" s="611">
        <f>'9.2 NIM &amp; Yields'!F18</f>
        <v>4.034885798859994E-2</v>
      </c>
      <c r="G10" s="611">
        <f>'9.2 NIM &amp; Yields'!G18</f>
        <v>4.1433737564831138E-2</v>
      </c>
      <c r="H10" s="611">
        <f>'9.2 NIM &amp; Yields'!H18</f>
        <v>4.9151794487335095E-2</v>
      </c>
      <c r="I10" s="342"/>
      <c r="J10" s="611">
        <f>'9.2 NIM &amp; Yields'!J18</f>
        <v>4.4085605491636447E-2</v>
      </c>
      <c r="K10" s="611">
        <f>'9.2 NIM &amp; Yields'!K18</f>
        <v>2.6220915320290392E-2</v>
      </c>
      <c r="L10" s="611">
        <f>'9.2 NIM &amp; Yields'!L18</f>
        <v>4.6633875087625939E-2</v>
      </c>
      <c r="M10" s="611">
        <f>'9.2 NIM &amp; Yields'!M18</f>
        <v>5.061860921319894E-2</v>
      </c>
      <c r="N10" s="611">
        <f>'9.2 NIM &amp; Yields'!N18</f>
        <v>3.2782259071434061E-2</v>
      </c>
      <c r="O10" s="611">
        <f>'9.2 NIM &amp; Yields'!O18</f>
        <v>4.4347422960658245E-2</v>
      </c>
      <c r="P10" s="611">
        <f>'9.2 NIM &amp; Yields'!P18</f>
        <v>3.8700640351518531E-2</v>
      </c>
      <c r="Q10" s="611">
        <f>'9.2 NIM &amp; Yields'!Q18</f>
        <v>4.8620585417595272E-2</v>
      </c>
      <c r="R10" s="611">
        <f>'9.2 NIM &amp; Yields'!R18</f>
        <v>4.0309153521016335E-2</v>
      </c>
      <c r="S10" s="611">
        <f>'9.2 NIM &amp; Yields'!S18</f>
        <v>4.4378043460152256E-2</v>
      </c>
      <c r="T10" s="611">
        <f>'9.2 NIM &amp; Yields'!T18</f>
        <v>4.2159442262429708E-2</v>
      </c>
      <c r="U10" s="611">
        <f>'9.2 NIM &amp; Yields'!U18</f>
        <v>4.4962357215369848E-2</v>
      </c>
      <c r="V10" s="611">
        <f>'9.2 NIM &amp; Yields'!V18</f>
        <v>4.8142369184789452E-2</v>
      </c>
      <c r="W10" s="611">
        <f>'9.2 NIM &amp; Yields'!W18</f>
        <v>4.9066733389372438E-2</v>
      </c>
      <c r="X10" s="611">
        <f>'9.2 NIM &amp; Yields'!X18</f>
        <v>5.163089103848454E-2</v>
      </c>
      <c r="Y10" s="611">
        <f>'9.2 NIM &amp; Yields'!Y18</f>
        <v>5.2977147751792485E-2</v>
      </c>
      <c r="Z10" s="611">
        <f>'9.2 NIM &amp; Yields'!Z18</f>
        <v>5.5095613637360492E-2</v>
      </c>
      <c r="AA10" s="611">
        <f>'9.2 NIM &amp; Yields'!AA18</f>
        <v>5.5562359322360734E-2</v>
      </c>
      <c r="AB10" s="611">
        <f>'9.2 NIM &amp; Yields'!AB18</f>
        <v>5.615052487716235E-2</v>
      </c>
      <c r="AD10" s="364">
        <f t="shared" si="0"/>
        <v>5.8816555480161598E-2</v>
      </c>
      <c r="AE10" s="364">
        <f t="shared" si="1"/>
        <v>0.45196338386778101</v>
      </c>
    </row>
    <row r="11" spans="2:35" ht="13" customHeight="1">
      <c r="B11" s="53" t="str">
        <f>IF('Summary | Sumário'!D$6=Names!B$3,Names!AC35,Names!AD35)</f>
        <v>Fee income ratio (%)</v>
      </c>
      <c r="C11" s="341">
        <f>'9.3 Fee Income Ratio'!C9</f>
        <v>0.169464548300088</v>
      </c>
      <c r="D11" s="341">
        <f>'9.3 Fee Income Ratio'!D9</f>
        <v>0.27496915480968737</v>
      </c>
      <c r="E11" s="341">
        <f>'9.3 Fee Income Ratio'!E9</f>
        <v>0.27350841969732093</v>
      </c>
      <c r="F11" s="341">
        <f>'9.3 Fee Income Ratio'!F9</f>
        <v>0.31647034296011883</v>
      </c>
      <c r="G11" s="341">
        <f>'9.3 Fee Income Ratio'!G9</f>
        <v>0.30631390459180918</v>
      </c>
      <c r="H11" s="341">
        <f>'9.3 Fee Income Ratio'!H9</f>
        <v>0.30365163699821585</v>
      </c>
      <c r="I11" s="342"/>
      <c r="J11" s="341">
        <f>'9.3 Fee Income Ratio'!J9</f>
        <v>0.28627311957648288</v>
      </c>
      <c r="K11" s="341">
        <f>'9.3 Fee Income Ratio'!K9</f>
        <v>0.33894838694026419</v>
      </c>
      <c r="L11" s="341">
        <f>'9.3 Fee Income Ratio'!L9</f>
        <v>0.25283842037330045</v>
      </c>
      <c r="M11" s="341">
        <f>'9.3 Fee Income Ratio'!M9</f>
        <v>0.24154313643237449</v>
      </c>
      <c r="N11" s="341">
        <f>'9.3 Fee Income Ratio'!N9</f>
        <v>0.32761861439090412</v>
      </c>
      <c r="O11" s="341">
        <f>'9.3 Fee Income Ratio'!O9</f>
        <v>0.33108697296749373</v>
      </c>
      <c r="P11" s="341">
        <f>'9.3 Fee Income Ratio'!P9</f>
        <v>0.30998227130596889</v>
      </c>
      <c r="Q11" s="341">
        <f>'9.3 Fee Income Ratio'!Q9</f>
        <v>0.29990645568074864</v>
      </c>
      <c r="R11" s="341">
        <f>'9.3 Fee Income Ratio'!R9</f>
        <v>0.29062483665150585</v>
      </c>
      <c r="S11" s="341">
        <f>'9.3 Fee Income Ratio'!S9</f>
        <v>0.27978998881772194</v>
      </c>
      <c r="T11" s="341">
        <f>'9.3 Fee Income Ratio'!T9</f>
        <v>0.33210664465640283</v>
      </c>
      <c r="U11" s="341">
        <f>'9.3 Fee Income Ratio'!U9</f>
        <v>0.31692388438004793</v>
      </c>
      <c r="V11" s="341">
        <f>'9.3 Fee Income Ratio'!V9</f>
        <v>0.29160324697136625</v>
      </c>
      <c r="W11" s="341">
        <f>'9.3 Fee Income Ratio'!W9</f>
        <v>0.29536908683149532</v>
      </c>
      <c r="X11" s="341">
        <f>'9.3 Fee Income Ratio'!X9</f>
        <v>0.3053397223912393</v>
      </c>
      <c r="Y11" s="341">
        <f>'9.3 Fee Income Ratio'!Y9</f>
        <v>0.31790826711817477</v>
      </c>
      <c r="Z11" s="341">
        <f>'9.3 Fee Income Ratio'!Z9</f>
        <v>0.25857357469205999</v>
      </c>
      <c r="AA11" s="341">
        <f>'9.3 Fee Income Ratio'!AA9</f>
        <v>0.26637715952174512</v>
      </c>
      <c r="AB11" s="341">
        <f>'9.3 Fee Income Ratio'!AB9</f>
        <v>0.24950605041985716</v>
      </c>
      <c r="AD11" s="363">
        <f t="shared" si="0"/>
        <v>-1.6871109101887964</v>
      </c>
      <c r="AE11" s="363">
        <f t="shared" si="1"/>
        <v>-5.5833671971382142</v>
      </c>
    </row>
    <row r="12" spans="2:35" ht="13" customHeight="1">
      <c r="B12" s="694" t="str">
        <f>'9.4 Efficiency | Eficiência'!B15</f>
        <v>Efficiency ratio (%)</v>
      </c>
      <c r="C12" s="698">
        <f>'9.4 Efficiency | Eficiência'!C15</f>
        <v>0.80448043413149117</v>
      </c>
      <c r="D12" s="698">
        <f>'9.4 Efficiency | Eficiência'!D15</f>
        <v>0.90379777979974207</v>
      </c>
      <c r="E12" s="698">
        <f>'9.4 Efficiency | Eficiência'!E15</f>
        <v>0.82011360010696199</v>
      </c>
      <c r="F12" s="698">
        <f>'9.4 Efficiency | Eficiência'!F15</f>
        <v>0.72178098742996</v>
      </c>
      <c r="G12" s="698">
        <f>'9.4 Efficiency | Eficiência'!G15</f>
        <v>0.54312186300614262</v>
      </c>
      <c r="H12" s="698">
        <f>'9.4 Efficiency | Eficiência'!H15</f>
        <v>0.48530210087474074</v>
      </c>
      <c r="I12" s="207"/>
      <c r="J12" s="698">
        <f>'9.4 Efficiency | Eficiência'!J15</f>
        <v>0.8224467649408943</v>
      </c>
      <c r="K12" s="698">
        <f>'9.4 Efficiency | Eficiência'!K15</f>
        <v>0.8949860183046211</v>
      </c>
      <c r="L12" s="698">
        <f>'9.4 Efficiency | Eficiência'!L15</f>
        <v>0.68477256272790943</v>
      </c>
      <c r="M12" s="698">
        <f>'9.4 Efficiency | Eficiência'!M15</f>
        <v>0.88300737159708231</v>
      </c>
      <c r="N12" s="698">
        <f>'9.4 Efficiency | Eficiência'!N15</f>
        <v>0.71882577509772227</v>
      </c>
      <c r="O12" s="698">
        <f>'9.4 Efficiency | Eficiência'!O15</f>
        <v>0.68258662740128873</v>
      </c>
      <c r="P12" s="698">
        <f>'9.4 Efficiency | Eficiência'!P15</f>
        <v>0.75028956831525417</v>
      </c>
      <c r="Q12" s="698">
        <f>'9.4 Efficiency | Eficiência'!Q15</f>
        <v>0.73439393175827561</v>
      </c>
      <c r="R12" s="698">
        <f>'9.4 Efficiency | Eficiência'!R15</f>
        <v>0.62351037661067732</v>
      </c>
      <c r="S12" s="698">
        <f>'9.4 Efficiency | Eficiência'!S15</f>
        <v>0.53383674950420901</v>
      </c>
      <c r="T12" s="698">
        <f>'9.4 Efficiency | Eficiência'!T15</f>
        <v>0.51720803695273643</v>
      </c>
      <c r="U12" s="698">
        <f>'9.4 Efficiency | Eficiência'!U15</f>
        <v>0.51364353479126668</v>
      </c>
      <c r="V12" s="698">
        <f>'9.4 Efficiency | Eficiência'!V15</f>
        <v>0.47740995408553893</v>
      </c>
      <c r="W12" s="698">
        <f>'9.4 Efficiency | Eficiência'!W15</f>
        <v>0.47563347568986319</v>
      </c>
      <c r="X12" s="698">
        <f>'9.4 Efficiency | Eficiência'!X15</f>
        <v>0.50211589888730823</v>
      </c>
      <c r="Y12" s="698">
        <f>'9.4 Efficiency | Eficiência'!Y15</f>
        <v>0.48382626494846404</v>
      </c>
      <c r="Z12" s="698">
        <f>'9.4 Efficiency | Eficiência'!Z15</f>
        <v>0.48281649047197628</v>
      </c>
      <c r="AA12" s="698">
        <f>'9.4 Efficiency | Eficiência'!AA15</f>
        <v>0.47147874699369585</v>
      </c>
      <c r="AB12" s="698">
        <f>'9.4 Efficiency | Eficiência'!AB15</f>
        <v>0.45172619796749802</v>
      </c>
      <c r="AC12" s="207"/>
      <c r="AD12" s="697">
        <f t="shared" si="0"/>
        <v>-1.975254902619783</v>
      </c>
      <c r="AE12" s="697">
        <f t="shared" si="1"/>
        <v>-5.038970091981021</v>
      </c>
    </row>
    <row r="13" spans="2:35" ht="13" customHeight="1">
      <c r="B13" s="53" t="str">
        <f>IF('Summary | Sumário'!D$6=Names!B$3,Names!AP13,Names!AQ13)</f>
        <v>Cost-to-serve (R$)</v>
      </c>
      <c r="C13" s="614">
        <f>'9.5 CTS | Custo de servir '!C13</f>
        <v>20.917134022985081</v>
      </c>
      <c r="D13" s="614">
        <f>'9.5 CTS | Custo de servir '!D13</f>
        <v>20.21863899270841</v>
      </c>
      <c r="E13" s="614">
        <f>'9.5 CTS | Custo de servir '!E13</f>
        <v>20.146619776144078</v>
      </c>
      <c r="F13" s="614">
        <f>'9.5 CTS | Custo de servir '!F13</f>
        <v>18.620419643425254</v>
      </c>
      <c r="G13" s="614">
        <f>'9.5 CTS | Custo de servir '!G13</f>
        <v>13.869977063425322</v>
      </c>
      <c r="H13" s="614">
        <f>'9.5 CTS | Custo de servir '!H13</f>
        <v>13.145217057243375</v>
      </c>
      <c r="I13" s="612"/>
      <c r="J13" s="614">
        <f>'9.5 CTS | Custo de servir '!J13</f>
        <v>18.745383180514356</v>
      </c>
      <c r="K13" s="614">
        <f>'9.5 CTS | Custo de servir '!K13</f>
        <v>19.761349166461045</v>
      </c>
      <c r="L13" s="614">
        <f>'9.5 CTS | Custo de servir '!L13</f>
        <v>17.187979013081847</v>
      </c>
      <c r="M13" s="614">
        <f>'9.5 CTS | Custo de servir '!M13</f>
        <v>23.941350909457267</v>
      </c>
      <c r="N13" s="614">
        <f>'9.5 CTS | Custo de servir '!N13</f>
        <v>19.888575977297553</v>
      </c>
      <c r="O13" s="614">
        <f>'9.5 CTS | Custo de servir '!O13</f>
        <v>18.006116537985346</v>
      </c>
      <c r="P13" s="614">
        <f>'9.5 CTS | Custo de servir '!P13</f>
        <v>17.640218187999785</v>
      </c>
      <c r="Q13" s="614">
        <f>'9.5 CTS | Custo de servir '!Q13</f>
        <v>18.851561313419559</v>
      </c>
      <c r="R13" s="614">
        <f>'9.5 CTS | Custo de servir '!R13</f>
        <v>15.198842445968298</v>
      </c>
      <c r="S13" s="614">
        <f>'9.5 CTS | Custo de servir '!S13</f>
        <v>13.67902630506528</v>
      </c>
      <c r="T13" s="614">
        <f>'9.5 CTS | Custo de servir '!T13</f>
        <v>13.661825890331194</v>
      </c>
      <c r="U13" s="614">
        <f>'9.5 CTS | Custo de servir '!U13</f>
        <v>13.123678045308578</v>
      </c>
      <c r="V13" s="614">
        <f>'9.5 CTS | Custo de servir '!V13</f>
        <v>12.371846564635158</v>
      </c>
      <c r="W13" s="614">
        <f>'9.5 CTS | Custo de servir '!W13</f>
        <v>12.286397015579938</v>
      </c>
      <c r="X13" s="614">
        <f>'9.5 CTS | Custo de servir '!X13</f>
        <v>13.830950210724284</v>
      </c>
      <c r="Y13" s="614">
        <f>'9.5 CTS | Custo de servir '!Y13</f>
        <v>13.978975088428397</v>
      </c>
      <c r="Z13" s="614">
        <f>'9.5 CTS | Custo de servir '!Z13</f>
        <v>13.138845255832354</v>
      </c>
      <c r="AA13" s="614">
        <f>'9.5 CTS | Custo de servir '!AA13</f>
        <v>13.147140123242322</v>
      </c>
      <c r="AB13" s="614">
        <f>'9.5 CTS | Custo de servir '!AB13</f>
        <v>13.052704930319202</v>
      </c>
      <c r="AD13" s="341">
        <f>AB13/AA13-1</f>
        <v>-7.1829456473330167E-3</v>
      </c>
      <c r="AE13" s="341">
        <f>AB13/X13-1</f>
        <v>-5.6268388545108405E-2</v>
      </c>
    </row>
    <row r="14" spans="2:35" ht="13" customHeight="1">
      <c r="B14" s="694" t="str">
        <f>IF('Summary | Sumário'!D$6=Names!B$3,Names!AR15,Names!AS15)</f>
        <v>Gross ARPAC (R$)</v>
      </c>
      <c r="C14" s="695">
        <f>'9.6 ARPAC'!C16</f>
        <v>37.439906636795584</v>
      </c>
      <c r="D14" s="695">
        <f>'9.6 ARPAC'!D16</f>
        <v>29.358654512771416</v>
      </c>
      <c r="E14" s="695">
        <f>'9.6 ARPAC'!E16</f>
        <v>36.896683850892749</v>
      </c>
      <c r="F14" s="695">
        <f>'9.6 ARPAC'!F16</f>
        <v>46.598265964707203</v>
      </c>
      <c r="G14" s="695">
        <f>'9.6 ARPAC'!G16</f>
        <v>46.446138281704023</v>
      </c>
      <c r="H14" s="695">
        <f>'9.6 ARPAC'!H16</f>
        <v>46.627143767512422</v>
      </c>
      <c r="I14" s="612"/>
      <c r="J14" s="695">
        <f>'9.6 ARPAC'!J16</f>
        <v>43.102752969930648</v>
      </c>
      <c r="K14" s="695">
        <f>'9.6 ARPAC'!K16</f>
        <v>32.116674790571992</v>
      </c>
      <c r="L14" s="695">
        <f>'9.6 ARPAC'!L16</f>
        <v>37.142020815254909</v>
      </c>
      <c r="M14" s="695">
        <f>'9.6 ARPAC'!M16</f>
        <v>43.653785357728026</v>
      </c>
      <c r="N14" s="695">
        <f>'9.6 ARPAC'!N16</f>
        <v>45.637615645372989</v>
      </c>
      <c r="O14" s="695">
        <f>'9.6 ARPAC'!O16</f>
        <v>47.27263716487105</v>
      </c>
      <c r="P14" s="695">
        <f>'9.6 ARPAC'!P16</f>
        <v>45.898270026182757</v>
      </c>
      <c r="Q14" s="695">
        <f>'9.6 ARPAC'!Q16</f>
        <v>46.871338638732432</v>
      </c>
      <c r="R14" s="695">
        <f>'9.6 ARPAC'!R16</f>
        <v>45.928754143736498</v>
      </c>
      <c r="S14" s="695">
        <f>'9.6 ARPAC'!S16</f>
        <v>46.097358198258931</v>
      </c>
      <c r="T14" s="695">
        <f>'9.6 ARPAC'!T16</f>
        <v>47.683229324275089</v>
      </c>
      <c r="U14" s="695">
        <f>'9.6 ARPAC'!U16</f>
        <v>45.943985472726851</v>
      </c>
      <c r="V14" s="695">
        <f>'9.6 ARPAC'!V16</f>
        <v>45.155471724025865</v>
      </c>
      <c r="W14" s="695">
        <f>'9.6 ARPAC'!W16</f>
        <v>44.744988009538986</v>
      </c>
      <c r="X14" s="695">
        <f>'9.6 ARPAC'!X16</f>
        <v>47.164658772595494</v>
      </c>
      <c r="Y14" s="695">
        <f>'9.6 ARPAC'!Y16</f>
        <v>49.265202333247132</v>
      </c>
      <c r="Z14" s="695">
        <f>'9.6 ARPAC'!Z16</f>
        <v>50.018736493520954</v>
      </c>
      <c r="AA14" s="695">
        <f>'9.6 ARPAC'!AA16</f>
        <v>53.691072576799762</v>
      </c>
      <c r="AB14" s="695">
        <f>'9.6 ARPAC'!AB16</f>
        <v>56.844732598911676</v>
      </c>
      <c r="AD14" s="696">
        <f t="shared" ref="AD14:AD15" si="2">AB14/AA14-1</f>
        <v>5.8737139542163419E-2</v>
      </c>
      <c r="AE14" s="696">
        <f t="shared" ref="AE14:AE15" si="3">AB14/X14-1</f>
        <v>0.20523998430665391</v>
      </c>
    </row>
    <row r="15" spans="2:35" ht="13" customHeight="1">
      <c r="B15" s="53" t="str">
        <f>IF('Summary | Sumário'!D$6=Names!B$3,Names!AR30,Names!AS30)</f>
        <v>Net ARPAC (R$)</v>
      </c>
      <c r="C15" s="614">
        <f>'9.6 ARPAC'!C31</f>
        <v>28.068065362420551</v>
      </c>
      <c r="D15" s="614">
        <f>'9.6 ARPAC'!D31</f>
        <v>25.281336702420809</v>
      </c>
      <c r="E15" s="614">
        <f>'9.6 ARPAC'!E31</f>
        <v>30.465638946764312</v>
      </c>
      <c r="F15" s="614">
        <f>'9.6 ARPAC'!F31</f>
        <v>31.241092843481812</v>
      </c>
      <c r="G15" s="614">
        <f>'9.6 ARPAC'!G31</f>
        <v>29.845051007254341</v>
      </c>
      <c r="H15" s="614">
        <f>'9.6 ARPAC'!H31</f>
        <v>31.696587177552658</v>
      </c>
      <c r="I15" s="612"/>
      <c r="J15" s="614">
        <f>'9.6 ARPAC'!J31</f>
        <v>37.909147191536221</v>
      </c>
      <c r="K15" s="614">
        <f>'9.6 ARPAC'!K31</f>
        <v>27.758613865728016</v>
      </c>
      <c r="L15" s="614">
        <f>'9.6 ARPAC'!L31</f>
        <v>30.994658079423658</v>
      </c>
      <c r="M15" s="614">
        <f>'9.6 ARPAC'!M31</f>
        <v>33.616337321773372</v>
      </c>
      <c r="N15" s="614">
        <f>'9.6 ARPAC'!N31</f>
        <v>33.64290282015957</v>
      </c>
      <c r="O15" s="614">
        <f>'9.6 ARPAC'!O31</f>
        <v>32.22833665742624</v>
      </c>
      <c r="P15" s="614">
        <f>'9.6 ARPAC'!P31</f>
        <v>28.619322819900649</v>
      </c>
      <c r="Q15" s="614">
        <f>'9.6 ARPAC'!Q31</f>
        <v>30.603069331861221</v>
      </c>
      <c r="R15" s="614">
        <f>'9.6 ARPAC'!R31</f>
        <v>28.760735743563668</v>
      </c>
      <c r="S15" s="614">
        <f>'9.6 ARPAC'!S31</f>
        <v>29.637117497266114</v>
      </c>
      <c r="T15" s="614">
        <f>'9.6 ARPAC'!T31</f>
        <v>30.545065612319828</v>
      </c>
      <c r="U15" s="614">
        <f>'9.6 ARPAC'!U31</f>
        <v>30.213523142505508</v>
      </c>
      <c r="V15" s="614">
        <f>'9.6 ARPAC'!V31</f>
        <v>30.129505520395423</v>
      </c>
      <c r="W15" s="614">
        <f>'9.6 ARPAC'!W31</f>
        <v>30.36316098666606</v>
      </c>
      <c r="X15" s="614">
        <f>'9.6 ARPAC'!X31</f>
        <v>32.481723260924625</v>
      </c>
      <c r="Y15" s="614">
        <f>'9.6 ARPAC'!Y31</f>
        <v>33.618866356163508</v>
      </c>
      <c r="Z15" s="614">
        <f>'9.6 ARPAC'!Z31</f>
        <v>31.366563916929024</v>
      </c>
      <c r="AA15" s="614">
        <f>'9.6 ARPAC'!AA31</f>
        <v>32.257105727634944</v>
      </c>
      <c r="AB15" s="614">
        <f>'9.6 ARPAC'!AB31</f>
        <v>33.204743930606213</v>
      </c>
      <c r="AD15" s="341">
        <f t="shared" si="2"/>
        <v>2.9377657467868135E-2</v>
      </c>
      <c r="AE15" s="341">
        <f t="shared" si="3"/>
        <v>2.2259307607345402E-2</v>
      </c>
    </row>
    <row r="16" spans="2:35" ht="13" customHeight="1">
      <c r="B16" s="694" t="str">
        <f>IF('Summary | Sumário'!D$6=Names!B$3,Names!AA35,Names!AB18)</f>
        <v>All-in cost of funding % of CDI</v>
      </c>
      <c r="C16" s="698">
        <f>'9.7 Cost of Funding'!C12</f>
        <v>0.61991347389097162</v>
      </c>
      <c r="D16" s="698">
        <f>'9.7 Cost of Funding'!D12</f>
        <v>0.62491773139706708</v>
      </c>
      <c r="E16" s="698">
        <f>'9.7 Cost of Funding'!E12</f>
        <v>0.65239919788810707</v>
      </c>
      <c r="F16" s="698">
        <f>'9.7 Cost of Funding'!F12</f>
        <v>0.57028377900702687</v>
      </c>
      <c r="G16" s="698">
        <f>'9.7 Cost of Funding'!G12</f>
        <v>0.57508774785785755</v>
      </c>
      <c r="H16" s="698">
        <f>'9.7 Cost of Funding'!H12</f>
        <v>0.62028331171498152</v>
      </c>
      <c r="I16" s="207"/>
      <c r="J16" s="698">
        <f>'9.7 Cost of Funding'!J12</f>
        <v>0.87481223144911713</v>
      </c>
      <c r="K16" s="698">
        <f>'9.7 Cost of Funding'!K12</f>
        <v>0.63596760618684289</v>
      </c>
      <c r="L16" s="698">
        <f>'9.7 Cost of Funding'!L12</f>
        <v>0.58101030381212626</v>
      </c>
      <c r="M16" s="698">
        <f>'9.7 Cost of Funding'!M12</f>
        <v>0.60001469460277557</v>
      </c>
      <c r="N16" s="698">
        <f>'9.7 Cost of Funding'!N12</f>
        <v>0.54888574052893768</v>
      </c>
      <c r="O16" s="698">
        <f>'9.7 Cost of Funding'!O12</f>
        <v>0.57342847772445593</v>
      </c>
      <c r="P16" s="698">
        <f>'9.7 Cost of Funding'!P12</f>
        <v>0.59005529184779504</v>
      </c>
      <c r="Q16" s="698">
        <f>'9.7 Cost of Funding'!Q12</f>
        <v>0.54834646565066081</v>
      </c>
      <c r="R16" s="698">
        <f>'9.7 Cost of Funding'!R12</f>
        <v>0.59697348816995932</v>
      </c>
      <c r="S16" s="698">
        <f>'9.7 Cost of Funding'!S12</f>
        <v>0.5862739307988849</v>
      </c>
      <c r="T16" s="698">
        <f>'9.7 Cost of Funding'!T12</f>
        <v>0.61707902823666128</v>
      </c>
      <c r="U16" s="698">
        <f>'9.7 Cost of Funding'!U12</f>
        <v>0.59171705967014232</v>
      </c>
      <c r="V16" s="698">
        <f>'9.7 Cost of Funding'!V12</f>
        <v>0.61920574215306567</v>
      </c>
      <c r="W16" s="698">
        <f>'9.7 Cost of Funding'!W12</f>
        <v>0.64262556661987569</v>
      </c>
      <c r="X16" s="698">
        <f>'9.7 Cost of Funding'!X12</f>
        <v>0.65381139242560993</v>
      </c>
      <c r="Y16" s="698">
        <f>'9.7 Cost of Funding'!Y12</f>
        <v>0.64151962469828561</v>
      </c>
      <c r="Z16" s="698">
        <f>'9.7 Cost of Funding'!Z12</f>
        <v>0.63796352317117477</v>
      </c>
      <c r="AA16" s="698">
        <f>'9.7 Cost of Funding'!AA12</f>
        <v>0.64839876062799318</v>
      </c>
      <c r="AB16" s="698">
        <f>'9.7 Cost of Funding'!AB12</f>
        <v>0.68201992821835933</v>
      </c>
      <c r="AC16" s="207"/>
      <c r="AD16" s="697">
        <f t="shared" ref="AD16:AD18" si="4">(AB16-AA16)*100</f>
        <v>3.3621167590366152</v>
      </c>
      <c r="AE16" s="697">
        <f t="shared" ref="AE16:AE18" si="5">(AB16-X16)*100</f>
        <v>2.8208535792749401</v>
      </c>
    </row>
    <row r="17" spans="2:31" ht="13" customHeight="1">
      <c r="B17" s="53" t="str">
        <f>IF('Summary | Sumário'!D$6=Names!B$3,Names!AF3,Names!AG3)</f>
        <v>Tier I ratio (%)</v>
      </c>
      <c r="C17" s="156">
        <v>0.39400000000000002</v>
      </c>
      <c r="D17" s="156">
        <v>0.31828739525522021</v>
      </c>
      <c r="E17" s="156">
        <f>M17</f>
        <v>0.443</v>
      </c>
      <c r="F17" s="156">
        <f>Q17</f>
        <v>0.24099999999999999</v>
      </c>
      <c r="G17" s="156">
        <f>R17</f>
        <v>0.23</v>
      </c>
      <c r="H17" s="156">
        <f>S17</f>
        <v>0.22800000000000001</v>
      </c>
      <c r="I17" s="210"/>
      <c r="J17" s="156">
        <v>0.24099999999999999</v>
      </c>
      <c r="K17" s="156">
        <v>0.19600000000000001</v>
      </c>
      <c r="L17" s="156">
        <v>0.49740000000000001</v>
      </c>
      <c r="M17" s="156">
        <v>0.443</v>
      </c>
      <c r="N17" s="156">
        <v>0.35699999999999998</v>
      </c>
      <c r="O17" s="156">
        <v>0.32900000000000001</v>
      </c>
      <c r="P17" s="156">
        <v>0.29799999999999999</v>
      </c>
      <c r="Q17" s="156">
        <v>0.24099999999999999</v>
      </c>
      <c r="R17" s="156">
        <v>0.23</v>
      </c>
      <c r="S17" s="156">
        <f>'9.9 Capital | Basileia'!S23</f>
        <v>0.22800000000000001</v>
      </c>
      <c r="T17" s="156">
        <f>'9.9 Capital | Basileia'!T23</f>
        <v>0.2374</v>
      </c>
      <c r="U17" s="156">
        <f>'9.9 Capital | Basileia'!U23</f>
        <v>0.229501027251763</v>
      </c>
      <c r="V17" s="156">
        <f>'9.9 Capital | Basileia'!V23</f>
        <v>0.20276529979036845</v>
      </c>
      <c r="W17" s="156">
        <f>'9.9 Capital | Basileia'!W23</f>
        <v>0.19289246116070838</v>
      </c>
      <c r="X17" s="156">
        <f>'9.9 Capital | Basileia'!X23</f>
        <v>0.17004172684835503</v>
      </c>
      <c r="Y17" s="156">
        <f>'9.9 Capital | Basileia'!Y23</f>
        <v>0.15185433284416736</v>
      </c>
      <c r="Z17" s="156">
        <f>'9.9 Capital | Basileia'!Z23</f>
        <v>0.14699999999999999</v>
      </c>
      <c r="AA17" s="156">
        <f>'9.9 Capital | Basileia'!AA23</f>
        <v>0.15710392717377794</v>
      </c>
      <c r="AB17" s="156">
        <f>'9.9 Capital | Basileia'!AB23</f>
        <v>0.14632349535048683</v>
      </c>
      <c r="AD17" s="363">
        <f t="shared" si="4"/>
        <v>-1.078043182329111</v>
      </c>
      <c r="AE17" s="363">
        <f t="shared" si="5"/>
        <v>-2.3718231497868199</v>
      </c>
    </row>
    <row r="18" spans="2:31" ht="13" customHeight="1">
      <c r="B18" s="694" t="str">
        <f>IF('Summary | Sumário'!D$6=Names!B$3,Names!CN15,Names!CO15)</f>
        <v>ROE (%)</v>
      </c>
      <c r="C18" s="698">
        <f>'9.8 ROE'!C16</f>
        <v>1.2829502433309343E-2</v>
      </c>
      <c r="D18" s="698">
        <f>'9.8 ROE'!D16</f>
        <v>6.5929313072213601E-3</v>
      </c>
      <c r="E18" s="698">
        <f>'9.8 ROE'!E16</f>
        <v>-2.4499984502511288E-2</v>
      </c>
      <c r="F18" s="698">
        <f>'9.8 ROE'!F16</f>
        <v>-2.2988012896933527E-3</v>
      </c>
      <c r="G18" s="698">
        <f>'9.8 ROE'!G16</f>
        <v>4.180572271164542E-2</v>
      </c>
      <c r="H18" s="698">
        <f>'9.8 ROE'!H16</f>
        <v>0.11084900487169751</v>
      </c>
      <c r="I18" s="207"/>
      <c r="J18" s="698">
        <f>'9.8 ROE'!J16</f>
        <v>-1.0695727159522619E-2</v>
      </c>
      <c r="K18" s="698">
        <f>'9.8 ROE'!K16</f>
        <v>-1.623743177526633E-2</v>
      </c>
      <c r="L18" s="698">
        <f>'9.8 ROE'!L16</f>
        <v>4.6564729195060989E-3</v>
      </c>
      <c r="M18" s="698">
        <f>'9.8 ROE'!M16</f>
        <v>-8.2575321316311887E-2</v>
      </c>
      <c r="N18" s="698">
        <f>'9.8 ROE'!N16</f>
        <v>4.9651362181186423E-3</v>
      </c>
      <c r="O18" s="698">
        <f>'9.8 ROE'!O16</f>
        <v>-1.375351860968195E-2</v>
      </c>
      <c r="P18" s="698">
        <f>'9.8 ROE'!P16</f>
        <v>-1.7051854146924641E-2</v>
      </c>
      <c r="Q18" s="698">
        <f>'9.8 ROE'!Q16</f>
        <v>1.8372289052940301E-2</v>
      </c>
      <c r="R18" s="698">
        <f>'9.8 ROE'!R16</f>
        <v>6.506292220659432E-3</v>
      </c>
      <c r="S18" s="698">
        <f>'9.8 ROE'!S16</f>
        <v>2.7395160479617629E-2</v>
      </c>
      <c r="T18" s="698">
        <f>'9.8 ROE'!T16</f>
        <v>5.0491675207795732E-2</v>
      </c>
      <c r="U18" s="698">
        <f>'9.8 ROE'!U16</f>
        <v>8.194362028479428E-2</v>
      </c>
      <c r="V18" s="698">
        <f>'9.8 ROE'!V16</f>
        <v>9.2178380059035961E-2</v>
      </c>
      <c r="W18" s="698">
        <f>'9.8 ROE'!W16</f>
        <v>9.8005602972595141E-2</v>
      </c>
      <c r="X18" s="698">
        <f>'9.8 ROE'!X16</f>
        <v>0.1130724353464666</v>
      </c>
      <c r="Y18" s="698">
        <f>'9.8 ROE'!Y16</f>
        <v>0.12506866951180479</v>
      </c>
      <c r="Z18" s="698">
        <f>'9.8 ROE'!Z16</f>
        <v>0.12880482403335947</v>
      </c>
      <c r="AA18" s="698">
        <f>'9.8 ROE'!AA16</f>
        <v>0.13859393461213435</v>
      </c>
      <c r="AB18" s="698">
        <f>'9.8 ROE'!AB16</f>
        <v>0.1418473086925206</v>
      </c>
      <c r="AC18" s="207"/>
      <c r="AD18" s="697">
        <f t="shared" si="4"/>
        <v>0.32533740803862565</v>
      </c>
      <c r="AE18" s="697">
        <f t="shared" si="5"/>
        <v>2.8774873346053997</v>
      </c>
    </row>
    <row r="21" spans="2:31" ht="13" customHeight="1">
      <c r="B21" s="102"/>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364"/>
      <c r="AE21" s="364"/>
    </row>
    <row r="22" spans="2:31" ht="13" customHeight="1">
      <c r="B22" s="102"/>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364"/>
      <c r="AE22" s="364"/>
    </row>
    <row r="23" spans="2:31" ht="13" customHeight="1">
      <c r="B23" s="102"/>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364"/>
      <c r="AE23" s="364"/>
    </row>
    <row r="24" spans="2:31" ht="13" customHeight="1">
      <c r="B24" s="102"/>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7"/>
      <c r="AE24" s="207"/>
    </row>
    <row r="25" spans="2:31" ht="13" customHeight="1">
      <c r="B25" s="102"/>
      <c r="C25" s="209"/>
      <c r="D25" s="209"/>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7"/>
      <c r="AE25" s="207"/>
    </row>
    <row r="26" spans="2:31" ht="13" customHeight="1">
      <c r="B26" s="102"/>
      <c r="C26" s="209"/>
      <c r="D26" s="209"/>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7"/>
      <c r="AE26" s="207"/>
    </row>
    <row r="27" spans="2:31" ht="13" customHeight="1">
      <c r="B27" s="102"/>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364"/>
      <c r="AE27" s="364"/>
    </row>
    <row r="28" spans="2:31" ht="13" customHeight="1">
      <c r="B28" s="396"/>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364"/>
      <c r="AE28" s="364"/>
    </row>
    <row r="29" spans="2:31" ht="13" customHeight="1">
      <c r="B29" s="102"/>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364"/>
      <c r="AE29" s="364"/>
    </row>
    <row r="30" spans="2:31" ht="13" customHeight="1">
      <c r="B30" s="396"/>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364"/>
      <c r="AE30" s="364"/>
    </row>
    <row r="31" spans="2:31" ht="13" customHeight="1">
      <c r="B31" s="27"/>
      <c r="C31" s="155"/>
      <c r="D31" s="155"/>
      <c r="E31" s="155"/>
      <c r="F31" s="155"/>
      <c r="G31" s="155"/>
      <c r="H31" s="155"/>
      <c r="I31" s="342"/>
      <c r="J31" s="155"/>
      <c r="K31" s="155"/>
      <c r="L31" s="155"/>
      <c r="M31" s="155"/>
      <c r="N31" s="155"/>
      <c r="O31" s="155"/>
      <c r="P31" s="155"/>
      <c r="Q31" s="155"/>
      <c r="R31" s="155"/>
      <c r="S31" s="155"/>
      <c r="T31" s="155"/>
      <c r="U31" s="155"/>
      <c r="V31" s="155"/>
      <c r="W31" s="155"/>
      <c r="X31" s="155"/>
      <c r="Y31" s="155"/>
      <c r="Z31" s="155"/>
      <c r="AA31" s="155"/>
      <c r="AB31" s="155"/>
      <c r="AC31" s="155"/>
      <c r="AD31" s="364"/>
      <c r="AE31" s="364"/>
    </row>
  </sheetData>
  <sheetProtection algorithmName="SHA-512" hashValue="YSS7KKMNYps4GjrC6aImcUGGQvRGn09vUbNshykanndyws149pNKOyrc4Aj6t4jlw173ZbnLKjZTsSl4T6Pu8w==" saltValue="vv5oU/hUXNW4fAGlpwkPVA==" spinCount="100000" sheet="1"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66E3F-39BE-F34A-A5C8-338194B15412}">
  <sheetPr codeName="Sheet13">
    <tabColor rgb="FFF7CAB0"/>
  </sheetPr>
  <dimension ref="A1:AK58"/>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8" width="10.83203125" style="116" customWidth="1"/>
    <col min="9" max="9" width="2.83203125" style="116" customWidth="1"/>
    <col min="10" max="18" width="10.83203125" style="116" customWidth="1"/>
    <col min="19" max="26" width="10.83203125" style="116"/>
    <col min="27" max="28" width="10.83203125" style="116" customWidth="1"/>
    <col min="29" max="29" width="5.83203125" style="116" customWidth="1"/>
    <col min="30" max="16384" width="10.83203125" style="116"/>
  </cols>
  <sheetData>
    <row r="1" spans="1:37"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row>
    <row r="2" spans="1:37" s="10" customFormat="1" ht="13" customHeight="1">
      <c r="B2" s="267" t="str">
        <f>IF('Summary | Sumário'!D$6=Names!B$3,Names!R1,Names!S1)</f>
        <v>Asset Quality (IFRS, R$ Thousands)</v>
      </c>
      <c r="C2" s="114">
        <f>IF('Summary | Sumário'!D6=Names!B3,Names!C2,Names!D2)</f>
        <v>2019</v>
      </c>
      <c r="D2" s="114">
        <f>IF('Summary | Sumário'!D6=Names!B3,Names!C3,Names!D3)</f>
        <v>2020</v>
      </c>
      <c r="E2" s="114">
        <f>IF('Summary | Sumário'!D6=Names!B3,Names!C4,Names!D4)</f>
        <v>2021</v>
      </c>
      <c r="F2" s="114">
        <f>IF('Summary | Sumário'!D6=Names!B3,Names!C5,Names!D5)</f>
        <v>2022</v>
      </c>
      <c r="G2" s="114">
        <f>IF('Summary | Sumário'!D6=Names!B3,Names!C18,Names!D18)</f>
        <v>2023</v>
      </c>
      <c r="H2" s="114">
        <f>IF('Summary | Sumário'!D6=Names!B3,Names!C23,Names!D23)</f>
        <v>2024</v>
      </c>
      <c r="I2" s="322"/>
      <c r="J2" s="20" t="str">
        <f>IF('Summary | Sumário'!D6=Names!B3,Names!C6,Names!D6)</f>
        <v>1Q21</v>
      </c>
      <c r="K2" s="20" t="str">
        <f>IF('Summary | Sumário'!D6=Names!B3,Names!C7,Names!D7)</f>
        <v>2Q21</v>
      </c>
      <c r="L2" s="20" t="str">
        <f>IF('Summary | Sumário'!D6=Names!B3,Names!C8,Names!D8)</f>
        <v>3Q21</v>
      </c>
      <c r="M2" s="21" t="str">
        <f>IF('Summary | Sumário'!D6=Names!B3,Names!C9,Names!D9)</f>
        <v>4Q21</v>
      </c>
      <c r="N2" s="21" t="str">
        <f>IF('Summary | Sumário'!D6=Names!B3,Names!C10,Names!D10)</f>
        <v>1Q22</v>
      </c>
      <c r="O2" s="21" t="str">
        <f>IF('Summary | Sumário'!D6=Names!B3,Names!C11,Names!D11)</f>
        <v>2Q22</v>
      </c>
      <c r="P2" s="21" t="str">
        <f>IF('Summary | Sumário'!D6=Names!B3,Names!C12,Names!D12)</f>
        <v>3Q22</v>
      </c>
      <c r="Q2" s="21" t="str">
        <f>IF('Summary | Sumário'!D6=Names!B3,Names!C13,Names!D13)</f>
        <v>4Q22</v>
      </c>
      <c r="R2" s="21" t="str">
        <f>IF('Summary | Sumário'!D6=Names!B3,Names!C14,Names!D14)</f>
        <v>1Q23</v>
      </c>
      <c r="S2" s="21" t="str">
        <f>IF('Summary | Sumário'!D6=Names!B3,Names!C15,Names!D15)</f>
        <v>2Q23</v>
      </c>
      <c r="T2" s="21" t="str">
        <f>IF('Summary | Sumário'!D6=Names!B3,Names!C16,Names!D16)</f>
        <v>3Q23</v>
      </c>
      <c r="U2" s="21" t="str">
        <f>IF('Summary | Sumário'!D6=Names!B3,Names!C17,Names!D17)</f>
        <v>4Q23</v>
      </c>
      <c r="V2" s="21" t="str">
        <f>IF('Summary | Sumário'!D6=Names!B3,Names!C19,Names!D19)</f>
        <v>1Q24</v>
      </c>
      <c r="W2" s="21" t="str">
        <f>IF('Summary | Sumário'!D6=Names!B3,Names!C20,Names!D20)</f>
        <v>2Q24</v>
      </c>
      <c r="X2" s="21" t="str">
        <f>IF('Summary | Sumário'!D6=Names!B3,Names!C21,Names!D21)</f>
        <v>3Q24</v>
      </c>
      <c r="Y2" s="21" t="str">
        <f>IF('Summary | Sumário'!D6=Names!B3,Names!C22,Names!D22)</f>
        <v>4Q24</v>
      </c>
      <c r="Z2" s="21" t="str">
        <f>IF('Summary | Sumário'!D6=Names!B3,Names!C24,Names!D24)</f>
        <v>1Q25</v>
      </c>
      <c r="AA2" s="21" t="str">
        <f>IF('Summary | Sumário'!D6=Names!B3,Names!C25,Names!D25)</f>
        <v>2Q25</v>
      </c>
      <c r="AB2" s="269" t="str">
        <f>IF('Summary | Sumário'!D6=Names!B3,Names!C26,Names!D26)</f>
        <v>3Q25</v>
      </c>
      <c r="AC2" s="321"/>
      <c r="AD2" s="104" t="str">
        <f>IF('Summary | Sumário'!$D$6=Names!$B$3,Names!$I$24,Names!$J$24)</f>
        <v>QoQ Variation</v>
      </c>
      <c r="AE2" s="104" t="str">
        <f>IF('Summary | Sumário'!$D$6=Names!$B$3,Names!$I$25,Names!$J$25)</f>
        <v>YoY Variation</v>
      </c>
      <c r="AF2" s="58"/>
      <c r="AG2" s="58"/>
      <c r="AH2" s="11"/>
      <c r="AJ2" s="12"/>
      <c r="AK2" s="13"/>
    </row>
    <row r="3" spans="1:37" ht="13" customHeight="1">
      <c r="B3" s="14"/>
      <c r="C3" s="126"/>
      <c r="D3" s="126"/>
      <c r="E3" s="126"/>
      <c r="F3" s="126"/>
      <c r="G3" s="126"/>
      <c r="H3" s="126"/>
      <c r="I3" s="321"/>
      <c r="J3" s="127"/>
      <c r="K3" s="127"/>
      <c r="L3" s="127"/>
      <c r="M3" s="127"/>
      <c r="N3" s="127"/>
      <c r="O3" s="127"/>
      <c r="P3" s="127"/>
      <c r="Q3" s="127"/>
      <c r="R3" s="127"/>
      <c r="S3" s="127"/>
      <c r="T3" s="127"/>
      <c r="U3" s="127"/>
      <c r="V3" s="127"/>
      <c r="W3" s="127"/>
      <c r="X3" s="127"/>
      <c r="Y3" s="127"/>
      <c r="Z3" s="127"/>
      <c r="AA3" s="120"/>
      <c r="AB3" s="120"/>
      <c r="AC3" s="120"/>
      <c r="AD3" s="120"/>
      <c r="AE3" s="120"/>
    </row>
    <row r="4" spans="1:37" s="145" customFormat="1" ht="13" customHeight="1">
      <c r="A4" s="143"/>
      <c r="B4" s="3" t="str">
        <f>IF('Summary | Sumário'!D$6=Names!B$3,Names!O2,Names!Z2)</f>
        <v>Loan portfolio</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2"/>
      <c r="AE4" s="182"/>
    </row>
    <row r="5" spans="1:37" ht="13" customHeight="1">
      <c r="A5" s="211"/>
      <c r="B5" s="700" t="str">
        <f>IF('Summary | Sumário'!D$6=Names!B$3,Names!O3,Names!Z3)</f>
        <v>Gross loans and advances to customers</v>
      </c>
      <c r="C5" s="699">
        <f>SUM(C6:C10)</f>
        <v>4777387</v>
      </c>
      <c r="D5" s="699">
        <f t="shared" ref="D5:Z5" si="0">SUM(D6:D10)</f>
        <v>8790058</v>
      </c>
      <c r="E5" s="699">
        <f>M5</f>
        <v>17216362</v>
      </c>
      <c r="F5" s="699">
        <f>Q5</f>
        <v>22698328</v>
      </c>
      <c r="G5" s="699">
        <f>U5</f>
        <v>29784301</v>
      </c>
      <c r="H5" s="699">
        <f>Y5</f>
        <v>35596293</v>
      </c>
      <c r="I5" s="179"/>
      <c r="J5" s="699">
        <f t="shared" si="0"/>
        <v>10242909.3443</v>
      </c>
      <c r="K5" s="699">
        <f t="shared" si="0"/>
        <v>12527246</v>
      </c>
      <c r="L5" s="699">
        <f t="shared" si="0"/>
        <v>14860083</v>
      </c>
      <c r="M5" s="699">
        <f t="shared" si="0"/>
        <v>17216362</v>
      </c>
      <c r="N5" s="699">
        <f t="shared" si="0"/>
        <v>18176304</v>
      </c>
      <c r="O5" s="699">
        <f t="shared" si="0"/>
        <v>19484646.399999999</v>
      </c>
      <c r="P5" s="699">
        <f t="shared" si="0"/>
        <v>21005268</v>
      </c>
      <c r="Q5" s="699">
        <f t="shared" si="0"/>
        <v>22698328</v>
      </c>
      <c r="R5" s="699">
        <f t="shared" si="0"/>
        <v>23832874</v>
      </c>
      <c r="S5" s="699">
        <f t="shared" si="0"/>
        <v>25141383</v>
      </c>
      <c r="T5" s="699">
        <f t="shared" si="0"/>
        <v>27043601</v>
      </c>
      <c r="U5" s="699">
        <f t="shared" si="0"/>
        <v>29784301</v>
      </c>
      <c r="V5" s="699">
        <f t="shared" si="0"/>
        <v>30858626.881090201</v>
      </c>
      <c r="W5" s="699">
        <f t="shared" si="0"/>
        <v>32971552</v>
      </c>
      <c r="X5" s="699">
        <f t="shared" si="0"/>
        <v>33705888</v>
      </c>
      <c r="Y5" s="699">
        <f t="shared" si="0"/>
        <v>35596293</v>
      </c>
      <c r="Z5" s="699">
        <f t="shared" si="0"/>
        <v>37395324</v>
      </c>
      <c r="AA5" s="699">
        <f t="shared" ref="AA5:AB5" si="1">SUM(AA6:AA10)</f>
        <v>40236766</v>
      </c>
      <c r="AB5" s="699">
        <f t="shared" si="1"/>
        <v>43818120</v>
      </c>
      <c r="AC5" s="179"/>
      <c r="AD5" s="337">
        <f>AB5/AA5-1</f>
        <v>8.9007004191141936E-2</v>
      </c>
      <c r="AE5" s="337">
        <f>AB5/X5-1</f>
        <v>0.30001381361025103</v>
      </c>
    </row>
    <row r="6" spans="1:37" ht="13" customHeight="1">
      <c r="A6" s="211"/>
      <c r="B6" s="54" t="str">
        <f>IF('Summary | Sumário'!D$6=Names!B$3,Names!O4,Names!Z4)</f>
        <v>Real estate</v>
      </c>
      <c r="C6" s="220">
        <v>2519153</v>
      </c>
      <c r="D6" s="220">
        <v>3471356</v>
      </c>
      <c r="E6" s="220">
        <f t="shared" ref="E6:E12" si="2">M6</f>
        <v>5121411</v>
      </c>
      <c r="F6" s="220">
        <f t="shared" ref="F6:F12" si="3">Q6</f>
        <v>6251813</v>
      </c>
      <c r="G6" s="220">
        <f t="shared" ref="G6:G12" si="4">U6</f>
        <v>8583568</v>
      </c>
      <c r="H6" s="220">
        <f t="shared" ref="H6:H12" si="5">Y6</f>
        <v>11250187</v>
      </c>
      <c r="I6" s="220"/>
      <c r="J6" s="220">
        <v>3925594.9876600001</v>
      </c>
      <c r="K6" s="220">
        <v>4211173</v>
      </c>
      <c r="L6" s="220">
        <v>4703223</v>
      </c>
      <c r="M6" s="220">
        <v>5121411</v>
      </c>
      <c r="N6" s="220">
        <v>5350879</v>
      </c>
      <c r="O6" s="220">
        <v>5647720</v>
      </c>
      <c r="P6" s="220">
        <v>5930070</v>
      </c>
      <c r="Q6" s="220">
        <v>6251813</v>
      </c>
      <c r="R6" s="220">
        <v>6616802</v>
      </c>
      <c r="S6" s="220">
        <v>7020433</v>
      </c>
      <c r="T6" s="220">
        <v>7527810</v>
      </c>
      <c r="U6" s="220">
        <v>8583568</v>
      </c>
      <c r="V6" s="220">
        <v>9124375.4985301998</v>
      </c>
      <c r="W6" s="220">
        <v>9703768</v>
      </c>
      <c r="X6" s="220">
        <v>10266209</v>
      </c>
      <c r="Y6" s="220">
        <v>11250187</v>
      </c>
      <c r="Z6" s="220">
        <v>12200387</v>
      </c>
      <c r="AA6" s="220">
        <v>13312029</v>
      </c>
      <c r="AB6" s="220">
        <v>14524260</v>
      </c>
      <c r="AC6" s="220"/>
      <c r="AD6" s="204">
        <f t="shared" ref="AD6:AD12" si="6">AB6/AA6-1</f>
        <v>9.1062827462289997E-2</v>
      </c>
      <c r="AE6" s="204">
        <f t="shared" ref="AE6:AE12" si="7">AB6/X6-1</f>
        <v>0.41476371657736566</v>
      </c>
      <c r="AF6" s="159"/>
      <c r="AG6" s="159"/>
      <c r="AH6" s="159"/>
    </row>
    <row r="7" spans="1:37" ht="13" customHeight="1">
      <c r="A7" s="211"/>
      <c r="B7" s="59" t="str">
        <f>IF('Summary | Sumário'!D$6=Names!B$3,Names!O5,Names!Z5)</f>
        <v>Personal</v>
      </c>
      <c r="C7" s="221">
        <v>1002386</v>
      </c>
      <c r="D7" s="221">
        <v>1653554</v>
      </c>
      <c r="E7" s="221">
        <f t="shared" si="2"/>
        <v>3579283</v>
      </c>
      <c r="F7" s="221">
        <f t="shared" si="3"/>
        <v>5463781</v>
      </c>
      <c r="G7" s="221">
        <f t="shared" si="4"/>
        <v>7138744</v>
      </c>
      <c r="H7" s="221">
        <f t="shared" si="5"/>
        <v>8236791</v>
      </c>
      <c r="I7" s="220"/>
      <c r="J7" s="221">
        <v>2123654.0038399999</v>
      </c>
      <c r="K7" s="221">
        <v>2620848</v>
      </c>
      <c r="L7" s="221">
        <v>3100640</v>
      </c>
      <c r="M7" s="221">
        <v>3579283</v>
      </c>
      <c r="N7" s="221">
        <v>3936755</v>
      </c>
      <c r="O7" s="221">
        <v>4460508.5</v>
      </c>
      <c r="P7" s="221">
        <v>5057444</v>
      </c>
      <c r="Q7" s="221">
        <v>5463781</v>
      </c>
      <c r="R7" s="221">
        <v>6081266</v>
      </c>
      <c r="S7" s="221">
        <v>6500480</v>
      </c>
      <c r="T7" s="221">
        <v>6663058</v>
      </c>
      <c r="U7" s="221">
        <v>7138744</v>
      </c>
      <c r="V7" s="221">
        <v>7437794.5190500002</v>
      </c>
      <c r="W7" s="221">
        <v>7555457</v>
      </c>
      <c r="X7" s="221">
        <v>8003536</v>
      </c>
      <c r="Y7" s="221">
        <v>8236791</v>
      </c>
      <c r="Z7" s="221">
        <v>8909592</v>
      </c>
      <c r="AA7" s="221">
        <v>9955975</v>
      </c>
      <c r="AB7" s="221">
        <v>11070559</v>
      </c>
      <c r="AC7" s="220"/>
      <c r="AD7" s="203">
        <f t="shared" si="6"/>
        <v>0.11195126544612655</v>
      </c>
      <c r="AE7" s="203">
        <f t="shared" si="7"/>
        <v>0.38320849684439473</v>
      </c>
      <c r="AF7" s="159"/>
      <c r="AG7" s="159"/>
      <c r="AH7" s="159"/>
    </row>
    <row r="8" spans="1:37" ht="13" customHeight="1">
      <c r="A8" s="211"/>
      <c r="B8" s="54" t="str">
        <f>IF('Summary | Sumário'!D$6=Names!B$3,Names!O6,Names!Z6)</f>
        <v>SME</v>
      </c>
      <c r="C8" s="220">
        <v>472304</v>
      </c>
      <c r="D8" s="220">
        <v>1582869</v>
      </c>
      <c r="E8" s="220">
        <f t="shared" si="2"/>
        <v>3017159</v>
      </c>
      <c r="F8" s="220">
        <f t="shared" si="3"/>
        <v>3392500</v>
      </c>
      <c r="G8" s="220">
        <f t="shared" si="4"/>
        <v>3855754</v>
      </c>
      <c r="H8" s="220">
        <f t="shared" si="5"/>
        <v>3968591</v>
      </c>
      <c r="I8" s="220"/>
      <c r="J8" s="220">
        <v>1572378.93881</v>
      </c>
      <c r="K8" s="220">
        <v>2153921</v>
      </c>
      <c r="L8" s="220">
        <v>2703302</v>
      </c>
      <c r="M8" s="220">
        <v>3017159</v>
      </c>
      <c r="N8" s="220">
        <v>2929546</v>
      </c>
      <c r="O8" s="220">
        <v>2905002.5</v>
      </c>
      <c r="P8" s="220">
        <v>2978792</v>
      </c>
      <c r="Q8" s="220">
        <v>3392500</v>
      </c>
      <c r="R8" s="220">
        <v>3110840</v>
      </c>
      <c r="S8" s="220">
        <v>3215316</v>
      </c>
      <c r="T8" s="220">
        <v>3438526</v>
      </c>
      <c r="U8" s="220">
        <v>3855754</v>
      </c>
      <c r="V8" s="220">
        <v>3376688</v>
      </c>
      <c r="W8" s="220">
        <v>4359140</v>
      </c>
      <c r="X8" s="220">
        <v>4149476</v>
      </c>
      <c r="Y8" s="220">
        <v>3968591</v>
      </c>
      <c r="Z8" s="220">
        <v>3747963</v>
      </c>
      <c r="AA8" s="220">
        <v>3683260</v>
      </c>
      <c r="AB8" s="220">
        <v>3916890</v>
      </c>
      <c r="AC8" s="220"/>
      <c r="AD8" s="204">
        <f t="shared" si="6"/>
        <v>6.3430222140169246E-2</v>
      </c>
      <c r="AE8" s="204">
        <f t="shared" si="7"/>
        <v>-5.6051896673218526E-2</v>
      </c>
      <c r="AF8" s="159"/>
      <c r="AG8" s="159"/>
      <c r="AH8" s="159"/>
    </row>
    <row r="9" spans="1:37" ht="13" customHeight="1">
      <c r="A9" s="211"/>
      <c r="B9" s="59" t="str">
        <f>IF('Summary | Sumário'!D$6=Names!B$3,Names!O7,Names!Z7)</f>
        <v>Credit cards</v>
      </c>
      <c r="C9" s="221">
        <v>783544</v>
      </c>
      <c r="D9" s="221">
        <v>1904642</v>
      </c>
      <c r="E9" s="221">
        <f t="shared" si="2"/>
        <v>4798318</v>
      </c>
      <c r="F9" s="221">
        <f t="shared" si="3"/>
        <v>6870565</v>
      </c>
      <c r="G9" s="221">
        <f t="shared" si="4"/>
        <v>9461277</v>
      </c>
      <c r="H9" s="221">
        <f t="shared" si="5"/>
        <v>11799890</v>
      </c>
      <c r="I9" s="220"/>
      <c r="J9" s="221">
        <v>2404920.48868</v>
      </c>
      <c r="K9" s="221">
        <v>3116734</v>
      </c>
      <c r="L9" s="221">
        <v>3807684</v>
      </c>
      <c r="M9" s="221">
        <v>4798318</v>
      </c>
      <c r="N9" s="221">
        <v>5315930</v>
      </c>
      <c r="O9" s="221">
        <v>5981406.4000000004</v>
      </c>
      <c r="P9" s="221">
        <v>6411572</v>
      </c>
      <c r="Q9" s="221">
        <v>6870565</v>
      </c>
      <c r="R9" s="221">
        <v>7273032</v>
      </c>
      <c r="S9" s="221">
        <v>7681011</v>
      </c>
      <c r="T9" s="221">
        <v>8650139</v>
      </c>
      <c r="U9" s="221">
        <v>9461277</v>
      </c>
      <c r="V9" s="221">
        <v>10111845.135790002</v>
      </c>
      <c r="W9" s="221">
        <v>10508082</v>
      </c>
      <c r="X9" s="221">
        <v>10769815</v>
      </c>
      <c r="Y9" s="221">
        <v>11799890</v>
      </c>
      <c r="Z9" s="221">
        <v>12251920</v>
      </c>
      <c r="AA9" s="221">
        <v>12995860</v>
      </c>
      <c r="AB9" s="221">
        <v>13967468</v>
      </c>
      <c r="AC9" s="220"/>
      <c r="AD9" s="203">
        <f t="shared" si="6"/>
        <v>7.4762886026780828E-2</v>
      </c>
      <c r="AE9" s="203">
        <f t="shared" si="7"/>
        <v>0.29690881412540504</v>
      </c>
      <c r="AF9" s="160"/>
      <c r="AG9" s="160"/>
      <c r="AH9" s="160"/>
    </row>
    <row r="10" spans="1:37" ht="13" customHeight="1">
      <c r="A10" s="211"/>
      <c r="B10" s="54" t="str">
        <f>IF('Summary | Sumário'!D$6=Names!B$3,Names!O8,Names!Z8)</f>
        <v>Agribusiness</v>
      </c>
      <c r="C10" s="220">
        <v>0</v>
      </c>
      <c r="D10" s="220">
        <v>177637</v>
      </c>
      <c r="E10" s="220">
        <f t="shared" si="2"/>
        <v>700191</v>
      </c>
      <c r="F10" s="220">
        <f t="shared" si="3"/>
        <v>719669</v>
      </c>
      <c r="G10" s="220">
        <f t="shared" si="4"/>
        <v>744958</v>
      </c>
      <c r="H10" s="220">
        <f t="shared" si="5"/>
        <v>340834</v>
      </c>
      <c r="I10" s="220"/>
      <c r="J10" s="220">
        <v>216360.92530999999</v>
      </c>
      <c r="K10" s="220">
        <v>424570</v>
      </c>
      <c r="L10" s="220">
        <v>545234</v>
      </c>
      <c r="M10" s="220">
        <v>700191</v>
      </c>
      <c r="N10" s="220">
        <v>643194</v>
      </c>
      <c r="O10" s="220">
        <v>490009</v>
      </c>
      <c r="P10" s="220">
        <v>627390</v>
      </c>
      <c r="Q10" s="220">
        <v>719669</v>
      </c>
      <c r="R10" s="220">
        <v>750934</v>
      </c>
      <c r="S10" s="220">
        <v>724143</v>
      </c>
      <c r="T10" s="220">
        <v>764068</v>
      </c>
      <c r="U10" s="220">
        <v>744958</v>
      </c>
      <c r="V10" s="220">
        <v>807923.72771999997</v>
      </c>
      <c r="W10" s="220">
        <v>845105</v>
      </c>
      <c r="X10" s="220">
        <v>516852</v>
      </c>
      <c r="Y10" s="220">
        <v>340834</v>
      </c>
      <c r="Z10" s="220">
        <v>285462</v>
      </c>
      <c r="AA10" s="220">
        <v>289642</v>
      </c>
      <c r="AB10" s="220">
        <v>338943</v>
      </c>
      <c r="AC10" s="220"/>
      <c r="AD10" s="204">
        <f t="shared" si="6"/>
        <v>0.17021357399824621</v>
      </c>
      <c r="AE10" s="204">
        <f t="shared" si="7"/>
        <v>-0.34421652620092402</v>
      </c>
      <c r="AF10" s="159"/>
      <c r="AG10" s="159"/>
      <c r="AH10" s="159"/>
    </row>
    <row r="11" spans="1:37" ht="13" customHeight="1">
      <c r="A11" s="211"/>
      <c r="B11" s="53" t="str">
        <f>IF('Summary | Sumário'!D$6=Names!B$3,Names!O9,Names!Z9)</f>
        <v>Prepayment of receivables</v>
      </c>
      <c r="C11" s="221">
        <v>0</v>
      </c>
      <c r="D11" s="221">
        <v>0</v>
      </c>
      <c r="E11" s="221">
        <f t="shared" si="2"/>
        <v>298104</v>
      </c>
      <c r="F11" s="221">
        <f t="shared" si="3"/>
        <v>1845665</v>
      </c>
      <c r="G11" s="221">
        <f t="shared" si="4"/>
        <v>1236536</v>
      </c>
      <c r="H11" s="221">
        <f t="shared" si="5"/>
        <v>5586520.30516</v>
      </c>
      <c r="I11" s="220"/>
      <c r="J11" s="221">
        <v>85776.282000000007</v>
      </c>
      <c r="K11" s="221">
        <v>71515.061000000002</v>
      </c>
      <c r="L11" s="221">
        <v>97555.932000000001</v>
      </c>
      <c r="M11" s="221">
        <v>298104</v>
      </c>
      <c r="N11" s="221">
        <v>347353.58600000001</v>
      </c>
      <c r="O11" s="221">
        <v>379917.21</v>
      </c>
      <c r="P11" s="221">
        <v>1029786.0000000001</v>
      </c>
      <c r="Q11" s="221">
        <v>1845665</v>
      </c>
      <c r="R11" s="221">
        <v>1296424</v>
      </c>
      <c r="S11" s="221">
        <v>1332977</v>
      </c>
      <c r="T11" s="221">
        <v>1215142</v>
      </c>
      <c r="U11" s="221">
        <v>1236536</v>
      </c>
      <c r="V11" s="221">
        <v>1284996.6508599999</v>
      </c>
      <c r="W11" s="221">
        <v>2702819.41658</v>
      </c>
      <c r="X11" s="221">
        <v>4353998.8030500002</v>
      </c>
      <c r="Y11" s="221">
        <v>5586520.30516</v>
      </c>
      <c r="Z11" s="221">
        <v>5199617</v>
      </c>
      <c r="AA11" s="221">
        <v>3602880</v>
      </c>
      <c r="AB11" s="221">
        <v>2867970</v>
      </c>
      <c r="AC11" s="220"/>
      <c r="AD11" s="203">
        <f t="shared" si="6"/>
        <v>-0.20397848387956297</v>
      </c>
      <c r="AE11" s="203">
        <f t="shared" si="7"/>
        <v>-0.34130206972244204</v>
      </c>
      <c r="AF11" s="159"/>
      <c r="AG11" s="159"/>
      <c r="AH11" s="159"/>
    </row>
    <row r="12" spans="1:37" ht="13" customHeight="1">
      <c r="A12" s="211"/>
      <c r="B12" s="287" t="str">
        <f>IF('Summary | Sumário'!D$6=Names!B$3,Names!O10,Names!Z10)</f>
        <v>Gross loan portfolio including prepayment of receivables</v>
      </c>
      <c r="C12" s="290">
        <f>C5+C11</f>
        <v>4777387</v>
      </c>
      <c r="D12" s="290">
        <f>D5+D11</f>
        <v>8790058</v>
      </c>
      <c r="E12" s="290">
        <f t="shared" si="2"/>
        <v>17514466</v>
      </c>
      <c r="F12" s="290">
        <f t="shared" si="3"/>
        <v>24543993</v>
      </c>
      <c r="G12" s="290">
        <f t="shared" si="4"/>
        <v>31020837</v>
      </c>
      <c r="H12" s="290">
        <f t="shared" si="5"/>
        <v>41182813.305160001</v>
      </c>
      <c r="I12" s="147"/>
      <c r="J12" s="290">
        <f t="shared" ref="J12:AB12" si="8">J5+J11</f>
        <v>10328685.6263</v>
      </c>
      <c r="K12" s="290">
        <f t="shared" si="8"/>
        <v>12598761.061000001</v>
      </c>
      <c r="L12" s="290">
        <f t="shared" si="8"/>
        <v>14957638.932</v>
      </c>
      <c r="M12" s="290">
        <f t="shared" si="8"/>
        <v>17514466</v>
      </c>
      <c r="N12" s="290">
        <f t="shared" si="8"/>
        <v>18523657.585999999</v>
      </c>
      <c r="O12" s="290">
        <f t="shared" si="8"/>
        <v>19864563.609999999</v>
      </c>
      <c r="P12" s="290">
        <f t="shared" si="8"/>
        <v>22035054</v>
      </c>
      <c r="Q12" s="290">
        <f t="shared" si="8"/>
        <v>24543993</v>
      </c>
      <c r="R12" s="290">
        <f t="shared" si="8"/>
        <v>25129298</v>
      </c>
      <c r="S12" s="290">
        <f t="shared" si="8"/>
        <v>26474360</v>
      </c>
      <c r="T12" s="290">
        <f t="shared" si="8"/>
        <v>28258743</v>
      </c>
      <c r="U12" s="290">
        <f t="shared" si="8"/>
        <v>31020837</v>
      </c>
      <c r="V12" s="290">
        <f t="shared" si="8"/>
        <v>32143623.531950202</v>
      </c>
      <c r="W12" s="290">
        <f t="shared" si="8"/>
        <v>35674371.416579999</v>
      </c>
      <c r="X12" s="290">
        <f t="shared" si="8"/>
        <v>38059886.803049996</v>
      </c>
      <c r="Y12" s="290">
        <f t="shared" si="8"/>
        <v>41182813.305160001</v>
      </c>
      <c r="Z12" s="290">
        <f t="shared" si="8"/>
        <v>42594941</v>
      </c>
      <c r="AA12" s="290">
        <f t="shared" si="8"/>
        <v>43839646</v>
      </c>
      <c r="AB12" s="290">
        <f t="shared" si="8"/>
        <v>46686090</v>
      </c>
      <c r="AC12" s="147"/>
      <c r="AD12" s="297">
        <f t="shared" si="6"/>
        <v>6.4928535234978879E-2</v>
      </c>
      <c r="AE12" s="297">
        <f t="shared" si="7"/>
        <v>0.22664815693195206</v>
      </c>
      <c r="AH12" s="159"/>
    </row>
    <row r="13" spans="1:37" ht="13" customHeight="1">
      <c r="A13" s="211"/>
      <c r="B13" s="53"/>
      <c r="C13" s="221"/>
      <c r="D13" s="221"/>
      <c r="E13" s="221"/>
      <c r="F13" s="221"/>
      <c r="G13" s="221"/>
      <c r="H13" s="221"/>
      <c r="I13" s="220"/>
      <c r="J13" s="221"/>
      <c r="K13" s="221"/>
      <c r="L13" s="221"/>
      <c r="M13" s="221"/>
      <c r="N13" s="221"/>
      <c r="O13" s="221"/>
      <c r="P13" s="221"/>
      <c r="Q13" s="221"/>
      <c r="R13" s="221"/>
      <c r="S13" s="221"/>
      <c r="T13" s="221"/>
      <c r="U13" s="221"/>
      <c r="V13" s="221"/>
      <c r="W13" s="221"/>
      <c r="X13" s="221"/>
      <c r="Y13" s="221"/>
      <c r="Z13" s="221"/>
      <c r="AA13" s="221"/>
      <c r="AB13" s="221"/>
      <c r="AC13" s="220"/>
      <c r="AD13" s="338"/>
      <c r="AE13" s="338"/>
    </row>
    <row r="14" spans="1:37" ht="13" customHeight="1">
      <c r="A14" s="211"/>
      <c r="B14" s="3" t="str">
        <f>IF('Summary | Sumário'!D6=Names!B3,Names!K6,Names!L6)</f>
        <v>Securities, net of provisions for expected credit losses</v>
      </c>
    </row>
    <row r="15" spans="1:37" ht="13" customHeight="1">
      <c r="A15" s="211"/>
      <c r="B15" s="288" t="str">
        <f>IF('Summary | Sumário'!D6=Names!B3,Names!V5,Names!W5)</f>
        <v>Sovereign securities</v>
      </c>
      <c r="C15" s="289">
        <f>'5. IEP'!C11</f>
        <v>1155094</v>
      </c>
      <c r="D15" s="289">
        <f>'5. IEP'!D11</f>
        <v>5812622</v>
      </c>
      <c r="E15" s="289">
        <f>M15</f>
        <v>11017596</v>
      </c>
      <c r="F15" s="289">
        <f>Q15</f>
        <v>9472380</v>
      </c>
      <c r="G15" s="289">
        <f>U15</f>
        <v>14673397</v>
      </c>
      <c r="H15" s="289">
        <f>Y15</f>
        <v>21683797.085405104</v>
      </c>
      <c r="I15" s="179"/>
      <c r="J15" s="289">
        <f>'5. IEP'!J11</f>
        <v>5192563</v>
      </c>
      <c r="K15" s="289">
        <f>'5. IEP'!K11</f>
        <v>6670192</v>
      </c>
      <c r="L15" s="289">
        <f>'5. IEP'!L11</f>
        <v>11680891</v>
      </c>
      <c r="M15" s="289">
        <f>'5. IEP'!M11</f>
        <v>11017596</v>
      </c>
      <c r="N15" s="289">
        <f>'5. IEP'!N11</f>
        <v>10381954</v>
      </c>
      <c r="O15" s="289">
        <f>'5. IEP'!O11</f>
        <v>10193311</v>
      </c>
      <c r="P15" s="289">
        <f>'5. IEP'!P11</f>
        <v>10289474</v>
      </c>
      <c r="Q15" s="289">
        <f>'5. IEP'!Q11</f>
        <v>9472380</v>
      </c>
      <c r="R15" s="289">
        <f>'5. IEP'!R11</f>
        <v>9679378</v>
      </c>
      <c r="S15" s="289">
        <f>'5. IEP'!S11</f>
        <v>11599504</v>
      </c>
      <c r="T15" s="289">
        <f>'5. IEP'!T11</f>
        <v>12881004</v>
      </c>
      <c r="U15" s="289">
        <f>'5. IEP'!U11</f>
        <v>14673397</v>
      </c>
      <c r="V15" s="289">
        <f>'5. IEP'!V11</f>
        <v>15821272.2217</v>
      </c>
      <c r="W15" s="289">
        <f>'5. IEP'!W11</f>
        <v>16318997.450960001</v>
      </c>
      <c r="X15" s="289">
        <f>'5. IEP'!X11</f>
        <v>18635484.757983003</v>
      </c>
      <c r="Y15" s="289">
        <f>'5. IEP'!Y11</f>
        <v>21683797.085405104</v>
      </c>
      <c r="Z15" s="289">
        <f>'5. IEP'!Z11</f>
        <v>22271883</v>
      </c>
      <c r="AA15" s="289">
        <f>'5. IEP'!AA11</f>
        <v>21235954.901999999</v>
      </c>
      <c r="AB15" s="289">
        <f>'5. IEP'!AB11</f>
        <v>24461612</v>
      </c>
      <c r="AC15" s="179"/>
      <c r="AD15" s="337">
        <f>AB15/AA15-1</f>
        <v>0.15189602317794559</v>
      </c>
      <c r="AE15" s="337">
        <f>AB15/X15-1</f>
        <v>0.31263620548004378</v>
      </c>
    </row>
    <row r="16" spans="1:37" ht="13" customHeight="1">
      <c r="A16" s="211"/>
      <c r="B16" s="51" t="str">
        <f>IF('Summary | Sumário'!D6=Names!B3,Names!V6,Names!W6)</f>
        <v>Private securities</v>
      </c>
      <c r="C16" s="555">
        <f>C17-C15</f>
        <v>0</v>
      </c>
      <c r="D16" s="555">
        <f t="shared" ref="D16:Z16" si="9">D17-D15</f>
        <v>0</v>
      </c>
      <c r="E16" s="555">
        <f t="shared" si="9"/>
        <v>1740091</v>
      </c>
      <c r="F16" s="555">
        <f t="shared" si="9"/>
        <v>2976185</v>
      </c>
      <c r="G16" s="555">
        <f t="shared" si="9"/>
        <v>2194715</v>
      </c>
      <c r="H16" s="555">
        <f t="shared" si="9"/>
        <v>2215753.9349999987</v>
      </c>
      <c r="I16" s="555"/>
      <c r="J16" s="555">
        <f t="shared" si="9"/>
        <v>1427163</v>
      </c>
      <c r="K16" s="555">
        <f t="shared" si="9"/>
        <v>1560289</v>
      </c>
      <c r="L16" s="555">
        <f t="shared" si="9"/>
        <v>1560289</v>
      </c>
      <c r="M16" s="555">
        <f t="shared" si="9"/>
        <v>1740091</v>
      </c>
      <c r="N16" s="555">
        <f t="shared" si="9"/>
        <v>1953447</v>
      </c>
      <c r="O16" s="555">
        <f t="shared" si="9"/>
        <v>2516740</v>
      </c>
      <c r="P16" s="555">
        <f t="shared" si="9"/>
        <v>3083991</v>
      </c>
      <c r="Q16" s="555">
        <f t="shared" si="9"/>
        <v>2976185</v>
      </c>
      <c r="R16" s="555">
        <f t="shared" si="9"/>
        <v>2855973</v>
      </c>
      <c r="S16" s="555">
        <f t="shared" si="9"/>
        <v>2570180</v>
      </c>
      <c r="T16" s="555">
        <f t="shared" si="9"/>
        <v>2027293</v>
      </c>
      <c r="U16" s="555">
        <f t="shared" si="9"/>
        <v>2194715</v>
      </c>
      <c r="V16" s="555">
        <f t="shared" si="9"/>
        <v>2345978.7783000004</v>
      </c>
      <c r="W16" s="555">
        <f t="shared" si="9"/>
        <v>1957428.0680400003</v>
      </c>
      <c r="X16" s="555">
        <f t="shared" si="9"/>
        <v>1950869.943</v>
      </c>
      <c r="Y16" s="555">
        <f t="shared" si="9"/>
        <v>2215753.9349999987</v>
      </c>
      <c r="Z16" s="555">
        <f t="shared" si="9"/>
        <v>2431120</v>
      </c>
      <c r="AA16" s="555">
        <f t="shared" ref="AA16:AB16" si="10">AA17-AA15</f>
        <v>2624393.0980000012</v>
      </c>
      <c r="AB16" s="555">
        <f t="shared" si="10"/>
        <v>2616398</v>
      </c>
      <c r="AD16" s="160">
        <f>AB16/AA16-1</f>
        <v>-3.0464559619876042E-3</v>
      </c>
      <c r="AE16" s="160">
        <f>AB16/X16-1</f>
        <v>0.3411442466413559</v>
      </c>
    </row>
    <row r="17" spans="1:34" ht="13" customHeight="1">
      <c r="A17" s="211"/>
      <c r="B17" s="286" t="str">
        <f>IF('Summary | Sumário'!D6=Names!B3,Names!K6,Names!L6)</f>
        <v>Securities, net of provisions for expected credit losses</v>
      </c>
      <c r="C17" s="556">
        <f>'2. BS | BP'!C8</f>
        <v>1155094</v>
      </c>
      <c r="D17" s="556">
        <f>'2. BS | BP'!D8</f>
        <v>5812622</v>
      </c>
      <c r="E17" s="556">
        <f>'2. BS | BP'!E8</f>
        <v>12757687</v>
      </c>
      <c r="F17" s="556">
        <f>'2. BS | BP'!F8</f>
        <v>12448565</v>
      </c>
      <c r="G17" s="556">
        <f>'2. BS | BP'!G8</f>
        <v>16868112</v>
      </c>
      <c r="H17" s="556">
        <f>'2. BS | BP'!H8</f>
        <v>23899551.020405103</v>
      </c>
      <c r="I17" s="147"/>
      <c r="J17" s="556">
        <f>'2. BS | BP'!J8</f>
        <v>6619726</v>
      </c>
      <c r="K17" s="556">
        <f>'2. BS | BP'!K8</f>
        <v>8230481</v>
      </c>
      <c r="L17" s="556">
        <f>'2. BS | BP'!L8</f>
        <v>13241180</v>
      </c>
      <c r="M17" s="556">
        <f>'2. BS | BP'!M8</f>
        <v>12757687</v>
      </c>
      <c r="N17" s="556">
        <f>'2. BS | BP'!N8</f>
        <v>12335401</v>
      </c>
      <c r="O17" s="556">
        <f>'2. BS | BP'!O8</f>
        <v>12710051</v>
      </c>
      <c r="P17" s="556">
        <f>'2. BS | BP'!P8</f>
        <v>13373465</v>
      </c>
      <c r="Q17" s="556">
        <f>'2. BS | BP'!Q8</f>
        <v>12448565</v>
      </c>
      <c r="R17" s="556">
        <f>'2. BS | BP'!R8</f>
        <v>12535351</v>
      </c>
      <c r="S17" s="556">
        <f>'2. BS | BP'!S8</f>
        <v>14169684</v>
      </c>
      <c r="T17" s="556">
        <f>'2. BS | BP'!T8</f>
        <v>14908297</v>
      </c>
      <c r="U17" s="556">
        <f>'2. BS | BP'!U8</f>
        <v>16868112</v>
      </c>
      <c r="V17" s="556">
        <f>'2. BS | BP'!V8</f>
        <v>18167251</v>
      </c>
      <c r="W17" s="556">
        <f>'2. BS | BP'!W8</f>
        <v>18276425.519000001</v>
      </c>
      <c r="X17" s="556">
        <f>'2. BS | BP'!X8</f>
        <v>20586354.700983003</v>
      </c>
      <c r="Y17" s="556">
        <f>'2. BS | BP'!Y8</f>
        <v>23899551.020405103</v>
      </c>
      <c r="Z17" s="556">
        <f>'2. BS | BP'!Z8</f>
        <v>24703003</v>
      </c>
      <c r="AA17" s="556">
        <f>'2. BS | BP'!AA8</f>
        <v>23860348</v>
      </c>
      <c r="AB17" s="556">
        <f>'2. BS | BP'!AB8</f>
        <v>27078010</v>
      </c>
      <c r="AC17" s="147"/>
      <c r="AD17" s="296">
        <f>AB17/AA17-1</f>
        <v>0.13485394261642791</v>
      </c>
      <c r="AE17" s="296">
        <f>AB17/X17-1</f>
        <v>0.31533777559496823</v>
      </c>
      <c r="AH17" s="159"/>
    </row>
    <row r="18" spans="1:34" ht="13" customHeight="1">
      <c r="A18" s="211"/>
      <c r="B18" s="51"/>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314"/>
      <c r="AE18" s="314"/>
    </row>
    <row r="19" spans="1:34" ht="13" customHeight="1">
      <c r="A19" s="211"/>
      <c r="B19" s="24" t="str">
        <f>IF('Summary | Sumário'!D$6=Names!B$3,Names!O20,Names!Z20)</f>
        <v>NPL  15-90 days</v>
      </c>
      <c r="C19" s="263"/>
      <c r="D19" s="263"/>
      <c r="E19" s="263"/>
      <c r="F19" s="263"/>
      <c r="G19" s="263"/>
      <c r="H19" s="263"/>
      <c r="I19" s="183"/>
      <c r="J19" s="263"/>
      <c r="K19" s="263"/>
      <c r="L19" s="263"/>
      <c r="M19" s="263"/>
      <c r="N19" s="263"/>
      <c r="O19" s="263"/>
      <c r="P19" s="263"/>
      <c r="Q19" s="263"/>
      <c r="R19" s="263"/>
      <c r="S19" s="263"/>
      <c r="T19" s="263"/>
      <c r="U19" s="263"/>
      <c r="V19" s="263"/>
      <c r="W19" s="263"/>
      <c r="X19" s="263"/>
      <c r="Y19" s="263"/>
      <c r="Z19" s="263"/>
      <c r="AA19" s="263"/>
      <c r="AB19" s="263"/>
      <c r="AC19" s="183"/>
      <c r="AD19" s="316"/>
      <c r="AE19" s="316"/>
    </row>
    <row r="20" spans="1:34" ht="13" customHeight="1">
      <c r="A20" s="211"/>
      <c r="B20" s="291" t="str">
        <f>IF('Summary | Sumário'!D$6=Names!B$3,Names!O21,Names!Z21)</f>
        <v>NPL 15-90 days</v>
      </c>
      <c r="C20" s="299">
        <v>455624.09169999999</v>
      </c>
      <c r="D20" s="299">
        <v>446506.32032</v>
      </c>
      <c r="E20" s="299">
        <f t="shared" ref="E20" si="11">M20</f>
        <v>746209.03361000016</v>
      </c>
      <c r="F20" s="299">
        <f t="shared" ref="F20" si="12">Q20</f>
        <v>1016878.29273</v>
      </c>
      <c r="G20" s="299">
        <f t="shared" ref="G20" si="13">U20</f>
        <v>1243042.1070000001</v>
      </c>
      <c r="H20" s="299">
        <f>Y20</f>
        <v>1411764.5712600001</v>
      </c>
      <c r="I20" s="215"/>
      <c r="J20" s="299">
        <v>596395.54700000002</v>
      </c>
      <c r="K20" s="299">
        <v>617864.61755000008</v>
      </c>
      <c r="L20" s="299">
        <v>650014.21071999997</v>
      </c>
      <c r="M20" s="299">
        <v>746209.03361000016</v>
      </c>
      <c r="N20" s="299">
        <v>835676.82806999981</v>
      </c>
      <c r="O20" s="299">
        <v>902517.78554999991</v>
      </c>
      <c r="P20" s="299">
        <v>950615.52880999993</v>
      </c>
      <c r="Q20" s="299">
        <v>1016878.29273</v>
      </c>
      <c r="R20" s="299">
        <v>1092071.4350000001</v>
      </c>
      <c r="S20" s="299">
        <v>1110989.1200000001</v>
      </c>
      <c r="T20" s="299">
        <v>1204856.051</v>
      </c>
      <c r="U20" s="299">
        <v>1243042.1070000001</v>
      </c>
      <c r="V20" s="299">
        <v>1417128.55651</v>
      </c>
      <c r="W20" s="299">
        <v>1401631.4272100001</v>
      </c>
      <c r="X20" s="299">
        <v>1370497.84238</v>
      </c>
      <c r="Y20" s="299">
        <v>1411764.5712600001</v>
      </c>
      <c r="Z20" s="299">
        <v>1598972.9341</v>
      </c>
      <c r="AA20" s="299">
        <v>1643915.4735399999</v>
      </c>
      <c r="AB20" s="299">
        <v>1774917.2668300003</v>
      </c>
      <c r="AC20" s="215"/>
      <c r="AD20" s="506">
        <f>AB20/AA20-1</f>
        <v>7.9688886319624341E-2</v>
      </c>
      <c r="AE20" s="506">
        <f>AB20/X20-1</f>
        <v>0.29508942804877925</v>
      </c>
    </row>
    <row r="21" spans="1:34" ht="13" customHeight="1">
      <c r="A21" s="211"/>
      <c r="B21" s="53" t="str">
        <f>IF('Summary | Sumário'!D$6=Names!B$3,Names!O22,Names!Z22)</f>
        <v>NPL 15-90 days (%)</v>
      </c>
      <c r="C21" s="225">
        <f>C20/C12</f>
        <v>9.5370982442912824E-2</v>
      </c>
      <c r="D21" s="225">
        <f t="shared" ref="D21:Z21" si="14">D20/D12</f>
        <v>5.0796743357097301E-2</v>
      </c>
      <c r="E21" s="225">
        <f t="shared" si="14"/>
        <v>4.2605297450119241E-2</v>
      </c>
      <c r="F21" s="225">
        <f t="shared" si="14"/>
        <v>4.1430841865461747E-2</v>
      </c>
      <c r="G21" s="225">
        <f t="shared" si="14"/>
        <v>4.0071198175600488E-2</v>
      </c>
      <c r="H21" s="225">
        <f t="shared" si="14"/>
        <v>3.4280430547543803E-2</v>
      </c>
      <c r="I21" s="222"/>
      <c r="J21" s="225">
        <f t="shared" si="14"/>
        <v>5.7741669034963569E-2</v>
      </c>
      <c r="K21" s="225">
        <f t="shared" si="14"/>
        <v>4.9041696604805549E-2</v>
      </c>
      <c r="L21" s="225">
        <f t="shared" si="14"/>
        <v>4.345700639486462E-2</v>
      </c>
      <c r="M21" s="225">
        <f t="shared" si="14"/>
        <v>4.2605297450119241E-2</v>
      </c>
      <c r="N21" s="225">
        <f t="shared" si="14"/>
        <v>4.5114029137614607E-2</v>
      </c>
      <c r="O21" s="225">
        <f t="shared" si="14"/>
        <v>4.5433557125597483E-2</v>
      </c>
      <c r="P21" s="225">
        <f t="shared" si="14"/>
        <v>4.314105737204002E-2</v>
      </c>
      <c r="Q21" s="225">
        <f t="shared" si="14"/>
        <v>4.1430841865461747E-2</v>
      </c>
      <c r="R21" s="225">
        <f t="shared" si="14"/>
        <v>4.3458095606172524E-2</v>
      </c>
      <c r="S21" s="225">
        <f t="shared" si="14"/>
        <v>4.1964720582480561E-2</v>
      </c>
      <c r="T21" s="225">
        <f t="shared" si="14"/>
        <v>4.2636576262433189E-2</v>
      </c>
      <c r="U21" s="225">
        <f t="shared" si="14"/>
        <v>4.0071198175600488E-2</v>
      </c>
      <c r="V21" s="225">
        <f t="shared" si="14"/>
        <v>4.4087392795071748E-2</v>
      </c>
      <c r="W21" s="225">
        <f t="shared" si="14"/>
        <v>3.9289590020879214E-2</v>
      </c>
      <c r="X21" s="225">
        <f t="shared" si="14"/>
        <v>3.6008983670181932E-2</v>
      </c>
      <c r="Y21" s="225">
        <f t="shared" si="14"/>
        <v>3.4280430547543803E-2</v>
      </c>
      <c r="Z21" s="225">
        <f t="shared" si="14"/>
        <v>3.7539033898415307E-2</v>
      </c>
      <c r="AA21" s="225">
        <f t="shared" ref="AA21" si="15">AA20/AA12</f>
        <v>3.7498374725471094E-2</v>
      </c>
      <c r="AB21" s="225">
        <f>AB20/AB12</f>
        <v>3.8018117748348602E-2</v>
      </c>
      <c r="AC21" s="222"/>
      <c r="AD21" s="501">
        <f>(AB21-AA21)*100</f>
        <v>5.1974302287750851E-2</v>
      </c>
      <c r="AE21" s="344">
        <f>(AB21-X21)*100</f>
        <v>0.20091340781666703</v>
      </c>
      <c r="AF21" s="335"/>
      <c r="AG21" s="335"/>
    </row>
    <row r="22" spans="1:34" ht="13" customHeight="1">
      <c r="A22" s="211"/>
      <c r="B22" s="51" t="str">
        <f>IF('Summary | Sumário'!D$6=Names!B$3,Names!O129,Names!Z129)</f>
        <v>NPL 15 - 90 days (excluding anticipation of credit card receivables, %)</v>
      </c>
      <c r="C22" s="222">
        <f t="shared" ref="C22:H22" si="16">C20/SUM(C12,-C11)</f>
        <v>9.5370982442912824E-2</v>
      </c>
      <c r="D22" s="222">
        <f t="shared" si="16"/>
        <v>5.0796743357097301E-2</v>
      </c>
      <c r="E22" s="222">
        <f t="shared" si="16"/>
        <v>4.3343014837280966E-2</v>
      </c>
      <c r="F22" s="222">
        <f t="shared" si="16"/>
        <v>4.4799700344888838E-2</v>
      </c>
      <c r="G22" s="222">
        <f t="shared" si="16"/>
        <v>4.1734808783996644E-2</v>
      </c>
      <c r="H22" s="222">
        <f t="shared" si="16"/>
        <v>3.9660437991675145E-2</v>
      </c>
      <c r="J22" s="222">
        <f>J20/SUM(J12,-J11)</f>
        <v>5.8225209943099196E-2</v>
      </c>
      <c r="K22" s="222">
        <f t="shared" ref="K22:AA22" si="17">K20/SUM(K12,-K11)</f>
        <v>4.9321663959500765E-2</v>
      </c>
      <c r="L22" s="222">
        <f t="shared" si="17"/>
        <v>4.3742300141930562E-2</v>
      </c>
      <c r="M22" s="222">
        <f t="shared" si="17"/>
        <v>4.3343014837280966E-2</v>
      </c>
      <c r="N22" s="222">
        <f t="shared" si="17"/>
        <v>4.5976169196443886E-2</v>
      </c>
      <c r="O22" s="222">
        <f t="shared" si="17"/>
        <v>4.6319433620822595E-2</v>
      </c>
      <c r="P22" s="222">
        <f t="shared" si="17"/>
        <v>4.5256053329574275E-2</v>
      </c>
      <c r="Q22" s="222">
        <f t="shared" si="17"/>
        <v>4.4799700344888838E-2</v>
      </c>
      <c r="R22" s="222">
        <f t="shared" si="17"/>
        <v>4.5822062207017081E-2</v>
      </c>
      <c r="S22" s="222">
        <f t="shared" si="17"/>
        <v>4.4189658142513487E-2</v>
      </c>
      <c r="T22" s="222">
        <f t="shared" si="17"/>
        <v>4.4552352735865317E-2</v>
      </c>
      <c r="U22" s="222">
        <f t="shared" si="17"/>
        <v>4.1734808783996644E-2</v>
      </c>
      <c r="V22" s="222">
        <f t="shared" si="17"/>
        <v>4.5923253875511862E-2</v>
      </c>
      <c r="W22" s="222">
        <f t="shared" si="17"/>
        <v>4.2510326089897139E-2</v>
      </c>
      <c r="X22" s="222">
        <f t="shared" si="17"/>
        <v>4.0660487638836278E-2</v>
      </c>
      <c r="Y22" s="222">
        <f t="shared" si="17"/>
        <v>3.9660437991675145E-2</v>
      </c>
      <c r="Z22" s="222">
        <f t="shared" si="17"/>
        <v>4.27586329804229E-2</v>
      </c>
      <c r="AA22" s="222">
        <f t="shared" si="17"/>
        <v>4.0856053728075457E-2</v>
      </c>
      <c r="AB22" s="222">
        <f>AB20/SUM(AB12,-AB11)</f>
        <v>4.0506467799850843E-2</v>
      </c>
      <c r="AD22" s="345">
        <f>(AB22-AA22)*100</f>
        <v>-3.4958592822461471E-2</v>
      </c>
      <c r="AE22" s="345">
        <f>(AB22-X22)*100</f>
        <v>-1.5401983898543498E-2</v>
      </c>
    </row>
    <row r="23" spans="1:34" ht="13" customHeight="1">
      <c r="A23" s="211"/>
      <c r="B23" s="116"/>
    </row>
    <row r="24" spans="1:34" ht="13" customHeight="1">
      <c r="A24" s="211"/>
      <c r="B24" s="24" t="str">
        <f>IF('Summary | Sumário'!D$6=Names!B$3,Names!O15,Names!Z15)</f>
        <v>NPL &gt; 90 days</v>
      </c>
      <c r="C24" s="263"/>
      <c r="D24" s="263"/>
      <c r="E24" s="263"/>
      <c r="F24" s="263"/>
      <c r="G24" s="263"/>
      <c r="H24" s="263"/>
      <c r="I24" s="183"/>
      <c r="J24" s="263"/>
      <c r="K24" s="263"/>
      <c r="L24" s="263"/>
      <c r="M24" s="263"/>
      <c r="N24" s="263"/>
      <c r="O24" s="263"/>
      <c r="P24" s="263"/>
      <c r="Q24" s="263"/>
      <c r="R24" s="263"/>
      <c r="S24" s="263"/>
      <c r="T24" s="263"/>
      <c r="U24" s="263"/>
      <c r="V24" s="263"/>
      <c r="W24" s="263"/>
      <c r="X24" s="263"/>
      <c r="Y24" s="263"/>
      <c r="Z24" s="263"/>
      <c r="AA24" s="263"/>
      <c r="AB24" s="263"/>
      <c r="AC24" s="183"/>
      <c r="AD24" s="316"/>
      <c r="AE24" s="316"/>
    </row>
    <row r="25" spans="1:34" ht="13" customHeight="1">
      <c r="A25" s="211"/>
      <c r="B25" s="291" t="str">
        <f>IF('Summary | Sumário'!D$6=Names!B$3,Names!O16,Names!Z16)</f>
        <v>NPL &gt; 90 days</v>
      </c>
      <c r="C25" s="299">
        <v>220389.40100000001</v>
      </c>
      <c r="D25" s="299">
        <v>269061.29599999997</v>
      </c>
      <c r="E25" s="299">
        <f t="shared" ref="E25" si="18">M25</f>
        <v>519936.66624999954</v>
      </c>
      <c r="F25" s="299">
        <f t="shared" ref="F25" si="19">Q25</f>
        <v>999522.19583999994</v>
      </c>
      <c r="G25" s="299">
        <f t="shared" ref="G25" si="20">U25</f>
        <v>1425372.2890000001</v>
      </c>
      <c r="H25" s="299">
        <f t="shared" ref="H25" si="21">Y25</f>
        <v>1737079.07705</v>
      </c>
      <c r="I25" s="215"/>
      <c r="J25" s="299">
        <v>284231.98275000002</v>
      </c>
      <c r="K25" s="299">
        <v>375711.22700000001</v>
      </c>
      <c r="L25" s="299">
        <v>451788.65100000001</v>
      </c>
      <c r="M25" s="299">
        <v>519936.66624999954</v>
      </c>
      <c r="N25" s="299">
        <v>635025.51165999984</v>
      </c>
      <c r="O25" s="299">
        <v>754933.16899999999</v>
      </c>
      <c r="P25" s="299">
        <v>838860.77459000004</v>
      </c>
      <c r="Q25" s="299">
        <v>999522.19583999994</v>
      </c>
      <c r="R25" s="299">
        <v>1112112.51</v>
      </c>
      <c r="S25" s="299">
        <v>1242634.2890000001</v>
      </c>
      <c r="T25" s="299">
        <v>1324578.226</v>
      </c>
      <c r="U25" s="299">
        <v>1425372.2890000001</v>
      </c>
      <c r="V25" s="299">
        <v>1552791.92823</v>
      </c>
      <c r="W25" s="299">
        <v>1663073.9831000001</v>
      </c>
      <c r="X25" s="299">
        <v>1719621.82455</v>
      </c>
      <c r="Y25" s="299">
        <v>1737079.07705</v>
      </c>
      <c r="Z25" s="299">
        <v>1734396.1778200001</v>
      </c>
      <c r="AA25" s="299">
        <v>1841808.08179</v>
      </c>
      <c r="AB25" s="299">
        <v>1982766.0207799999</v>
      </c>
      <c r="AC25" s="215"/>
      <c r="AD25" s="506">
        <f>AB25/AA25-1</f>
        <v>7.6532370763085611E-2</v>
      </c>
      <c r="AE25" s="506">
        <f>AB25/X25-1</f>
        <v>0.15302445716450519</v>
      </c>
    </row>
    <row r="26" spans="1:34" ht="13" customHeight="1">
      <c r="A26" s="211"/>
      <c r="B26" s="53" t="str">
        <f>IF('Summary | Sumário'!D$6=Names!B$3,Names!O17,Names!Z17)</f>
        <v>NPL &gt; 90 days (%)</v>
      </c>
      <c r="C26" s="225">
        <f>C25/C12</f>
        <v>4.613178731386007E-2</v>
      </c>
      <c r="D26" s="225">
        <f t="shared" ref="D26:Z26" si="22">D25/D12</f>
        <v>3.0609729310091011E-2</v>
      </c>
      <c r="E26" s="225">
        <f t="shared" si="22"/>
        <v>2.9686127241903896E-2</v>
      </c>
      <c r="F26" s="225">
        <f t="shared" si="22"/>
        <v>4.07236995153967E-2</v>
      </c>
      <c r="G26" s="225">
        <f t="shared" si="22"/>
        <v>4.5948866208864708E-2</v>
      </c>
      <c r="H26" s="225">
        <f t="shared" si="22"/>
        <v>4.2179708903771096E-2</v>
      </c>
      <c r="I26" s="222"/>
      <c r="J26" s="225">
        <f t="shared" si="22"/>
        <v>2.7518698219089782E-2</v>
      </c>
      <c r="K26" s="225">
        <f t="shared" si="22"/>
        <v>2.982128363105719E-2</v>
      </c>
      <c r="L26" s="225">
        <f t="shared" si="22"/>
        <v>3.0204543180505222E-2</v>
      </c>
      <c r="M26" s="225">
        <f t="shared" si="22"/>
        <v>2.9686127241903896E-2</v>
      </c>
      <c r="N26" s="225">
        <f t="shared" si="22"/>
        <v>3.428186408174301E-2</v>
      </c>
      <c r="O26" s="225">
        <f t="shared" si="22"/>
        <v>3.8004014778354349E-2</v>
      </c>
      <c r="P26" s="225">
        <f t="shared" si="22"/>
        <v>3.8069376847907885E-2</v>
      </c>
      <c r="Q26" s="225">
        <f t="shared" si="22"/>
        <v>4.07236995153967E-2</v>
      </c>
      <c r="R26" s="225">
        <f t="shared" si="22"/>
        <v>4.425561390533074E-2</v>
      </c>
      <c r="S26" s="225">
        <f t="shared" si="22"/>
        <v>4.6937273988870744E-2</v>
      </c>
      <c r="T26" s="225">
        <f t="shared" si="22"/>
        <v>4.6873218175344886E-2</v>
      </c>
      <c r="U26" s="225">
        <f t="shared" si="22"/>
        <v>4.5948866208864708E-2</v>
      </c>
      <c r="V26" s="225">
        <f t="shared" si="22"/>
        <v>4.8307930395170035E-2</v>
      </c>
      <c r="W26" s="225">
        <f t="shared" si="22"/>
        <v>4.6618172011492563E-2</v>
      </c>
      <c r="X26" s="225">
        <f t="shared" si="22"/>
        <v>4.5182000499596732E-2</v>
      </c>
      <c r="Y26" s="225">
        <f t="shared" si="22"/>
        <v>4.2179708903771096E-2</v>
      </c>
      <c r="Z26" s="225">
        <f t="shared" si="22"/>
        <v>4.0718360845246861E-2</v>
      </c>
      <c r="AA26" s="225">
        <f t="shared" ref="AA26:AB26" si="23">AA25/AA12</f>
        <v>4.2012384903609853E-2</v>
      </c>
      <c r="AB26" s="225">
        <f t="shared" si="23"/>
        <v>4.2470166612367834E-2</v>
      </c>
      <c r="AC26" s="222"/>
      <c r="AD26" s="557">
        <f>(AB26-AA26)*100</f>
        <v>4.5778170875798024E-2</v>
      </c>
      <c r="AE26" s="557">
        <f>(AB26-X26)*100</f>
        <v>-0.27118338872288983</v>
      </c>
    </row>
    <row r="27" spans="1:34" ht="13" customHeight="1">
      <c r="A27" s="211"/>
      <c r="B27" s="51" t="str">
        <f>IF('Summary | Sumário'!D$6=Names!B$3,Names!O130,Names!Z130)</f>
        <v>NPL &gt; 90 days (excluding anticipation of credit card receivables, %)</v>
      </c>
      <c r="C27" s="222">
        <f>C25/SUM(C12,-C11)</f>
        <v>4.613178731386007E-2</v>
      </c>
      <c r="D27" s="222">
        <f t="shared" ref="D27:AA27" si="24">D25/SUM(D12,-D11)</f>
        <v>3.0609729310091011E-2</v>
      </c>
      <c r="E27" s="222">
        <f t="shared" si="24"/>
        <v>3.0200147176854177E-2</v>
      </c>
      <c r="F27" s="222">
        <f t="shared" si="24"/>
        <v>4.4035058258035567E-2</v>
      </c>
      <c r="G27" s="222">
        <f t="shared" si="24"/>
        <v>4.7856496246126444E-2</v>
      </c>
      <c r="H27" s="222">
        <f t="shared" si="24"/>
        <v>4.8799437543959982E-2</v>
      </c>
      <c r="J27" s="222">
        <f t="shared" si="24"/>
        <v>2.7749145598771716E-2</v>
      </c>
      <c r="K27" s="222">
        <f t="shared" si="24"/>
        <v>2.9991526230106761E-2</v>
      </c>
      <c r="L27" s="222">
        <f t="shared" si="24"/>
        <v>3.0402834963976985E-2</v>
      </c>
      <c r="M27" s="222">
        <f t="shared" si="24"/>
        <v>3.0200147176854177E-2</v>
      </c>
      <c r="N27" s="222">
        <f t="shared" si="24"/>
        <v>3.4936998834306461E-2</v>
      </c>
      <c r="O27" s="222">
        <f t="shared" si="24"/>
        <v>3.8745027931325456E-2</v>
      </c>
      <c r="P27" s="222">
        <f t="shared" si="24"/>
        <v>3.9935733007072323E-2</v>
      </c>
      <c r="Q27" s="222">
        <f t="shared" si="24"/>
        <v>4.4035058258035567E-2</v>
      </c>
      <c r="R27" s="222">
        <f t="shared" si="24"/>
        <v>4.6662962679196812E-2</v>
      </c>
      <c r="S27" s="222">
        <f t="shared" si="24"/>
        <v>4.9425852547570676E-2</v>
      </c>
      <c r="T27" s="222">
        <f t="shared" si="24"/>
        <v>4.897935840718845E-2</v>
      </c>
      <c r="U27" s="222">
        <f t="shared" si="24"/>
        <v>4.7856496246126444E-2</v>
      </c>
      <c r="V27" s="222">
        <f t="shared" si="24"/>
        <v>5.0319540600866214E-2</v>
      </c>
      <c r="W27" s="222">
        <f t="shared" si="24"/>
        <v>5.0439663352820033E-2</v>
      </c>
      <c r="X27" s="222">
        <f t="shared" si="24"/>
        <v>5.1018439999266599E-2</v>
      </c>
      <c r="Y27" s="222">
        <f t="shared" si="24"/>
        <v>4.8799437543959982E-2</v>
      </c>
      <c r="Z27" s="222">
        <f t="shared" si="24"/>
        <v>4.638002809709578E-2</v>
      </c>
      <c r="AA27" s="222">
        <f t="shared" si="24"/>
        <v>4.5774257349360532E-2</v>
      </c>
      <c r="AB27" s="222">
        <f t="shared" ref="AB27" si="25">AB25/SUM(AB12,-AB11)</f>
        <v>4.5249910785309821E-2</v>
      </c>
    </row>
    <row r="28" spans="1:34" ht="13" customHeight="1">
      <c r="A28" s="211"/>
      <c r="B28" s="177"/>
      <c r="C28" s="177"/>
      <c r="D28" s="177"/>
      <c r="E28" s="177"/>
      <c r="F28" s="177"/>
      <c r="G28" s="177"/>
      <c r="H28" s="177"/>
      <c r="J28" s="177"/>
      <c r="K28" s="177"/>
      <c r="L28" s="177"/>
      <c r="M28" s="177"/>
      <c r="N28" s="177"/>
      <c r="O28" s="177"/>
      <c r="P28" s="177"/>
      <c r="Q28" s="177"/>
      <c r="R28" s="177"/>
      <c r="S28" s="177"/>
      <c r="T28" s="177"/>
      <c r="U28" s="177"/>
      <c r="V28" s="177"/>
      <c r="W28" s="177"/>
      <c r="X28" s="177"/>
      <c r="Y28" s="177"/>
      <c r="Z28" s="177"/>
      <c r="AA28" s="177"/>
      <c r="AB28" s="177"/>
      <c r="AD28" s="177"/>
      <c r="AE28" s="177"/>
    </row>
    <row r="29" spans="1:34" ht="13" customHeight="1">
      <c r="B29" s="3" t="str">
        <f>IF('Summary | Sumário'!D$6=Names!B$3,Names!O122,Names!Z122)</f>
        <v>Coverage Ratio</v>
      </c>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2"/>
      <c r="AE29" s="182"/>
    </row>
    <row r="30" spans="1:34" ht="13" customHeight="1">
      <c r="B30" s="288" t="str">
        <f>IF('Summary | Sumário'!D$6=Names!B$3,Names!O123,Names!Z123)</f>
        <v>Total provision</v>
      </c>
      <c r="C30" s="289">
        <f>C31+C32</f>
        <v>215563</v>
      </c>
      <c r="D30" s="289">
        <f t="shared" ref="D30:Z30" si="26">D31+D32</f>
        <v>282355</v>
      </c>
      <c r="E30" s="289">
        <f t="shared" si="26"/>
        <v>712098.27827000001</v>
      </c>
      <c r="F30" s="289">
        <f t="shared" si="26"/>
        <v>1347743</v>
      </c>
      <c r="G30" s="289">
        <f t="shared" si="26"/>
        <v>1914842</v>
      </c>
      <c r="H30" s="289">
        <f t="shared" si="26"/>
        <v>2366883</v>
      </c>
      <c r="I30" s="179"/>
      <c r="J30" s="289">
        <f t="shared" si="26"/>
        <v>334789</v>
      </c>
      <c r="K30" s="289">
        <f t="shared" si="26"/>
        <v>486763</v>
      </c>
      <c r="L30" s="289">
        <f t="shared" si="26"/>
        <v>558546</v>
      </c>
      <c r="M30" s="289">
        <f t="shared" si="26"/>
        <v>712098.27827000001</v>
      </c>
      <c r="N30" s="289">
        <f t="shared" si="26"/>
        <v>835255</v>
      </c>
      <c r="O30" s="289">
        <f t="shared" si="26"/>
        <v>1011777</v>
      </c>
      <c r="P30" s="289">
        <f t="shared" si="26"/>
        <v>1217027</v>
      </c>
      <c r="Q30" s="289">
        <f t="shared" si="26"/>
        <v>1347743</v>
      </c>
      <c r="R30" s="289">
        <f t="shared" si="26"/>
        <v>1492058</v>
      </c>
      <c r="S30" s="289">
        <f t="shared" si="26"/>
        <v>1652313</v>
      </c>
      <c r="T30" s="289">
        <f t="shared" si="26"/>
        <v>1746981</v>
      </c>
      <c r="U30" s="289">
        <f t="shared" si="26"/>
        <v>1914842</v>
      </c>
      <c r="V30" s="289">
        <f t="shared" si="26"/>
        <v>2058685.3508600041</v>
      </c>
      <c r="W30" s="289">
        <f t="shared" si="26"/>
        <v>2164911.7689999999</v>
      </c>
      <c r="X30" s="289">
        <f t="shared" si="26"/>
        <v>2227466</v>
      </c>
      <c r="Y30" s="289">
        <f t="shared" si="26"/>
        <v>2366883</v>
      </c>
      <c r="Z30" s="289">
        <f t="shared" si="26"/>
        <v>2472301</v>
      </c>
      <c r="AA30" s="289">
        <f t="shared" ref="AA30:AB30" si="27">AA31+AA32</f>
        <v>2641078</v>
      </c>
      <c r="AB30" s="289">
        <f t="shared" si="27"/>
        <v>2901155</v>
      </c>
      <c r="AC30" s="179"/>
      <c r="AD30" s="337">
        <f t="shared" ref="AD30:AD32" si="28">AB30/AA30-1</f>
        <v>9.8473805014467564E-2</v>
      </c>
      <c r="AE30" s="337">
        <f t="shared" ref="AE30:AE31" si="29">AB30/X30-1</f>
        <v>0.30244636730706542</v>
      </c>
    </row>
    <row r="31" spans="1:34" ht="13" customHeight="1">
      <c r="B31" s="525" t="str">
        <f>IF('Summary | Sumário'!D$6=Names!B$3,Names!O124,Names!Z124)</f>
        <v>Provision for expected loss</v>
      </c>
      <c r="C31" s="550">
        <f>-'5. IEP'!C22</f>
        <v>215563</v>
      </c>
      <c r="D31" s="550">
        <f>-'5. IEP'!D22</f>
        <v>282355</v>
      </c>
      <c r="E31" s="550">
        <f>-'5. IEP'!E22</f>
        <v>680932.27827000001</v>
      </c>
      <c r="F31" s="550">
        <f>-'5. IEP'!F22</f>
        <v>1318412</v>
      </c>
      <c r="G31" s="550">
        <f>-'5. IEP'!G22</f>
        <v>1883758</v>
      </c>
      <c r="H31" s="550">
        <f>-'5. IEP'!H22</f>
        <v>2268938</v>
      </c>
      <c r="I31" s="550"/>
      <c r="J31" s="550">
        <f>-'5. IEP'!J22</f>
        <v>334789</v>
      </c>
      <c r="K31" s="550">
        <f>-'5. IEP'!K22</f>
        <v>486763</v>
      </c>
      <c r="L31" s="550">
        <f>-'5. IEP'!L22</f>
        <v>558546</v>
      </c>
      <c r="M31" s="550">
        <f>-'5. IEP'!M22</f>
        <v>680932.27827000001</v>
      </c>
      <c r="N31" s="550">
        <f>-'5. IEP'!N22</f>
        <v>801672</v>
      </c>
      <c r="O31" s="550">
        <f>-'5. IEP'!O22</f>
        <v>974457</v>
      </c>
      <c r="P31" s="550">
        <f>-'5. IEP'!P22</f>
        <v>1184365</v>
      </c>
      <c r="Q31" s="550">
        <f>-'5. IEP'!Q22</f>
        <v>1318412</v>
      </c>
      <c r="R31" s="550">
        <f>-'5. IEP'!R22</f>
        <v>1461707</v>
      </c>
      <c r="S31" s="550">
        <f>-'5. IEP'!S22</f>
        <v>1617401</v>
      </c>
      <c r="T31" s="550">
        <f>-'5. IEP'!T22-T32</f>
        <v>1719103.01</v>
      </c>
      <c r="U31" s="550">
        <f>-'5. IEP'!U22</f>
        <v>1883758</v>
      </c>
      <c r="V31" s="550">
        <f>-'5. IEP'!V22</f>
        <v>2031628</v>
      </c>
      <c r="W31" s="550">
        <f>-'5. IEP'!W22</f>
        <v>2164911.7689999999</v>
      </c>
      <c r="X31" s="550">
        <f>-'5. IEP'!X22</f>
        <v>2227466</v>
      </c>
      <c r="Y31" s="550">
        <f>-'5. IEP'!Y22</f>
        <v>2268938</v>
      </c>
      <c r="Z31" s="550">
        <f>-'5. IEP'!Z22</f>
        <v>2307044</v>
      </c>
      <c r="AA31" s="550">
        <f>-'5. IEP'!AA22</f>
        <v>2457260</v>
      </c>
      <c r="AB31" s="550">
        <f>-'5. IEP'!AB22</f>
        <v>2704536</v>
      </c>
      <c r="AC31" s="228"/>
      <c r="AD31" s="222">
        <f t="shared" si="28"/>
        <v>0.10063078388123348</v>
      </c>
      <c r="AE31" s="222">
        <f t="shared" si="29"/>
        <v>0.21417610863645065</v>
      </c>
    </row>
    <row r="32" spans="1:34" ht="13" customHeight="1">
      <c r="B32" s="526" t="str">
        <f>IF('Summary | Sumário'!D$6=Names!B$3,Names!O125,Names!Z125)</f>
        <v>Provision for expected credit losses on loan commitments</v>
      </c>
      <c r="C32" s="214">
        <v>0</v>
      </c>
      <c r="D32" s="214">
        <v>0</v>
      </c>
      <c r="E32" s="214">
        <f t="shared" ref="E32:E34" si="30">M32</f>
        <v>31166</v>
      </c>
      <c r="F32" s="214">
        <f t="shared" ref="F32:F34" si="31">Q32</f>
        <v>29331</v>
      </c>
      <c r="G32" s="214">
        <f t="shared" ref="G32:G34" si="32">U32</f>
        <v>31084</v>
      </c>
      <c r="H32" s="214">
        <f t="shared" ref="H32:H34" si="33">Y32</f>
        <v>97945</v>
      </c>
      <c r="I32" s="228"/>
      <c r="J32" s="214">
        <v>0</v>
      </c>
      <c r="K32" s="214">
        <v>0</v>
      </c>
      <c r="L32" s="214">
        <v>0</v>
      </c>
      <c r="M32" s="214">
        <v>31166</v>
      </c>
      <c r="N32" s="214">
        <v>33583</v>
      </c>
      <c r="O32" s="214">
        <v>37320</v>
      </c>
      <c r="P32" s="214">
        <v>32662</v>
      </c>
      <c r="Q32" s="214">
        <v>29331</v>
      </c>
      <c r="R32" s="214">
        <v>30351</v>
      </c>
      <c r="S32" s="214">
        <v>34912</v>
      </c>
      <c r="T32" s="214">
        <v>27877.99</v>
      </c>
      <c r="U32" s="214">
        <v>31084</v>
      </c>
      <c r="V32" s="214">
        <v>27057.350860004004</v>
      </c>
      <c r="W32" s="214">
        <v>0</v>
      </c>
      <c r="X32" s="214">
        <v>0</v>
      </c>
      <c r="Y32" s="214">
        <v>97945</v>
      </c>
      <c r="Z32" s="214">
        <v>165257</v>
      </c>
      <c r="AA32" s="214">
        <v>183818</v>
      </c>
      <c r="AB32" s="214">
        <v>196619</v>
      </c>
      <c r="AC32" s="228"/>
      <c r="AD32" s="527">
        <f t="shared" si="28"/>
        <v>6.9639534757205412E-2</v>
      </c>
      <c r="AE32" s="527" t="s">
        <v>1125</v>
      </c>
    </row>
    <row r="33" spans="2:31" ht="13" customHeight="1">
      <c r="B33" s="679" t="str">
        <f>IF('Summary | Sumário'!D$6=Names!B$3,Names!O127,Names!Z127)</f>
        <v>(÷) NPL &gt; 90 days</v>
      </c>
      <c r="C33" s="215">
        <f>C25</f>
        <v>220389.40100000001</v>
      </c>
      <c r="D33" s="215">
        <f>D25</f>
        <v>269061.29599999997</v>
      </c>
      <c r="E33" s="215">
        <f t="shared" si="30"/>
        <v>519936.66624999954</v>
      </c>
      <c r="F33" s="215">
        <f t="shared" si="31"/>
        <v>999522.19583999994</v>
      </c>
      <c r="G33" s="215">
        <f t="shared" si="32"/>
        <v>1425372.2890000001</v>
      </c>
      <c r="H33" s="215">
        <f t="shared" si="33"/>
        <v>1737079.07705</v>
      </c>
      <c r="I33" s="215"/>
      <c r="J33" s="215">
        <f t="shared" ref="J33:Z33" si="34">J25</f>
        <v>284231.98275000002</v>
      </c>
      <c r="K33" s="215">
        <f t="shared" si="34"/>
        <v>375711.22700000001</v>
      </c>
      <c r="L33" s="215">
        <f t="shared" si="34"/>
        <v>451788.65100000001</v>
      </c>
      <c r="M33" s="215">
        <f t="shared" si="34"/>
        <v>519936.66624999954</v>
      </c>
      <c r="N33" s="215">
        <f t="shared" si="34"/>
        <v>635025.51165999984</v>
      </c>
      <c r="O33" s="215">
        <f t="shared" si="34"/>
        <v>754933.16899999999</v>
      </c>
      <c r="P33" s="215">
        <f t="shared" si="34"/>
        <v>838860.77459000004</v>
      </c>
      <c r="Q33" s="215">
        <f t="shared" si="34"/>
        <v>999522.19583999994</v>
      </c>
      <c r="R33" s="215">
        <f t="shared" si="34"/>
        <v>1112112.51</v>
      </c>
      <c r="S33" s="215">
        <f t="shared" si="34"/>
        <v>1242634.2890000001</v>
      </c>
      <c r="T33" s="215">
        <f t="shared" si="34"/>
        <v>1324578.226</v>
      </c>
      <c r="U33" s="215">
        <f t="shared" si="34"/>
        <v>1425372.2890000001</v>
      </c>
      <c r="V33" s="215">
        <f t="shared" si="34"/>
        <v>1552791.92823</v>
      </c>
      <c r="W33" s="215">
        <f t="shared" si="34"/>
        <v>1663073.9831000001</v>
      </c>
      <c r="X33" s="215">
        <f t="shared" si="34"/>
        <v>1719621.82455</v>
      </c>
      <c r="Y33" s="215">
        <f t="shared" si="34"/>
        <v>1737079.07705</v>
      </c>
      <c r="Z33" s="215">
        <f t="shared" si="34"/>
        <v>1734396.1778200001</v>
      </c>
      <c r="AA33" s="215">
        <f t="shared" ref="AA33:AB33" si="35">AA25</f>
        <v>1841808.08179</v>
      </c>
      <c r="AB33" s="215">
        <f t="shared" si="35"/>
        <v>1982766.0207799999</v>
      </c>
      <c r="AC33" s="215"/>
      <c r="AD33" s="228">
        <f t="shared" ref="AD33" si="36">AB33/AA33-1</f>
        <v>7.6532370763085611E-2</v>
      </c>
      <c r="AE33" s="228">
        <f t="shared" ref="AE33" si="37">AB33/X33-1</f>
        <v>0.15302445716450519</v>
      </c>
    </row>
    <row r="34" spans="2:31" ht="13" customHeight="1">
      <c r="B34" s="286" t="str">
        <f>IF('Summary | Sumário'!D$6=Names!B$3,Names!O126,Names!Z126)</f>
        <v>Coverage ratio (%)</v>
      </c>
      <c r="C34" s="296">
        <f t="shared" ref="C34:D34" si="38">K34</f>
        <v>1.2955774675319989</v>
      </c>
      <c r="D34" s="296">
        <f t="shared" si="38"/>
        <v>1.2362993155399116</v>
      </c>
      <c r="E34" s="296">
        <f t="shared" si="30"/>
        <v>1.3695865756226624</v>
      </c>
      <c r="F34" s="296">
        <f t="shared" si="31"/>
        <v>1.3483872650445294</v>
      </c>
      <c r="G34" s="296">
        <f t="shared" si="32"/>
        <v>1.343397801947867</v>
      </c>
      <c r="H34" s="296">
        <f t="shared" si="33"/>
        <v>1.3625649121395018</v>
      </c>
      <c r="I34" s="147"/>
      <c r="J34" s="296">
        <f t="shared" ref="J34:X34" si="39">J30/J33</f>
        <v>1.1778723729850911</v>
      </c>
      <c r="K34" s="296">
        <f t="shared" si="39"/>
        <v>1.2955774675319989</v>
      </c>
      <c r="L34" s="296">
        <f t="shared" si="39"/>
        <v>1.2362993155399116</v>
      </c>
      <c r="M34" s="296">
        <f t="shared" si="39"/>
        <v>1.3695865756226624</v>
      </c>
      <c r="N34" s="296">
        <f t="shared" si="39"/>
        <v>1.3153093610626549</v>
      </c>
      <c r="O34" s="296">
        <f t="shared" si="39"/>
        <v>1.3402206202440683</v>
      </c>
      <c r="P34" s="296">
        <f t="shared" si="39"/>
        <v>1.4508092842877671</v>
      </c>
      <c r="Q34" s="296">
        <f t="shared" si="39"/>
        <v>1.3483872650445294</v>
      </c>
      <c r="R34" s="296">
        <f t="shared" si="39"/>
        <v>1.3416430321424944</v>
      </c>
      <c r="S34" s="296">
        <f t="shared" si="39"/>
        <v>1.3296856642590198</v>
      </c>
      <c r="T34" s="296">
        <f t="shared" si="39"/>
        <v>1.3188960574080884</v>
      </c>
      <c r="U34" s="296">
        <f t="shared" si="39"/>
        <v>1.343397801947867</v>
      </c>
      <c r="V34" s="296">
        <f t="shared" si="39"/>
        <v>1.325796015185797</v>
      </c>
      <c r="W34" s="296">
        <f t="shared" si="39"/>
        <v>1.3017531336546826</v>
      </c>
      <c r="X34" s="296">
        <f t="shared" si="39"/>
        <v>1.2953231740838689</v>
      </c>
      <c r="Y34" s="296">
        <f>Y30/Y33</f>
        <v>1.3625649121395018</v>
      </c>
      <c r="Z34" s="296">
        <f>Z30/Z33</f>
        <v>1.4254534411552315</v>
      </c>
      <c r="AA34" s="296">
        <f>AA30/AA33</f>
        <v>1.4339593935505011</v>
      </c>
      <c r="AB34" s="296">
        <f>AB30/AB33</f>
        <v>1.4631857564609239</v>
      </c>
      <c r="AC34" s="147"/>
      <c r="AD34" s="560">
        <f>(AB34-AA34)*100</f>
        <v>2.9226362910422798</v>
      </c>
      <c r="AE34" s="560">
        <f>(AB34-X34)*100</f>
        <v>16.786258237705496</v>
      </c>
    </row>
    <row r="35" spans="2:31" ht="13" customHeight="1">
      <c r="B35" s="116"/>
    </row>
    <row r="36" spans="2:31" ht="13" customHeight="1">
      <c r="B36" s="24" t="str">
        <f>IF('Summary | Sumário'!D$6=Names!B$3,Names!R4,Names!S4)</f>
        <v>All-in Cost of Risk (%)</v>
      </c>
      <c r="C36" s="263"/>
      <c r="D36" s="263"/>
      <c r="E36" s="263"/>
      <c r="F36" s="263"/>
      <c r="G36" s="263"/>
      <c r="H36" s="263"/>
      <c r="I36" s="183"/>
      <c r="J36" s="263"/>
      <c r="K36" s="263"/>
      <c r="L36" s="263"/>
      <c r="M36" s="263"/>
      <c r="N36" s="263"/>
      <c r="O36" s="263"/>
      <c r="P36" s="263"/>
      <c r="Q36" s="263"/>
      <c r="R36" s="263"/>
      <c r="S36" s="263"/>
      <c r="T36" s="263"/>
      <c r="U36" s="263"/>
      <c r="V36" s="263"/>
      <c r="W36" s="263"/>
      <c r="X36" s="263"/>
      <c r="Y36" s="263"/>
      <c r="Z36" s="263"/>
      <c r="AA36" s="263"/>
      <c r="AB36" s="263"/>
      <c r="AC36" s="183"/>
      <c r="AD36" s="316"/>
      <c r="AE36" s="316"/>
    </row>
    <row r="37" spans="2:31" ht="13" customHeight="1">
      <c r="B37" s="291" t="str">
        <f>IF('Summary | Sumário'!D$6=Names!B$3,Names!AL12,Names!AM12)</f>
        <v>Anuallized impairment losses on financial assets</v>
      </c>
      <c r="C37" s="292">
        <f>C38</f>
        <v>138570</v>
      </c>
      <c r="D37" s="292">
        <f t="shared" ref="D37:H37" si="40">D38</f>
        <v>213688</v>
      </c>
      <c r="E37" s="292">
        <f t="shared" si="40"/>
        <v>595581</v>
      </c>
      <c r="F37" s="292">
        <f t="shared" si="40"/>
        <v>1083237</v>
      </c>
      <c r="G37" s="292">
        <f t="shared" si="40"/>
        <v>1541584</v>
      </c>
      <c r="H37" s="292">
        <f t="shared" si="40"/>
        <v>1799452.3359999999</v>
      </c>
      <c r="I37" s="179"/>
      <c r="J37" s="292">
        <f>J38*4</f>
        <v>426676</v>
      </c>
      <c r="K37" s="292">
        <f t="shared" ref="K37:AB37" si="41">K38*4</f>
        <v>669764</v>
      </c>
      <c r="L37" s="292">
        <f t="shared" si="41"/>
        <v>552020</v>
      </c>
      <c r="M37" s="292">
        <f t="shared" si="41"/>
        <v>733864</v>
      </c>
      <c r="N37" s="292">
        <f t="shared" si="41"/>
        <v>1251784</v>
      </c>
      <c r="O37" s="292">
        <f t="shared" si="41"/>
        <v>969856</v>
      </c>
      <c r="P37" s="292">
        <f t="shared" si="41"/>
        <v>1052452</v>
      </c>
      <c r="Q37" s="292">
        <f t="shared" si="41"/>
        <v>1058856</v>
      </c>
      <c r="R37" s="292">
        <f t="shared" si="41"/>
        <v>1402724</v>
      </c>
      <c r="S37" s="292">
        <f t="shared" si="41"/>
        <v>1594240</v>
      </c>
      <c r="T37" s="292">
        <f t="shared" si="41"/>
        <v>1631596</v>
      </c>
      <c r="U37" s="292">
        <f t="shared" si="41"/>
        <v>1537776</v>
      </c>
      <c r="V37" s="292">
        <f t="shared" si="41"/>
        <v>1644192</v>
      </c>
      <c r="W37" s="292">
        <f t="shared" si="41"/>
        <v>1684990.6440000001</v>
      </c>
      <c r="X37" s="292">
        <f t="shared" si="41"/>
        <v>1885706.6</v>
      </c>
      <c r="Y37" s="292">
        <f t="shared" si="41"/>
        <v>1982920.0999999987</v>
      </c>
      <c r="Z37" s="292">
        <f t="shared" si="41"/>
        <v>2054725.6</v>
      </c>
      <c r="AA37" s="292">
        <f t="shared" si="41"/>
        <v>2276996</v>
      </c>
      <c r="AB37" s="292">
        <f t="shared" si="41"/>
        <v>2563184</v>
      </c>
      <c r="AC37" s="179"/>
      <c r="AD37" s="339">
        <f t="shared" ref="AD37:AD42" si="42">AB37/AA37-1</f>
        <v>0.12568665030592929</v>
      </c>
      <c r="AE37" s="339">
        <f t="shared" ref="AE37:AE42" si="43">AB37/X37-1</f>
        <v>0.35926978247835573</v>
      </c>
    </row>
    <row r="38" spans="2:31" ht="13" customHeight="1">
      <c r="B38" s="59" t="str">
        <f>IF('Summary | Sumário'!D$6=Names!B$3,Names!AL13,Names!AM13)</f>
        <v>Impairment losses on financial assets</v>
      </c>
      <c r="C38" s="221">
        <f>-'3. IS | DRE'!C14</f>
        <v>138570</v>
      </c>
      <c r="D38" s="221">
        <f>-'3. IS | DRE'!D14</f>
        <v>213688</v>
      </c>
      <c r="E38" s="221">
        <f>-'3. IS | DRE'!E14</f>
        <v>595581</v>
      </c>
      <c r="F38" s="221">
        <f>-'3. IS | DRE'!F14</f>
        <v>1083237</v>
      </c>
      <c r="G38" s="221">
        <f>-'3. IS | DRE'!G14</f>
        <v>1541584</v>
      </c>
      <c r="H38" s="221">
        <f>-'3. IS | DRE'!H14</f>
        <v>1799452.3359999999</v>
      </c>
      <c r="I38" s="220"/>
      <c r="J38" s="221">
        <f>-'3. IS | DRE'!J14</f>
        <v>106669</v>
      </c>
      <c r="K38" s="221">
        <f>-'3. IS | DRE'!K14</f>
        <v>167441</v>
      </c>
      <c r="L38" s="221">
        <f>-'3. IS | DRE'!L14</f>
        <v>138005</v>
      </c>
      <c r="M38" s="221">
        <f>-'3. IS | DRE'!M14</f>
        <v>183466</v>
      </c>
      <c r="N38" s="221">
        <f>-'3. IS | DRE'!N14</f>
        <v>312946</v>
      </c>
      <c r="O38" s="221">
        <f>-'3. IS | DRE'!O14</f>
        <v>242464</v>
      </c>
      <c r="P38" s="221">
        <f>-'3. IS | DRE'!P14</f>
        <v>263113</v>
      </c>
      <c r="Q38" s="221">
        <f>-'3. IS | DRE'!Q14</f>
        <v>264714</v>
      </c>
      <c r="R38" s="221">
        <f>-'3. IS | DRE'!R14</f>
        <v>350681</v>
      </c>
      <c r="S38" s="221">
        <f>-'3. IS | DRE'!S14</f>
        <v>398560</v>
      </c>
      <c r="T38" s="221">
        <f>-'3. IS | DRE'!T14</f>
        <v>407899</v>
      </c>
      <c r="U38" s="221">
        <f>-'3. IS | DRE'!U14</f>
        <v>384444</v>
      </c>
      <c r="V38" s="221">
        <f>-'3. IS | DRE'!V14</f>
        <v>411048</v>
      </c>
      <c r="W38" s="221">
        <f>-'3. IS | DRE'!W14</f>
        <v>421247.66100000002</v>
      </c>
      <c r="X38" s="221">
        <f>-'3. IS | DRE'!X14</f>
        <v>471426.65</v>
      </c>
      <c r="Y38" s="221">
        <f>-'3. IS | DRE'!Y14</f>
        <v>495730.02499999967</v>
      </c>
      <c r="Z38" s="221">
        <f>-'3. IS | DRE'!Z14</f>
        <v>513681.4</v>
      </c>
      <c r="AA38" s="221">
        <f>-'3. IS | DRE'!AA14</f>
        <v>569249</v>
      </c>
      <c r="AB38" s="221">
        <f>-'3. IS | DRE'!AB14</f>
        <v>640796</v>
      </c>
      <c r="AD38" s="233">
        <f t="shared" si="42"/>
        <v>0.12568665030592929</v>
      </c>
      <c r="AE38" s="233">
        <f t="shared" si="43"/>
        <v>0.35926978247835573</v>
      </c>
    </row>
    <row r="39" spans="2:31" ht="13" customHeight="1">
      <c r="B39" s="116" t="str">
        <f>IF('Summary | Sumário'!D$6=Names!B$3,Names!R2,Names!S2)</f>
        <v>Average portfolio that generates provision expenses</v>
      </c>
      <c r="C39" s="555">
        <f>C40</f>
        <v>4777387</v>
      </c>
      <c r="D39" s="555">
        <f t="shared" ref="D39:G39" si="44">AVERAGE(C40:D40)</f>
        <v>6783722.5</v>
      </c>
      <c r="E39" s="555">
        <f t="shared" si="44"/>
        <v>14022307.5</v>
      </c>
      <c r="F39" s="555">
        <f t="shared" si="44"/>
        <v>23387367.5</v>
      </c>
      <c r="G39" s="555">
        <f t="shared" si="44"/>
        <v>30367865</v>
      </c>
      <c r="H39" s="555">
        <f>AVERAGE(G40:H40)</f>
        <v>38307059.620080002</v>
      </c>
      <c r="J39" s="555">
        <f>J40</f>
        <v>11755848.6263</v>
      </c>
      <c r="K39" s="555">
        <f>AVERAGE(J40:K40)</f>
        <v>12957449.34365</v>
      </c>
      <c r="L39" s="555">
        <f t="shared" ref="L39:AB39" si="45">AVERAGE(K40:L40)</f>
        <v>15338488.9965</v>
      </c>
      <c r="M39" s="555">
        <f t="shared" si="45"/>
        <v>17886242.465999998</v>
      </c>
      <c r="N39" s="555">
        <f t="shared" si="45"/>
        <v>19865830.792999998</v>
      </c>
      <c r="O39" s="555">
        <f t="shared" si="45"/>
        <v>21429204.097999997</v>
      </c>
      <c r="P39" s="555">
        <f t="shared" si="45"/>
        <v>23750174.305</v>
      </c>
      <c r="Q39" s="555">
        <f t="shared" si="45"/>
        <v>26319611.5</v>
      </c>
      <c r="R39" s="555">
        <f t="shared" si="45"/>
        <v>27752724.5</v>
      </c>
      <c r="S39" s="555">
        <f t="shared" si="45"/>
        <v>28514905.5</v>
      </c>
      <c r="T39" s="555">
        <f t="shared" si="45"/>
        <v>29665288</v>
      </c>
      <c r="U39" s="555">
        <f t="shared" si="45"/>
        <v>31750794</v>
      </c>
      <c r="V39" s="555">
        <f t="shared" si="45"/>
        <v>33852577.155125096</v>
      </c>
      <c r="W39" s="555">
        <f t="shared" si="45"/>
        <v>36060700.897435099</v>
      </c>
      <c r="X39" s="555">
        <f t="shared" si="45"/>
        <v>38821278.115335003</v>
      </c>
      <c r="Y39" s="555">
        <f t="shared" si="45"/>
        <v>41704661.993105002</v>
      </c>
      <c r="Z39" s="555">
        <f t="shared" si="45"/>
        <v>44212314.120080002</v>
      </c>
      <c r="AA39" s="555">
        <f t="shared" si="45"/>
        <v>45745050.049000002</v>
      </c>
      <c r="AB39" s="555">
        <f t="shared" si="45"/>
        <v>47883263.549000002</v>
      </c>
      <c r="AD39" s="160">
        <f t="shared" si="42"/>
        <v>4.6741964381056489E-2</v>
      </c>
      <c r="AE39" s="160">
        <f t="shared" si="43"/>
        <v>0.23342831234825767</v>
      </c>
    </row>
    <row r="40" spans="2:31" ht="13" customHeight="1">
      <c r="B40" s="59" t="str">
        <f>IF('Summary | Sumário'!D$6=Names!B$3,Names!R3,Names!S3)</f>
        <v>Portfolio that generates provision expenses</v>
      </c>
      <c r="C40" s="558">
        <f>C41+C42</f>
        <v>4777387</v>
      </c>
      <c r="D40" s="558">
        <f t="shared" ref="D40:Z40" si="46">D41+D42</f>
        <v>8790058</v>
      </c>
      <c r="E40" s="558">
        <f t="shared" si="46"/>
        <v>19254557</v>
      </c>
      <c r="F40" s="558">
        <f t="shared" si="46"/>
        <v>27520178</v>
      </c>
      <c r="G40" s="558">
        <f t="shared" si="46"/>
        <v>33215552</v>
      </c>
      <c r="H40" s="558">
        <f t="shared" si="46"/>
        <v>43398567.240160003</v>
      </c>
      <c r="I40" s="555"/>
      <c r="J40" s="558">
        <f t="shared" si="46"/>
        <v>11755848.6263</v>
      </c>
      <c r="K40" s="558">
        <f t="shared" si="46"/>
        <v>14159050.061000001</v>
      </c>
      <c r="L40" s="558">
        <f t="shared" si="46"/>
        <v>16517927.932</v>
      </c>
      <c r="M40" s="558">
        <f t="shared" si="46"/>
        <v>19254557</v>
      </c>
      <c r="N40" s="558">
        <f t="shared" si="46"/>
        <v>20477104.585999999</v>
      </c>
      <c r="O40" s="558">
        <f t="shared" si="46"/>
        <v>22381303.609999999</v>
      </c>
      <c r="P40" s="558">
        <f t="shared" si="46"/>
        <v>25119045</v>
      </c>
      <c r="Q40" s="558">
        <f t="shared" si="46"/>
        <v>27520178</v>
      </c>
      <c r="R40" s="558">
        <f t="shared" si="46"/>
        <v>27985271</v>
      </c>
      <c r="S40" s="558">
        <f t="shared" si="46"/>
        <v>29044540</v>
      </c>
      <c r="T40" s="558">
        <f t="shared" si="46"/>
        <v>30286036</v>
      </c>
      <c r="U40" s="558">
        <f t="shared" si="46"/>
        <v>33215552</v>
      </c>
      <c r="V40" s="558">
        <f t="shared" si="46"/>
        <v>34489602.3102502</v>
      </c>
      <c r="W40" s="558">
        <f t="shared" si="46"/>
        <v>37631799.484619997</v>
      </c>
      <c r="X40" s="558">
        <f t="shared" si="46"/>
        <v>40010756.74605</v>
      </c>
      <c r="Y40" s="558">
        <f t="shared" si="46"/>
        <v>43398567.240160003</v>
      </c>
      <c r="Z40" s="558">
        <f t="shared" si="46"/>
        <v>45026061</v>
      </c>
      <c r="AA40" s="558">
        <f t="shared" ref="AA40:AB40" si="47">AA41+AA42</f>
        <v>46464039.098000005</v>
      </c>
      <c r="AB40" s="558">
        <f t="shared" si="47"/>
        <v>49302488</v>
      </c>
      <c r="AD40" s="233">
        <f t="shared" si="42"/>
        <v>6.1089155336092382E-2</v>
      </c>
      <c r="AE40" s="233">
        <f t="shared" si="43"/>
        <v>0.23223083014712809</v>
      </c>
    </row>
    <row r="41" spans="2:31" ht="13" customHeight="1">
      <c r="B41" s="518" t="str">
        <f>IF('Summary | Sumário'!D$6=Names!B$3,Names!AL15,Names!AM15)</f>
        <v>Gross loan portfolio</v>
      </c>
      <c r="C41" s="555">
        <f>C12</f>
        <v>4777387</v>
      </c>
      <c r="D41" s="555">
        <f t="shared" ref="D41:Z41" si="48">D12</f>
        <v>8790058</v>
      </c>
      <c r="E41" s="555">
        <f t="shared" si="48"/>
        <v>17514466</v>
      </c>
      <c r="F41" s="555">
        <f t="shared" si="48"/>
        <v>24543993</v>
      </c>
      <c r="G41" s="555">
        <f t="shared" si="48"/>
        <v>31020837</v>
      </c>
      <c r="H41" s="555">
        <f t="shared" si="48"/>
        <v>41182813.305160001</v>
      </c>
      <c r="I41" s="555"/>
      <c r="J41" s="555">
        <f t="shared" si="48"/>
        <v>10328685.6263</v>
      </c>
      <c r="K41" s="555">
        <f t="shared" si="48"/>
        <v>12598761.061000001</v>
      </c>
      <c r="L41" s="555">
        <f t="shared" si="48"/>
        <v>14957638.932</v>
      </c>
      <c r="M41" s="555">
        <f t="shared" si="48"/>
        <v>17514466</v>
      </c>
      <c r="N41" s="555">
        <f t="shared" si="48"/>
        <v>18523657.585999999</v>
      </c>
      <c r="O41" s="555">
        <f t="shared" si="48"/>
        <v>19864563.609999999</v>
      </c>
      <c r="P41" s="555">
        <f t="shared" si="48"/>
        <v>22035054</v>
      </c>
      <c r="Q41" s="555">
        <f t="shared" si="48"/>
        <v>24543993</v>
      </c>
      <c r="R41" s="555">
        <f t="shared" si="48"/>
        <v>25129298</v>
      </c>
      <c r="S41" s="555">
        <f t="shared" si="48"/>
        <v>26474360</v>
      </c>
      <c r="T41" s="555">
        <f t="shared" si="48"/>
        <v>28258743</v>
      </c>
      <c r="U41" s="555">
        <f t="shared" si="48"/>
        <v>31020837</v>
      </c>
      <c r="V41" s="555">
        <f t="shared" si="48"/>
        <v>32143623.531950202</v>
      </c>
      <c r="W41" s="555">
        <f t="shared" si="48"/>
        <v>35674371.416579999</v>
      </c>
      <c r="X41" s="555">
        <f t="shared" si="48"/>
        <v>38059886.803049996</v>
      </c>
      <c r="Y41" s="555">
        <f t="shared" si="48"/>
        <v>41182813.305160001</v>
      </c>
      <c r="Z41" s="555">
        <f t="shared" si="48"/>
        <v>42594941</v>
      </c>
      <c r="AA41" s="555">
        <f t="shared" ref="AA41:AB41" si="49">AA12</f>
        <v>43839646</v>
      </c>
      <c r="AB41" s="555">
        <f t="shared" si="49"/>
        <v>46686090</v>
      </c>
      <c r="AD41" s="160">
        <f t="shared" si="42"/>
        <v>6.4928535234978879E-2</v>
      </c>
      <c r="AE41" s="160">
        <f t="shared" si="43"/>
        <v>0.22664815693195206</v>
      </c>
    </row>
    <row r="42" spans="2:31" ht="13" customHeight="1">
      <c r="B42" s="559" t="str">
        <f>IF('Summary | Sumário'!D6=Names!B3,Names!V6,Names!W6)</f>
        <v>Private securities</v>
      </c>
      <c r="C42" s="558">
        <f>C16</f>
        <v>0</v>
      </c>
      <c r="D42" s="558">
        <f t="shared" ref="D42:Z42" si="50">D16</f>
        <v>0</v>
      </c>
      <c r="E42" s="558">
        <f t="shared" si="50"/>
        <v>1740091</v>
      </c>
      <c r="F42" s="558">
        <f t="shared" si="50"/>
        <v>2976185</v>
      </c>
      <c r="G42" s="558">
        <f t="shared" si="50"/>
        <v>2194715</v>
      </c>
      <c r="H42" s="558">
        <f t="shared" si="50"/>
        <v>2215753.9349999987</v>
      </c>
      <c r="I42" s="555"/>
      <c r="J42" s="558">
        <f t="shared" si="50"/>
        <v>1427163</v>
      </c>
      <c r="K42" s="558">
        <f t="shared" si="50"/>
        <v>1560289</v>
      </c>
      <c r="L42" s="558">
        <f t="shared" si="50"/>
        <v>1560289</v>
      </c>
      <c r="M42" s="558">
        <f t="shared" si="50"/>
        <v>1740091</v>
      </c>
      <c r="N42" s="558">
        <f t="shared" si="50"/>
        <v>1953447</v>
      </c>
      <c r="O42" s="558">
        <f t="shared" si="50"/>
        <v>2516740</v>
      </c>
      <c r="P42" s="558">
        <f t="shared" si="50"/>
        <v>3083991</v>
      </c>
      <c r="Q42" s="558">
        <f t="shared" si="50"/>
        <v>2976185</v>
      </c>
      <c r="R42" s="558">
        <f t="shared" si="50"/>
        <v>2855973</v>
      </c>
      <c r="S42" s="558">
        <f t="shared" si="50"/>
        <v>2570180</v>
      </c>
      <c r="T42" s="558">
        <f t="shared" si="50"/>
        <v>2027293</v>
      </c>
      <c r="U42" s="558">
        <f t="shared" si="50"/>
        <v>2194715</v>
      </c>
      <c r="V42" s="558">
        <f t="shared" si="50"/>
        <v>2345978.7783000004</v>
      </c>
      <c r="W42" s="558">
        <f t="shared" si="50"/>
        <v>1957428.0680400003</v>
      </c>
      <c r="X42" s="558">
        <f t="shared" si="50"/>
        <v>1950869.943</v>
      </c>
      <c r="Y42" s="558">
        <f t="shared" si="50"/>
        <v>2215753.9349999987</v>
      </c>
      <c r="Z42" s="558">
        <f t="shared" si="50"/>
        <v>2431120</v>
      </c>
      <c r="AA42" s="558">
        <f t="shared" ref="AA42:AB42" si="51">AA16</f>
        <v>2624393.0980000012</v>
      </c>
      <c r="AB42" s="558">
        <f t="shared" si="51"/>
        <v>2616398</v>
      </c>
      <c r="AD42" s="233">
        <f t="shared" si="42"/>
        <v>-3.0464559619876042E-3</v>
      </c>
      <c r="AE42" s="233">
        <f t="shared" si="43"/>
        <v>0.3411442466413559</v>
      </c>
    </row>
    <row r="43" spans="2:31" ht="13" customHeight="1">
      <c r="B43" s="287" t="str">
        <f>IF('Summary | Sumário'!D$6=Names!B$3,Names!R5,Names!S5)</f>
        <v>All-in cost of risk (%)</v>
      </c>
      <c r="C43" s="297">
        <f>C37/C39</f>
        <v>2.9005395627358637E-2</v>
      </c>
      <c r="D43" s="297">
        <f t="shared" ref="D43:Z43" si="52">D37/D39</f>
        <v>3.1500109268915409E-2</v>
      </c>
      <c r="E43" s="297">
        <f t="shared" si="52"/>
        <v>4.2473822514589699E-2</v>
      </c>
      <c r="F43" s="297">
        <f t="shared" si="52"/>
        <v>4.6317183838668459E-2</v>
      </c>
      <c r="G43" s="297">
        <f t="shared" si="52"/>
        <v>5.0763660863218409E-2</v>
      </c>
      <c r="H43" s="297">
        <f t="shared" si="52"/>
        <v>4.6974431184395926E-2</v>
      </c>
      <c r="I43" s="324"/>
      <c r="J43" s="297">
        <f t="shared" si="52"/>
        <v>3.6294785137454662E-2</v>
      </c>
      <c r="K43" s="297">
        <f t="shared" si="52"/>
        <v>5.1689493991981396E-2</v>
      </c>
      <c r="L43" s="297">
        <f t="shared" si="52"/>
        <v>3.5989203377592288E-2</v>
      </c>
      <c r="M43" s="297">
        <f t="shared" si="52"/>
        <v>4.1029523187723967E-2</v>
      </c>
      <c r="N43" s="297">
        <f t="shared" si="52"/>
        <v>6.3011912919397436E-2</v>
      </c>
      <c r="O43" s="297">
        <f t="shared" si="52"/>
        <v>4.5258610425504199E-2</v>
      </c>
      <c r="P43" s="297">
        <f t="shared" si="52"/>
        <v>4.4313443197696145E-2</v>
      </c>
      <c r="Q43" s="297">
        <f t="shared" si="52"/>
        <v>4.0230685016000328E-2</v>
      </c>
      <c r="R43" s="297">
        <f t="shared" si="52"/>
        <v>5.0543650227926271E-2</v>
      </c>
      <c r="S43" s="297">
        <f t="shared" si="52"/>
        <v>5.5909005204313231E-2</v>
      </c>
      <c r="T43" s="297">
        <f t="shared" si="52"/>
        <v>5.5000173940667627E-2</v>
      </c>
      <c r="U43" s="297">
        <f t="shared" si="52"/>
        <v>4.8432678565455717E-2</v>
      </c>
      <c r="V43" s="297">
        <f t="shared" si="52"/>
        <v>4.8569182560775234E-2</v>
      </c>
      <c r="W43" s="297">
        <f t="shared" si="52"/>
        <v>4.6726508416808088E-2</v>
      </c>
      <c r="X43" s="297">
        <f t="shared" si="52"/>
        <v>4.8574047314921272E-2</v>
      </c>
      <c r="Y43" s="297">
        <f t="shared" si="52"/>
        <v>4.7546725119791959E-2</v>
      </c>
      <c r="Z43" s="297">
        <f t="shared" si="52"/>
        <v>4.6474056852563637E-2</v>
      </c>
      <c r="AA43" s="297">
        <f t="shared" ref="AA43:AB43" si="53">AA37/AA39</f>
        <v>4.9775789895540309E-2</v>
      </c>
      <c r="AB43" s="297">
        <f t="shared" si="53"/>
        <v>5.3529851769126745E-2</v>
      </c>
      <c r="AC43" s="147"/>
      <c r="AD43" s="528">
        <f>(AB43-AA43)*100</f>
        <v>0.37540618735864351</v>
      </c>
      <c r="AE43" s="528">
        <f>(AB43-X43)*100</f>
        <v>0.4955804454205473</v>
      </c>
    </row>
    <row r="44" spans="2:31" ht="13" customHeight="1">
      <c r="B44" s="177"/>
      <c r="C44" s="177"/>
      <c r="D44" s="177"/>
      <c r="E44" s="177"/>
      <c r="F44" s="177"/>
      <c r="G44" s="177"/>
      <c r="H44" s="177"/>
      <c r="J44" s="177"/>
      <c r="K44" s="177"/>
      <c r="L44" s="177"/>
      <c r="M44" s="177"/>
      <c r="N44" s="177"/>
      <c r="O44" s="177"/>
      <c r="P44" s="177"/>
      <c r="Q44" s="177"/>
      <c r="R44" s="177"/>
      <c r="S44" s="177"/>
      <c r="T44" s="177"/>
      <c r="U44" s="177"/>
      <c r="V44" s="177"/>
      <c r="W44" s="177"/>
      <c r="X44" s="177"/>
      <c r="Y44" s="177"/>
      <c r="Z44" s="177"/>
      <c r="AA44" s="177"/>
      <c r="AB44" s="177"/>
      <c r="AD44" s="177"/>
      <c r="AE44" s="177"/>
    </row>
    <row r="45" spans="2:31" ht="13" customHeight="1">
      <c r="B45" s="50" t="str">
        <f>IF('Summary | Sumário'!D$6=Names!B$3,Names!O102,Names!Z103)</f>
        <v>Renegotiated Portfolio</v>
      </c>
      <c r="AD45" s="155"/>
      <c r="AE45" s="155"/>
    </row>
    <row r="46" spans="2:31" ht="13" customHeight="1">
      <c r="B46" s="288" t="str">
        <f>IF('Summary | Sumário'!D$6=Names!B$3,Names!O103,Names!Z103)</f>
        <v>Renegotiated portfolio</v>
      </c>
      <c r="C46" s="531" t="s">
        <v>1048</v>
      </c>
      <c r="D46" s="531" t="s">
        <v>1048</v>
      </c>
      <c r="E46" s="531" t="s">
        <v>1048</v>
      </c>
      <c r="F46" s="531" t="s">
        <v>1048</v>
      </c>
      <c r="G46" s="531" t="s">
        <v>1048</v>
      </c>
      <c r="H46" s="531" t="str">
        <f>Y46</f>
        <v>-</v>
      </c>
      <c r="I46" s="530"/>
      <c r="J46" s="531" t="s">
        <v>1048</v>
      </c>
      <c r="K46" s="531" t="s">
        <v>1048</v>
      </c>
      <c r="L46" s="531" t="s">
        <v>1048</v>
      </c>
      <c r="M46" s="531" t="s">
        <v>1048</v>
      </c>
      <c r="N46" s="531" t="s">
        <v>1048</v>
      </c>
      <c r="O46" s="531" t="s">
        <v>1048</v>
      </c>
      <c r="P46" s="531" t="s">
        <v>1048</v>
      </c>
      <c r="Q46" s="531" t="s">
        <v>1048</v>
      </c>
      <c r="R46" s="531" t="s">
        <v>1048</v>
      </c>
      <c r="S46" s="531" t="s">
        <v>1048</v>
      </c>
      <c r="T46" s="531" t="s">
        <v>1048</v>
      </c>
      <c r="U46" s="531" t="s">
        <v>1048</v>
      </c>
      <c r="V46" s="531" t="s">
        <v>1048</v>
      </c>
      <c r="W46" s="531" t="s">
        <v>1048</v>
      </c>
      <c r="X46" s="531" t="s">
        <v>1048</v>
      </c>
      <c r="Y46" s="531" t="s">
        <v>1048</v>
      </c>
      <c r="Z46" s="531">
        <v>925779.57062999997</v>
      </c>
      <c r="AA46" s="531">
        <v>1003607.1105899998</v>
      </c>
      <c r="AB46" s="531">
        <v>1032524.0206</v>
      </c>
      <c r="AC46" s="530"/>
      <c r="AD46" s="532">
        <f t="shared" ref="AD46" si="54">AB46/AA46-1</f>
        <v>2.8812978410446499E-2</v>
      </c>
      <c r="AE46" s="532" t="s">
        <v>1079</v>
      </c>
    </row>
    <row r="47" spans="2:31" ht="13" customHeight="1">
      <c r="B47" s="51" t="str">
        <f>IF('Summary | Sumário'!D$6=Names!B$3,Names!O104,Names!Z104)</f>
        <v>Renegotiated portfolio (% of total gross loan portfolio)</v>
      </c>
      <c r="C47" s="117" t="s">
        <v>1048</v>
      </c>
      <c r="D47" s="117" t="s">
        <v>1048</v>
      </c>
      <c r="E47" s="117" t="s">
        <v>1048</v>
      </c>
      <c r="F47" s="117" t="s">
        <v>1048</v>
      </c>
      <c r="G47" s="117" t="s">
        <v>1048</v>
      </c>
      <c r="H47" s="117" t="s">
        <v>1048</v>
      </c>
      <c r="I47" s="313"/>
      <c r="J47" s="117" t="s">
        <v>1048</v>
      </c>
      <c r="K47" s="117" t="s">
        <v>1048</v>
      </c>
      <c r="L47" s="117" t="s">
        <v>1048</v>
      </c>
      <c r="M47" s="117" t="s">
        <v>1048</v>
      </c>
      <c r="N47" s="117" t="s">
        <v>1048</v>
      </c>
      <c r="O47" s="117" t="s">
        <v>1048</v>
      </c>
      <c r="P47" s="117" t="s">
        <v>1048</v>
      </c>
      <c r="Q47" s="117" t="s">
        <v>1048</v>
      </c>
      <c r="R47" s="117" t="s">
        <v>1048</v>
      </c>
      <c r="S47" s="117" t="s">
        <v>1048</v>
      </c>
      <c r="T47" s="117" t="s">
        <v>1048</v>
      </c>
      <c r="U47" s="117" t="s">
        <v>1048</v>
      </c>
      <c r="V47" s="117" t="s">
        <v>1048</v>
      </c>
      <c r="W47" s="117" t="s">
        <v>1048</v>
      </c>
      <c r="X47" s="117" t="s">
        <v>1048</v>
      </c>
      <c r="Y47" s="117" t="s">
        <v>1048</v>
      </c>
      <c r="Z47" s="160">
        <f t="shared" ref="Z47:AB47" si="55">Z46/Z5</f>
        <v>2.4756559687248599E-2</v>
      </c>
      <c r="AA47" s="160">
        <f t="shared" si="55"/>
        <v>2.4942539134233596E-2</v>
      </c>
      <c r="AB47" s="160">
        <f t="shared" si="55"/>
        <v>2.3563859439884687E-2</v>
      </c>
      <c r="AC47" s="160"/>
      <c r="AD47" s="347">
        <f>(AB47-AA47)*100</f>
        <v>-0.13786796943489088</v>
      </c>
      <c r="AE47" s="347" t="s">
        <v>1079</v>
      </c>
    </row>
    <row r="48" spans="2:31" ht="13" customHeight="1">
      <c r="B48" s="116"/>
    </row>
    <row r="49" spans="2:2" ht="13" customHeight="1">
      <c r="B49" s="116"/>
    </row>
    <row r="52" spans="2:2" ht="13" customHeight="1">
      <c r="B52" s="742" t="str">
        <f>IF('Summary | Sumário'!D$6=Names!B$3,Names!K44,Names!L44)</f>
        <v>Note: During 3Q25, we enhanced our disclosure practices for loan renegotiations, aligning with market best practices to ensure greater accuracy and transparency. As part of this improvement, we refined the definition of renegotiated contracts by excluding agreements that were not delinquent or those whose risk profiles remained unchanged. This adjustment ensures that the reported figures are more precise and reliable for renegotiation analysis.</v>
      </c>
    </row>
    <row r="53" spans="2:2" ht="13" customHeight="1">
      <c r="B53" s="742"/>
    </row>
    <row r="54" spans="2:2" ht="13" customHeight="1">
      <c r="B54" s="742"/>
    </row>
    <row r="55" spans="2:2" ht="13" customHeight="1">
      <c r="B55" s="742"/>
    </row>
    <row r="56" spans="2:2" ht="13" customHeight="1">
      <c r="B56" s="742"/>
    </row>
    <row r="57" spans="2:2" ht="13" customHeight="1">
      <c r="B57" s="742"/>
    </row>
    <row r="58" spans="2:2" ht="13" customHeight="1">
      <c r="B58" s="742"/>
    </row>
  </sheetData>
  <sheetProtection algorithmName="SHA-512" hashValue="KMWTL1JEW1lm5P4FJZRR7skIky05d96R5r147w0X0V3LVrB7fL1xXYRlKm4t78PJbI5tcUnSERyRQGiV2kIf0g==" saltValue="DmmbqEH4kkKjYz+Qp4pEpg==" spinCount="100000" sheet="1" formatCells="0" formatColumns="0" formatRows="0" insertColumns="0" insertRows="0" insertHyperlinks="0" deleteColumns="0" deleteRows="0" sort="0" autoFilter="0" pivotTables="0"/>
  <mergeCells count="1">
    <mergeCell ref="B52:B58"/>
  </mergeCells>
  <pageMargins left="0.511811024" right="0.511811024" top="0.78740157499999996" bottom="0.78740157499999996" header="0.31496062000000002" footer="0.31496062000000002"/>
  <pageSetup paperSize="9" orientation="portrait" r:id="rId1"/>
  <ignoredErrors>
    <ignoredError sqref="B2:AE5 B52 B48:AE48 B46:U46 Z47:AD47 B47:G47 I47:U47 Z46:AD46 B12:AE19 B6 E6:I6 B7 E7:I7 B8 E8:I8 B9 E9:I9 B10 E10:I10 AC6:AE6 AC7:AE7 AC8:AE8 AC9:AE9 AC10:AE10 B33:AE45 B32:I32 AC32:AE32 B11 E11:I11 AC11:AE11 B21:AE24 B20 E20:I20 AC20:AE20 B26:AE31 B25 E25:I25 AC25:AE25"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1480B-755A-1B48-9DA6-EDCEBD802842}">
  <sheetPr codeName="Sheet14">
    <tabColor rgb="FFF7CAB0"/>
  </sheetPr>
  <dimension ref="B1:AI106"/>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8" width="10.83203125" style="117" customWidth="1"/>
    <col min="9" max="9" width="2.83203125" style="117" customWidth="1"/>
    <col min="10" max="28" width="10.83203125" style="117" customWidth="1"/>
    <col min="29" max="29" width="5.83203125" style="117" customWidth="1"/>
    <col min="30" max="31" width="10.83203125" style="117" customWidth="1"/>
    <col min="32" max="16384" width="10.83203125" style="116"/>
  </cols>
  <sheetData>
    <row r="1" spans="2:35" ht="13" customHeight="1">
      <c r="AF1" s="117"/>
    </row>
    <row r="2" spans="2:35" s="10" customFormat="1" ht="13" customHeight="1">
      <c r="B2" s="267" t="str">
        <f>IF('Summary | Sumário'!D$6=Names!B$3,Names!P1,Names!Q1)</f>
        <v>NIM &amp; Yields (IFRS,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322"/>
      <c r="J2" s="20" t="str">
        <f>IF('Summary | Sumário'!D6=Names!B3,Names!C6,Names!D6)</f>
        <v>1Q21</v>
      </c>
      <c r="K2" s="21" t="str">
        <f>IF('Summary | Sumário'!D6=Names!B3,Names!C7,Names!D7)</f>
        <v>2Q21</v>
      </c>
      <c r="L2" s="21" t="str">
        <f>IF('Summary | Sumário'!D6=Names!B3,Names!C8,Names!D8)</f>
        <v>3Q21</v>
      </c>
      <c r="M2" s="21" t="str">
        <f>IF('Summary | Sumário'!D6=Names!B3,Names!C9,Names!D9)</f>
        <v>4Q21</v>
      </c>
      <c r="N2" s="21" t="str">
        <f>IF('Summary | Sumário'!D6=Names!B3,Names!C10,Names!D10)</f>
        <v>1Q22</v>
      </c>
      <c r="O2" s="21" t="str">
        <f>IF('Summary | Sumário'!D6=Names!B3,Names!C11,Names!D11)</f>
        <v>2Q22</v>
      </c>
      <c r="P2" s="21" t="str">
        <f>IF('Summary | Sumário'!D6=Names!B3,Names!C12,Names!D12)</f>
        <v>3Q22</v>
      </c>
      <c r="Q2" s="21" t="str">
        <f>IF('Summary | Sumário'!D6=Names!B3,Names!C13,Names!D13)</f>
        <v>4Q22</v>
      </c>
      <c r="R2" s="21" t="str">
        <f>IF('Summary | Sumário'!D6=Names!B3,Names!C14,Names!D14)</f>
        <v>1Q23</v>
      </c>
      <c r="S2" s="21" t="str">
        <f>IF('Summary | Sumário'!D6=Names!B3,Names!C15,Names!D15)</f>
        <v>2Q23</v>
      </c>
      <c r="T2" s="21" t="str">
        <f>IF('Summary | Sumário'!D6=Names!B3,Names!C16,Names!D16)</f>
        <v>3Q23</v>
      </c>
      <c r="U2" s="21" t="str">
        <f>IF('Summary | Sumário'!D6=Names!B3,Names!C17,Names!D17)</f>
        <v>4Q23</v>
      </c>
      <c r="V2" s="21" t="str">
        <f>IF('Summary | Sumário'!D6=Names!B3,Names!C19,Names!D19)</f>
        <v>1Q24</v>
      </c>
      <c r="W2" s="21" t="str">
        <f>IF('Summary | Sumário'!D6=Names!B3,Names!C20,Names!D20)</f>
        <v>2Q24</v>
      </c>
      <c r="X2" s="21" t="str">
        <f>IF('Summary | Sumário'!D6=Names!B3,Names!C21,Names!D21)</f>
        <v>3Q24</v>
      </c>
      <c r="Y2" s="21" t="str">
        <f>IF('Summary | Sumário'!D6=Names!B3,Names!C22,Names!D22)</f>
        <v>4Q24</v>
      </c>
      <c r="Z2" s="21" t="str">
        <f>IF('Summary | Sumário'!D6=Names!B3,Names!C24,Names!D24)</f>
        <v>1Q25</v>
      </c>
      <c r="AA2" s="21" t="str">
        <f>IF('Summary | Sumário'!D6=Names!B3,Names!C25,Names!D25)</f>
        <v>2Q25</v>
      </c>
      <c r="AB2" s="269" t="str">
        <f>IF('Summary | Sumário'!D6=Names!B3,Names!C26,Names!D26)</f>
        <v>3Q25</v>
      </c>
      <c r="AC2" s="321"/>
      <c r="AD2" s="104" t="str">
        <f>IF('Summary | Sumário'!$D$6=Names!$B$3,Names!$I$24,Names!$J$24)</f>
        <v>QoQ Variation</v>
      </c>
      <c r="AE2" s="104" t="str">
        <f>IF('Summary | Sumário'!$D$6=Names!$B$3,Names!$I$25,Names!$J$25)</f>
        <v>YoY Variation</v>
      </c>
      <c r="AF2" s="11"/>
      <c r="AH2" s="12"/>
      <c r="AI2" s="13"/>
    </row>
    <row r="3" spans="2:35" ht="13" customHeight="1">
      <c r="B3" s="47"/>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27"/>
    </row>
    <row r="4" spans="2:35" ht="13" customHeight="1">
      <c r="B4" s="3" t="str">
        <f>IF('Summary | Sumário'!D$6=Names!B$3,Names!Q7,Names!R7)</f>
        <v>NIM 2.0 (%)</v>
      </c>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row>
    <row r="5" spans="2:35" ht="13" customHeight="1">
      <c r="B5" s="288" t="str">
        <f>IF('Summary | Sumário'!D$6=Names!B$3,Names!AJ17,Names!AK17)</f>
        <v>Annualized NII</v>
      </c>
      <c r="C5" s="289">
        <f t="shared" ref="C5:G5" si="0">C6</f>
        <v>591527</v>
      </c>
      <c r="D5" s="289">
        <f t="shared" si="0"/>
        <v>733280.89517999999</v>
      </c>
      <c r="E5" s="289">
        <f t="shared" si="0"/>
        <v>1614134.912</v>
      </c>
      <c r="F5" s="289">
        <f t="shared" si="0"/>
        <v>2435209.1850000001</v>
      </c>
      <c r="G5" s="289">
        <f t="shared" si="0"/>
        <v>3296796.9950000001</v>
      </c>
      <c r="H5" s="289">
        <f>H6</f>
        <v>4456744.9342886657</v>
      </c>
      <c r="I5" s="179"/>
      <c r="J5" s="289">
        <f>J6*4</f>
        <v>1189829.3559999999</v>
      </c>
      <c r="K5" s="289">
        <f t="shared" ref="K5:AB5" si="1">K6*4</f>
        <v>1235937.3880000003</v>
      </c>
      <c r="L5" s="289">
        <f t="shared" si="1"/>
        <v>1812643.52</v>
      </c>
      <c r="M5" s="289">
        <f t="shared" si="1"/>
        <v>2218129.3839999996</v>
      </c>
      <c r="N5" s="289">
        <f t="shared" si="1"/>
        <v>2241776.06</v>
      </c>
      <c r="O5" s="289">
        <f t="shared" si="1"/>
        <v>2346601.2440000004</v>
      </c>
      <c r="P5" s="289">
        <f t="shared" si="1"/>
        <v>2346897.8680000002</v>
      </c>
      <c r="Q5" s="289">
        <f t="shared" si="1"/>
        <v>2805561.568</v>
      </c>
      <c r="R5" s="289">
        <f t="shared" si="1"/>
        <v>2905924.4960000003</v>
      </c>
      <c r="S5" s="289">
        <f t="shared" si="1"/>
        <v>3313064</v>
      </c>
      <c r="T5" s="289">
        <f t="shared" si="1"/>
        <v>3380864.4318400002</v>
      </c>
      <c r="U5" s="289">
        <f t="shared" si="1"/>
        <v>3587335.0521599995</v>
      </c>
      <c r="V5" s="289">
        <f t="shared" si="1"/>
        <v>3969682.882079999</v>
      </c>
      <c r="W5" s="289">
        <f t="shared" si="1"/>
        <v>4167462.9032153999</v>
      </c>
      <c r="X5" s="289">
        <f t="shared" si="1"/>
        <v>4657400.5262945322</v>
      </c>
      <c r="Y5" s="289">
        <f t="shared" si="1"/>
        <v>5032433.4255647324</v>
      </c>
      <c r="Z5" s="289">
        <f t="shared" si="1"/>
        <v>5450377.2000000002</v>
      </c>
      <c r="AA5" s="289">
        <f t="shared" si="1"/>
        <v>5878028</v>
      </c>
      <c r="AB5" s="289">
        <f t="shared" si="1"/>
        <v>6490764</v>
      </c>
      <c r="AC5" s="179"/>
      <c r="AD5" s="348">
        <f>AB5/AA5-1</f>
        <v>0.10424176271361763</v>
      </c>
      <c r="AE5" s="348">
        <f>AB5/X5-1</f>
        <v>0.39364522405894675</v>
      </c>
    </row>
    <row r="6" spans="2:35" ht="13" customHeight="1">
      <c r="B6" s="55" t="str">
        <f>IF('Summary | Sumário'!D$6=Names!B$3,Names!AJ18,Names!AK18)</f>
        <v>NII</v>
      </c>
      <c r="C6" s="179">
        <f>'6. NII'!C41</f>
        <v>591527</v>
      </c>
      <c r="D6" s="179">
        <f>'6. NII'!D41</f>
        <v>733280.89517999999</v>
      </c>
      <c r="E6" s="179">
        <f>'6. NII'!E41</f>
        <v>1614134.912</v>
      </c>
      <c r="F6" s="179">
        <f>'6. NII'!F41</f>
        <v>2435209.1850000001</v>
      </c>
      <c r="G6" s="179">
        <f>'6. NII'!G41</f>
        <v>3296796.9950000001</v>
      </c>
      <c r="H6" s="179">
        <f>'6. NII'!H41</f>
        <v>4456744.9342886657</v>
      </c>
      <c r="I6" s="179"/>
      <c r="J6" s="179">
        <f>'6. NII'!J41</f>
        <v>297457.33899999998</v>
      </c>
      <c r="K6" s="179">
        <f>'6. NII'!K41</f>
        <v>308984.34700000007</v>
      </c>
      <c r="L6" s="179">
        <f>'6. NII'!L41</f>
        <v>453160.88</v>
      </c>
      <c r="M6" s="179">
        <f>'6. NII'!M41</f>
        <v>554532.3459999999</v>
      </c>
      <c r="N6" s="179">
        <f>'6. NII'!N41</f>
        <v>560444.01500000001</v>
      </c>
      <c r="O6" s="179">
        <f>'6. NII'!O41</f>
        <v>586650.3110000001</v>
      </c>
      <c r="P6" s="179">
        <f>'6. NII'!P41</f>
        <v>586724.46700000006</v>
      </c>
      <c r="Q6" s="179">
        <f>'6. NII'!Q41</f>
        <v>701390.39199999999</v>
      </c>
      <c r="R6" s="179">
        <f>'6. NII'!R41</f>
        <v>726481.12400000007</v>
      </c>
      <c r="S6" s="179">
        <f>'6. NII'!S41</f>
        <v>828266</v>
      </c>
      <c r="T6" s="179">
        <f>'6. NII'!T41</f>
        <v>845216.10796000005</v>
      </c>
      <c r="U6" s="179">
        <f>'6. NII'!U41</f>
        <v>896833.76303999987</v>
      </c>
      <c r="V6" s="179">
        <f>'6. NII'!V41</f>
        <v>992420.72051999974</v>
      </c>
      <c r="W6" s="179">
        <f>'6. NII'!W41</f>
        <v>1041865.72580385</v>
      </c>
      <c r="X6" s="179">
        <f>'6. NII'!X41</f>
        <v>1164350.1315736331</v>
      </c>
      <c r="Y6" s="179">
        <f>'6. NII'!Y41</f>
        <v>1258108.3563911831</v>
      </c>
      <c r="Z6" s="179">
        <f>'6. NII'!Z41</f>
        <v>1362594.3</v>
      </c>
      <c r="AA6" s="179">
        <f>'6. NII'!AA41</f>
        <v>1469507</v>
      </c>
      <c r="AB6" s="179">
        <f>'6. NII'!AB41</f>
        <v>1622691</v>
      </c>
      <c r="AC6" s="179"/>
      <c r="AD6" s="349">
        <f t="shared" ref="AD6:AD8" si="2">AB6/AA6-1</f>
        <v>0.10424176271361763</v>
      </c>
      <c r="AE6" s="349">
        <f t="shared" ref="AE6:AE8" si="3">AB6/X6-1</f>
        <v>0.39364522405894675</v>
      </c>
    </row>
    <row r="7" spans="2:35" ht="13" customHeight="1">
      <c r="B7" s="69" t="str">
        <f>IF('Summary | Sumário'!D$6=Names!B$3,Names!AJ21,Names!AK21)</f>
        <v>(÷) Avg of the last two periods of IEP</v>
      </c>
      <c r="C7" s="519">
        <f>C8</f>
        <v>9386236.3870000001</v>
      </c>
      <c r="D7" s="519">
        <f>(D8+C8)/2</f>
        <v>13213225.605999999</v>
      </c>
      <c r="E7" s="519">
        <f t="shared" ref="E7:H7" si="4">(E8+D8)/2</f>
        <v>23612101.773364998</v>
      </c>
      <c r="F7" s="519">
        <f t="shared" si="4"/>
        <v>33507074.360865001</v>
      </c>
      <c r="G7" s="519">
        <f t="shared" si="4"/>
        <v>42361927.6985</v>
      </c>
      <c r="H7" s="519">
        <f t="shared" si="4"/>
        <v>54062982.359135799</v>
      </c>
      <c r="I7" s="517"/>
      <c r="J7" s="519">
        <f>(J8+D8)/2</f>
        <v>17310715.084649999</v>
      </c>
      <c r="K7" s="190">
        <f>(K8+J8)/2</f>
        <v>21592434.172650002</v>
      </c>
      <c r="L7" s="190">
        <f t="shared" ref="L7:AB7" si="5">(L8+K8)/2</f>
        <v>27032356.149500001</v>
      </c>
      <c r="M7" s="190">
        <f t="shared" si="5"/>
        <v>29322524.009865001</v>
      </c>
      <c r="N7" s="190">
        <f t="shared" si="5"/>
        <v>30199018.860865001</v>
      </c>
      <c r="O7" s="190">
        <f t="shared" si="5"/>
        <v>31044537.699999999</v>
      </c>
      <c r="P7" s="190">
        <f t="shared" si="5"/>
        <v>33447660.199999999</v>
      </c>
      <c r="Q7" s="190">
        <f t="shared" si="5"/>
        <v>35925227</v>
      </c>
      <c r="R7" s="190">
        <f t="shared" si="5"/>
        <v>37291790.193913735</v>
      </c>
      <c r="S7" s="190">
        <f t="shared" si="5"/>
        <v>38731405.577701032</v>
      </c>
      <c r="T7" s="190">
        <f t="shared" si="5"/>
        <v>41491735.610526726</v>
      </c>
      <c r="U7" s="190">
        <f t="shared" si="5"/>
        <v>45583887.925239429</v>
      </c>
      <c r="V7" s="190">
        <f t="shared" si="5"/>
        <v>48304454.505631939</v>
      </c>
      <c r="W7" s="190">
        <f t="shared" si="5"/>
        <v>50593795.179221943</v>
      </c>
      <c r="X7" s="190">
        <f t="shared" si="5"/>
        <v>53682860.600421786</v>
      </c>
      <c r="Y7" s="190">
        <f t="shared" si="5"/>
        <v>57562806.888967581</v>
      </c>
      <c r="Z7" s="190">
        <f t="shared" si="5"/>
        <v>61631977.1361508</v>
      </c>
      <c r="AA7" s="190">
        <f t="shared" si="5"/>
        <v>64810638.783490002</v>
      </c>
      <c r="AB7" s="190">
        <f t="shared" si="5"/>
        <v>69947342.586594999</v>
      </c>
      <c r="AC7" s="191"/>
      <c r="AD7" s="362">
        <f t="shared" si="2"/>
        <v>7.9257108084753725E-2</v>
      </c>
      <c r="AE7" s="362">
        <f t="shared" si="3"/>
        <v>0.30297345939209186</v>
      </c>
    </row>
    <row r="8" spans="2:35" ht="13" customHeight="1">
      <c r="B8" s="64" t="str">
        <f>IF('Summary | Sumário'!D$6=Names!B$3,Names!AJ22,Names!AK22)</f>
        <v>IEP</v>
      </c>
      <c r="C8" s="191">
        <f>'5. IEP'!C23</f>
        <v>9386236.3870000001</v>
      </c>
      <c r="D8" s="191">
        <f>'5. IEP'!D23</f>
        <v>17040214.824999999</v>
      </c>
      <c r="E8" s="191">
        <f>'5. IEP'!E23</f>
        <v>30183988.721730001</v>
      </c>
      <c r="F8" s="191">
        <f>'5. IEP'!F23</f>
        <v>36830160</v>
      </c>
      <c r="G8" s="191">
        <f>'5. IEP'!G23</f>
        <v>47893695.397</v>
      </c>
      <c r="H8" s="191">
        <f>'5. IEP'!H23</f>
        <v>60232269.321271598</v>
      </c>
      <c r="I8" s="175"/>
      <c r="J8" s="191">
        <f>'5. IEP'!J23</f>
        <v>17581215.344299998</v>
      </c>
      <c r="K8" s="191">
        <f>'5. IEP'!K23</f>
        <v>25603653.001000002</v>
      </c>
      <c r="L8" s="191">
        <f>'5. IEP'!L23</f>
        <v>28461059.298</v>
      </c>
      <c r="M8" s="191">
        <f>'5. IEP'!M23</f>
        <v>30183988.721730001</v>
      </c>
      <c r="N8" s="191">
        <f>'5. IEP'!N23</f>
        <v>30214049</v>
      </c>
      <c r="O8" s="191">
        <f>'5. IEP'!O23</f>
        <v>31875026.399999999</v>
      </c>
      <c r="P8" s="191">
        <f>'5. IEP'!P23</f>
        <v>35020294</v>
      </c>
      <c r="Q8" s="191">
        <f>'5. IEP'!Q23</f>
        <v>36830160</v>
      </c>
      <c r="R8" s="191">
        <f>'5. IEP'!R23</f>
        <v>37753420.387827471</v>
      </c>
      <c r="S8" s="191">
        <f>'5. IEP'!S23</f>
        <v>39709390.767574593</v>
      </c>
      <c r="T8" s="191">
        <f>'5. IEP'!T23</f>
        <v>43274080.453478865</v>
      </c>
      <c r="U8" s="191">
        <f>'5. IEP'!U23</f>
        <v>47893695.397</v>
      </c>
      <c r="V8" s="191">
        <f>'5. IEP'!V23</f>
        <v>48715213.614263885</v>
      </c>
      <c r="W8" s="191">
        <f>'5. IEP'!W23</f>
        <v>52472376.744180001</v>
      </c>
      <c r="X8" s="191">
        <f>'5. IEP'!X23</f>
        <v>54893344.456663564</v>
      </c>
      <c r="Y8" s="191">
        <f>'5. IEP'!Y23</f>
        <v>60232269.321271598</v>
      </c>
      <c r="Z8" s="191">
        <f>'5. IEP'!Z23</f>
        <v>63031684.951030001</v>
      </c>
      <c r="AA8" s="191">
        <f>'5. IEP'!AA23</f>
        <v>66589592.615950003</v>
      </c>
      <c r="AB8" s="191">
        <f>'5. IEP'!AB23</f>
        <v>73305092.557240009</v>
      </c>
      <c r="AC8" s="191"/>
      <c r="AD8" s="367">
        <f t="shared" si="2"/>
        <v>0.10084909183963786</v>
      </c>
      <c r="AE8" s="367">
        <f t="shared" si="3"/>
        <v>0.3354094796521625</v>
      </c>
    </row>
    <row r="9" spans="2:35" ht="13" customHeight="1">
      <c r="B9" s="286" t="str">
        <f>IF('Summary | Sumário'!D$6=Names!B$3,Names!Q7,Names!R7)</f>
        <v>NIM 2.0 (%)</v>
      </c>
      <c r="C9" s="315">
        <f t="shared" ref="C9:H9" si="6">C5/C7</f>
        <v>6.3020680026689813E-2</v>
      </c>
      <c r="D9" s="315">
        <f t="shared" si="6"/>
        <v>5.5495979335055338E-2</v>
      </c>
      <c r="E9" s="315">
        <f t="shared" si="6"/>
        <v>6.8360492746172299E-2</v>
      </c>
      <c r="F9" s="315">
        <f t="shared" si="6"/>
        <v>7.267746383265955E-2</v>
      </c>
      <c r="G9" s="315">
        <f t="shared" si="6"/>
        <v>7.7824527213777778E-2</v>
      </c>
      <c r="H9" s="315">
        <f t="shared" si="6"/>
        <v>8.2436165002568437E-2</v>
      </c>
      <c r="I9" s="327"/>
      <c r="J9" s="315">
        <f t="shared" ref="J9:Z9" si="7">J5/J7</f>
        <v>6.8733691830851179E-2</v>
      </c>
      <c r="K9" s="315">
        <f t="shared" si="7"/>
        <v>5.7239372741286251E-2</v>
      </c>
      <c r="L9" s="315">
        <f t="shared" si="7"/>
        <v>6.7054588581747704E-2</v>
      </c>
      <c r="M9" s="315">
        <f t="shared" si="7"/>
        <v>7.5645922678885091E-2</v>
      </c>
      <c r="N9" s="315">
        <f t="shared" si="7"/>
        <v>7.4233407062940196E-2</v>
      </c>
      <c r="O9" s="315">
        <f t="shared" si="7"/>
        <v>7.5588216731602362E-2</v>
      </c>
      <c r="P9" s="315">
        <f t="shared" si="7"/>
        <v>7.0166279314210447E-2</v>
      </c>
      <c r="Q9" s="315">
        <f t="shared" si="7"/>
        <v>7.8094470161594251E-2</v>
      </c>
      <c r="R9" s="315">
        <f t="shared" si="7"/>
        <v>7.7923974174730459E-2</v>
      </c>
      <c r="S9" s="315">
        <f t="shared" si="7"/>
        <v>8.5539472440613981E-2</v>
      </c>
      <c r="T9" s="315">
        <f t="shared" si="7"/>
        <v>8.1482839464113735E-2</v>
      </c>
      <c r="U9" s="315">
        <f t="shared" si="7"/>
        <v>7.8697434892860935E-2</v>
      </c>
      <c r="V9" s="315">
        <f t="shared" si="7"/>
        <v>8.2180472229888515E-2</v>
      </c>
      <c r="W9" s="315">
        <f t="shared" si="7"/>
        <v>8.2371027681412398E-2</v>
      </c>
      <c r="X9" s="315">
        <f t="shared" si="7"/>
        <v>8.6757681580365315E-2</v>
      </c>
      <c r="Y9" s="315">
        <f t="shared" si="7"/>
        <v>8.7425087440085245E-2</v>
      </c>
      <c r="Z9" s="315">
        <f t="shared" si="7"/>
        <v>8.8434242308333022E-2</v>
      </c>
      <c r="AA9" s="315">
        <f t="shared" ref="AA9:AB9" si="8">AA5/AA7</f>
        <v>9.0695418380868989E-2</v>
      </c>
      <c r="AB9" s="315">
        <f t="shared" si="8"/>
        <v>9.279500492766278E-2</v>
      </c>
      <c r="AC9" s="327"/>
      <c r="AD9" s="370">
        <f>(AB9-AA9)*100</f>
        <v>0.20995865467937913</v>
      </c>
      <c r="AE9" s="370">
        <f>(AB9-X9)*100</f>
        <v>0.60373233472974652</v>
      </c>
      <c r="AG9" s="160"/>
      <c r="AH9" s="160"/>
    </row>
    <row r="10" spans="2:35" ht="13" customHeight="1">
      <c r="B10" s="4"/>
    </row>
    <row r="11" spans="2:35" ht="13" customHeight="1">
      <c r="B11" s="24" t="str">
        <f>IF('Summary | Sumário'!D$6=Names!B$3,Names!Q9,Names!R9)</f>
        <v>Risk-Adjusted NIM 2.0 (%)</v>
      </c>
      <c r="C11" s="316"/>
      <c r="D11" s="316"/>
      <c r="E11" s="316"/>
      <c r="F11" s="316"/>
      <c r="G11" s="316"/>
      <c r="H11" s="316"/>
      <c r="I11" s="182"/>
      <c r="J11" s="316"/>
      <c r="K11" s="316"/>
      <c r="L11" s="316"/>
      <c r="M11" s="316"/>
      <c r="N11" s="316"/>
      <c r="O11" s="316"/>
      <c r="P11" s="316"/>
      <c r="Q11" s="316"/>
      <c r="R11" s="316"/>
      <c r="S11" s="316"/>
      <c r="T11" s="316"/>
      <c r="U11" s="316"/>
      <c r="V11" s="316"/>
      <c r="W11" s="316"/>
      <c r="X11" s="316"/>
      <c r="Y11" s="316"/>
      <c r="Z11" s="316"/>
      <c r="AA11" s="316"/>
      <c r="AB11" s="316"/>
      <c r="AC11" s="182"/>
      <c r="AD11" s="316"/>
      <c r="AE11" s="316"/>
    </row>
    <row r="12" spans="2:35" ht="13" customHeight="1">
      <c r="B12" s="291" t="str">
        <f>IF('Summary | Sumário'!D$6=Names!B$3,Names!AJ32,Names!AK32)</f>
        <v>Annualized NII after impairment losses on financial assets</v>
      </c>
      <c r="C12" s="292">
        <f>C13</f>
        <v>452957</v>
      </c>
      <c r="D12" s="292">
        <f>D13</f>
        <v>519592.89517999999</v>
      </c>
      <c r="E12" s="292">
        <f t="shared" ref="E12:H12" si="9">E13</f>
        <v>1018553.912</v>
      </c>
      <c r="F12" s="292">
        <f t="shared" si="9"/>
        <v>1351972.1850000001</v>
      </c>
      <c r="G12" s="292">
        <f t="shared" si="9"/>
        <v>1755212.9950000001</v>
      </c>
      <c r="H12" s="292">
        <f t="shared" si="9"/>
        <v>2657292.5982886655</v>
      </c>
      <c r="I12" s="179"/>
      <c r="J12" s="292">
        <f>J13*4</f>
        <v>763153.35599999991</v>
      </c>
      <c r="K12" s="292">
        <f t="shared" ref="K12:AB12" si="10">K13*4</f>
        <v>566173.38800000027</v>
      </c>
      <c r="L12" s="292">
        <f t="shared" si="10"/>
        <v>1260623.52</v>
      </c>
      <c r="M12" s="292">
        <f t="shared" si="10"/>
        <v>1484265.3839999996</v>
      </c>
      <c r="N12" s="292">
        <f t="shared" si="10"/>
        <v>989992.06</v>
      </c>
      <c r="O12" s="292">
        <f t="shared" si="10"/>
        <v>1376745.2440000004</v>
      </c>
      <c r="P12" s="292">
        <f t="shared" si="10"/>
        <v>1294445.8680000002</v>
      </c>
      <c r="Q12" s="292">
        <f t="shared" si="10"/>
        <v>1746705.568</v>
      </c>
      <c r="R12" s="292">
        <f t="shared" si="10"/>
        <v>1503200.4960000003</v>
      </c>
      <c r="S12" s="292">
        <f t="shared" si="10"/>
        <v>1718824</v>
      </c>
      <c r="T12" s="292">
        <f t="shared" si="10"/>
        <v>1749268.4318400002</v>
      </c>
      <c r="U12" s="292">
        <f t="shared" si="10"/>
        <v>2049559.0521599995</v>
      </c>
      <c r="V12" s="292">
        <f t="shared" si="10"/>
        <v>2325490.882079999</v>
      </c>
      <c r="W12" s="292">
        <f t="shared" si="10"/>
        <v>2482472.2592153996</v>
      </c>
      <c r="X12" s="292">
        <f t="shared" si="10"/>
        <v>2771693.9262945321</v>
      </c>
      <c r="Y12" s="292">
        <f t="shared" si="10"/>
        <v>3049513.3255647337</v>
      </c>
      <c r="Z12" s="292">
        <f t="shared" si="10"/>
        <v>3395651.6</v>
      </c>
      <c r="AA12" s="292">
        <f t="shared" si="10"/>
        <v>3601032</v>
      </c>
      <c r="AB12" s="292">
        <f t="shared" si="10"/>
        <v>3927580</v>
      </c>
      <c r="AC12" s="179"/>
      <c r="AD12" s="352">
        <f t="shared" ref="AD12:AD17" si="11">AB12/AA12-1</f>
        <v>9.0681782333508876E-2</v>
      </c>
      <c r="AE12" s="352">
        <f t="shared" ref="AE12:AE17" si="12">AB12/X12-1</f>
        <v>0.41703236520446829</v>
      </c>
    </row>
    <row r="13" spans="2:35" ht="13" customHeight="1">
      <c r="B13" s="60" t="str">
        <f>IF('Summary | Sumário'!D$6=Names!B$3,Names!AJ33,Names!AK33)</f>
        <v>NII after impairment losses on financial assets</v>
      </c>
      <c r="C13" s="174">
        <f>C14+C15</f>
        <v>452957</v>
      </c>
      <c r="D13" s="174">
        <f t="shared" ref="D13:H13" si="13">D14+D15</f>
        <v>519592.89517999999</v>
      </c>
      <c r="E13" s="174">
        <f t="shared" si="13"/>
        <v>1018553.912</v>
      </c>
      <c r="F13" s="174">
        <f t="shared" si="13"/>
        <v>1351972.1850000001</v>
      </c>
      <c r="G13" s="174">
        <f t="shared" si="13"/>
        <v>1755212.9950000001</v>
      </c>
      <c r="H13" s="174">
        <f t="shared" si="13"/>
        <v>2657292.5982886655</v>
      </c>
      <c r="I13" s="179"/>
      <c r="J13" s="174">
        <f t="shared" ref="J13:Z13" si="14">J14+J15</f>
        <v>190788.33899999998</v>
      </c>
      <c r="K13" s="174">
        <f t="shared" si="14"/>
        <v>141543.34700000007</v>
      </c>
      <c r="L13" s="174">
        <f t="shared" si="14"/>
        <v>315155.88</v>
      </c>
      <c r="M13" s="174">
        <f t="shared" si="14"/>
        <v>371066.3459999999</v>
      </c>
      <c r="N13" s="174">
        <f t="shared" si="14"/>
        <v>247498.01500000001</v>
      </c>
      <c r="O13" s="174">
        <f t="shared" si="14"/>
        <v>344186.3110000001</v>
      </c>
      <c r="P13" s="174">
        <f t="shared" si="14"/>
        <v>323611.46700000006</v>
      </c>
      <c r="Q13" s="174">
        <f t="shared" si="14"/>
        <v>436676.39199999999</v>
      </c>
      <c r="R13" s="174">
        <f t="shared" si="14"/>
        <v>375800.12400000007</v>
      </c>
      <c r="S13" s="174">
        <f t="shared" si="14"/>
        <v>429706</v>
      </c>
      <c r="T13" s="174">
        <f t="shared" si="14"/>
        <v>437317.10796000005</v>
      </c>
      <c r="U13" s="174">
        <f t="shared" si="14"/>
        <v>512389.76303999987</v>
      </c>
      <c r="V13" s="174">
        <f t="shared" si="14"/>
        <v>581372.72051999974</v>
      </c>
      <c r="W13" s="174">
        <f t="shared" si="14"/>
        <v>620618.06480384991</v>
      </c>
      <c r="X13" s="174">
        <f t="shared" si="14"/>
        <v>692923.48157363303</v>
      </c>
      <c r="Y13" s="174">
        <f t="shared" si="14"/>
        <v>762378.33139118343</v>
      </c>
      <c r="Z13" s="174">
        <f t="shared" si="14"/>
        <v>848912.9</v>
      </c>
      <c r="AA13" s="174">
        <f t="shared" ref="AA13:AB13" si="15">AA14+AA15</f>
        <v>900258</v>
      </c>
      <c r="AB13" s="174">
        <f t="shared" si="15"/>
        <v>981895</v>
      </c>
      <c r="AC13" s="179"/>
      <c r="AD13" s="350">
        <f t="shared" si="11"/>
        <v>9.0681782333508876E-2</v>
      </c>
      <c r="AE13" s="350">
        <f t="shared" si="12"/>
        <v>0.41703236520446829</v>
      </c>
    </row>
    <row r="14" spans="2:35" ht="13" customHeight="1">
      <c r="B14" s="62" t="str">
        <f>IF('Summary | Sumário'!D$6=Names!B$3,Names!AJ5,Names!AK5)</f>
        <v>NII</v>
      </c>
      <c r="C14" s="191">
        <f>C6</f>
        <v>591527</v>
      </c>
      <c r="D14" s="191">
        <f t="shared" ref="D14:Z14" si="16">D6</f>
        <v>733280.89517999999</v>
      </c>
      <c r="E14" s="191">
        <f t="shared" si="16"/>
        <v>1614134.912</v>
      </c>
      <c r="F14" s="191">
        <f t="shared" si="16"/>
        <v>2435209.1850000001</v>
      </c>
      <c r="G14" s="191">
        <f t="shared" si="16"/>
        <v>3296796.9950000001</v>
      </c>
      <c r="H14" s="191">
        <f t="shared" si="16"/>
        <v>4456744.9342886657</v>
      </c>
      <c r="I14" s="175"/>
      <c r="J14" s="191">
        <f t="shared" si="16"/>
        <v>297457.33899999998</v>
      </c>
      <c r="K14" s="191">
        <f t="shared" si="16"/>
        <v>308984.34700000007</v>
      </c>
      <c r="L14" s="191">
        <f t="shared" si="16"/>
        <v>453160.88</v>
      </c>
      <c r="M14" s="191">
        <f t="shared" si="16"/>
        <v>554532.3459999999</v>
      </c>
      <c r="N14" s="191">
        <f t="shared" si="16"/>
        <v>560444.01500000001</v>
      </c>
      <c r="O14" s="191">
        <f t="shared" si="16"/>
        <v>586650.3110000001</v>
      </c>
      <c r="P14" s="191">
        <f t="shared" si="16"/>
        <v>586724.46700000006</v>
      </c>
      <c r="Q14" s="191">
        <f t="shared" si="16"/>
        <v>701390.39199999999</v>
      </c>
      <c r="R14" s="191">
        <f t="shared" si="16"/>
        <v>726481.12400000007</v>
      </c>
      <c r="S14" s="191">
        <f t="shared" si="16"/>
        <v>828266</v>
      </c>
      <c r="T14" s="191">
        <f t="shared" si="16"/>
        <v>845216.10796000005</v>
      </c>
      <c r="U14" s="191">
        <f t="shared" si="16"/>
        <v>896833.76303999987</v>
      </c>
      <c r="V14" s="191">
        <f t="shared" si="16"/>
        <v>992420.72051999974</v>
      </c>
      <c r="W14" s="191">
        <f t="shared" si="16"/>
        <v>1041865.72580385</v>
      </c>
      <c r="X14" s="191">
        <f t="shared" si="16"/>
        <v>1164350.1315736331</v>
      </c>
      <c r="Y14" s="191">
        <f t="shared" si="16"/>
        <v>1258108.3563911831</v>
      </c>
      <c r="Z14" s="191">
        <f t="shared" si="16"/>
        <v>1362594.3</v>
      </c>
      <c r="AA14" s="191">
        <f t="shared" ref="AA14:AB14" si="17">AA6</f>
        <v>1469507</v>
      </c>
      <c r="AB14" s="191">
        <f t="shared" si="17"/>
        <v>1622691</v>
      </c>
      <c r="AC14" s="191"/>
      <c r="AD14" s="367">
        <f t="shared" si="11"/>
        <v>0.10424176271361763</v>
      </c>
      <c r="AE14" s="367">
        <f t="shared" si="12"/>
        <v>0.39364522405894675</v>
      </c>
    </row>
    <row r="15" spans="2:35" ht="13" customHeight="1">
      <c r="B15" s="67" t="str">
        <f>IF('Summary | Sumário'!D$6=Names!B$3,Names!AJ34,Names!AK34)</f>
        <v>Impairment losses on financial assets</v>
      </c>
      <c r="C15" s="190">
        <v>-138570</v>
      </c>
      <c r="D15" s="190">
        <v>-213688</v>
      </c>
      <c r="E15" s="190">
        <v>-595581</v>
      </c>
      <c r="F15" s="190">
        <v>-1083237</v>
      </c>
      <c r="G15" s="190">
        <v>-1541584</v>
      </c>
      <c r="H15" s="190">
        <v>-1799452.3359999999</v>
      </c>
      <c r="I15" s="175"/>
      <c r="J15" s="190">
        <v>-106669</v>
      </c>
      <c r="K15" s="190">
        <v>-167441</v>
      </c>
      <c r="L15" s="190">
        <v>-138005</v>
      </c>
      <c r="M15" s="190">
        <v>-183466</v>
      </c>
      <c r="N15" s="190">
        <v>-312946</v>
      </c>
      <c r="O15" s="190">
        <v>-242464</v>
      </c>
      <c r="P15" s="190">
        <v>-263113</v>
      </c>
      <c r="Q15" s="190">
        <v>-264714</v>
      </c>
      <c r="R15" s="190">
        <v>-350681</v>
      </c>
      <c r="S15" s="190">
        <v>-398560</v>
      </c>
      <c r="T15" s="190">
        <v>-407899</v>
      </c>
      <c r="U15" s="190">
        <v>-384444</v>
      </c>
      <c r="V15" s="190">
        <v>-411048</v>
      </c>
      <c r="W15" s="190">
        <v>-421247.66100000002</v>
      </c>
      <c r="X15" s="190">
        <v>-471426.65</v>
      </c>
      <c r="Y15" s="190">
        <v>-495730.02499999967</v>
      </c>
      <c r="Z15" s="190">
        <v>-513681.4</v>
      </c>
      <c r="AA15" s="190">
        <v>-569249</v>
      </c>
      <c r="AB15" s="190">
        <v>-640796</v>
      </c>
      <c r="AC15" s="191"/>
      <c r="AD15" s="362">
        <f t="shared" si="11"/>
        <v>0.12568665030592929</v>
      </c>
      <c r="AE15" s="362">
        <f t="shared" si="12"/>
        <v>0.35926978247835573</v>
      </c>
    </row>
    <row r="16" spans="2:35" ht="13" customHeight="1">
      <c r="B16" s="63" t="str">
        <f>IF('Summary | Sumário'!D$6=Names!B$3,Names!AJ21,Names!AK21)</f>
        <v>(÷) Avg of the last two periods of IEP</v>
      </c>
      <c r="C16" s="561">
        <f>C17</f>
        <v>9386236.3870000001</v>
      </c>
      <c r="D16" s="561">
        <f>(D17+C17)/2</f>
        <v>13213225.605999999</v>
      </c>
      <c r="E16" s="561">
        <f t="shared" ref="E16:H16" si="18">(E17+D17)/2</f>
        <v>23612101.773364998</v>
      </c>
      <c r="F16" s="561">
        <f t="shared" si="18"/>
        <v>33507074.360865001</v>
      </c>
      <c r="G16" s="561">
        <f t="shared" si="18"/>
        <v>42361927.6985</v>
      </c>
      <c r="H16" s="561">
        <f t="shared" si="18"/>
        <v>54062982.359135799</v>
      </c>
      <c r="I16" s="517"/>
      <c r="J16" s="561">
        <f>(J17+D17)/2</f>
        <v>17310715.084649999</v>
      </c>
      <c r="K16" s="191">
        <f>(K17+J17)/2</f>
        <v>21592434.172650002</v>
      </c>
      <c r="L16" s="191">
        <f t="shared" ref="L16:AB16" si="19">(L17+K17)/2</f>
        <v>27032356.149500001</v>
      </c>
      <c r="M16" s="191">
        <f t="shared" si="19"/>
        <v>29322524.009865001</v>
      </c>
      <c r="N16" s="191">
        <f t="shared" si="19"/>
        <v>30199018.860865001</v>
      </c>
      <c r="O16" s="191">
        <f t="shared" si="19"/>
        <v>31044537.699999999</v>
      </c>
      <c r="P16" s="191">
        <f t="shared" si="19"/>
        <v>33447660.199999999</v>
      </c>
      <c r="Q16" s="191">
        <f t="shared" si="19"/>
        <v>35925227</v>
      </c>
      <c r="R16" s="191">
        <f t="shared" si="19"/>
        <v>37291790.193913735</v>
      </c>
      <c r="S16" s="191">
        <f t="shared" si="19"/>
        <v>38731405.577701032</v>
      </c>
      <c r="T16" s="191">
        <f t="shared" si="19"/>
        <v>41491735.610526726</v>
      </c>
      <c r="U16" s="191">
        <f t="shared" si="19"/>
        <v>45583887.925239429</v>
      </c>
      <c r="V16" s="191">
        <f t="shared" si="19"/>
        <v>48304454.505631939</v>
      </c>
      <c r="W16" s="191">
        <f t="shared" si="19"/>
        <v>50593795.179221943</v>
      </c>
      <c r="X16" s="191">
        <f t="shared" si="19"/>
        <v>53682860.600421786</v>
      </c>
      <c r="Y16" s="191">
        <f t="shared" si="19"/>
        <v>57562806.888967581</v>
      </c>
      <c r="Z16" s="191">
        <f t="shared" si="19"/>
        <v>61631977.1361508</v>
      </c>
      <c r="AA16" s="191">
        <f t="shared" si="19"/>
        <v>64810638.783490002</v>
      </c>
      <c r="AB16" s="191">
        <f t="shared" si="19"/>
        <v>69947342.586594999</v>
      </c>
      <c r="AC16" s="191"/>
      <c r="AD16" s="367">
        <f t="shared" si="11"/>
        <v>7.9257108084753725E-2</v>
      </c>
      <c r="AE16" s="367">
        <f t="shared" si="12"/>
        <v>0.30297345939209186</v>
      </c>
    </row>
    <row r="17" spans="2:34" ht="13" customHeight="1">
      <c r="B17" s="68" t="str">
        <f>IF('Summary | Sumário'!D$6=Names!B$3,Names!AJ22,Names!AK22)</f>
        <v>IEP</v>
      </c>
      <c r="C17" s="190">
        <f>C8</f>
        <v>9386236.3870000001</v>
      </c>
      <c r="D17" s="190">
        <f t="shared" ref="D17:Z17" si="20">D8</f>
        <v>17040214.824999999</v>
      </c>
      <c r="E17" s="190">
        <f t="shared" si="20"/>
        <v>30183988.721730001</v>
      </c>
      <c r="F17" s="190">
        <f t="shared" si="20"/>
        <v>36830160</v>
      </c>
      <c r="G17" s="190">
        <f t="shared" si="20"/>
        <v>47893695.397</v>
      </c>
      <c r="H17" s="190">
        <f t="shared" si="20"/>
        <v>60232269.321271598</v>
      </c>
      <c r="I17" s="175"/>
      <c r="J17" s="190">
        <f t="shared" si="20"/>
        <v>17581215.344299998</v>
      </c>
      <c r="K17" s="190">
        <f t="shared" si="20"/>
        <v>25603653.001000002</v>
      </c>
      <c r="L17" s="190">
        <f t="shared" si="20"/>
        <v>28461059.298</v>
      </c>
      <c r="M17" s="190">
        <f t="shared" si="20"/>
        <v>30183988.721730001</v>
      </c>
      <c r="N17" s="190">
        <f t="shared" si="20"/>
        <v>30214049</v>
      </c>
      <c r="O17" s="190">
        <f t="shared" si="20"/>
        <v>31875026.399999999</v>
      </c>
      <c r="P17" s="190">
        <f t="shared" si="20"/>
        <v>35020294</v>
      </c>
      <c r="Q17" s="190">
        <f t="shared" si="20"/>
        <v>36830160</v>
      </c>
      <c r="R17" s="190">
        <f t="shared" si="20"/>
        <v>37753420.387827471</v>
      </c>
      <c r="S17" s="190">
        <f t="shared" si="20"/>
        <v>39709390.767574593</v>
      </c>
      <c r="T17" s="190">
        <f t="shared" si="20"/>
        <v>43274080.453478865</v>
      </c>
      <c r="U17" s="190">
        <f t="shared" si="20"/>
        <v>47893695.397</v>
      </c>
      <c r="V17" s="190">
        <f t="shared" si="20"/>
        <v>48715213.614263885</v>
      </c>
      <c r="W17" s="190">
        <f t="shared" si="20"/>
        <v>52472376.744180001</v>
      </c>
      <c r="X17" s="190">
        <f t="shared" si="20"/>
        <v>54893344.456663564</v>
      </c>
      <c r="Y17" s="190">
        <f t="shared" si="20"/>
        <v>60232269.321271598</v>
      </c>
      <c r="Z17" s="190">
        <f t="shared" si="20"/>
        <v>63031684.951030001</v>
      </c>
      <c r="AA17" s="190">
        <f t="shared" ref="AA17:AB17" si="21">AA8</f>
        <v>66589592.615950003</v>
      </c>
      <c r="AB17" s="190">
        <f t="shared" si="21"/>
        <v>73305092.557240009</v>
      </c>
      <c r="AC17" s="191"/>
      <c r="AD17" s="362">
        <f t="shared" si="11"/>
        <v>0.10084909183963786</v>
      </c>
      <c r="AE17" s="362">
        <f t="shared" si="12"/>
        <v>0.3354094796521625</v>
      </c>
    </row>
    <row r="18" spans="2:34" ht="13" customHeight="1">
      <c r="B18" s="287" t="str">
        <f>IF('Summary | Sumário'!D$6=Names!B$3,Names!Q10,Names!R10)</f>
        <v>Risk-adjusted NIM 2.0 (%)</v>
      </c>
      <c r="C18" s="301">
        <f t="shared" ref="C18:F18" si="22">C12/C16</f>
        <v>4.8257574316724908E-2</v>
      </c>
      <c r="D18" s="301">
        <f t="shared" si="22"/>
        <v>3.9323698139541174E-2</v>
      </c>
      <c r="E18" s="301">
        <f t="shared" si="22"/>
        <v>4.3136944003390354E-2</v>
      </c>
      <c r="F18" s="301">
        <f t="shared" si="22"/>
        <v>4.034885798859994E-2</v>
      </c>
      <c r="G18" s="301">
        <f>G12/G16</f>
        <v>4.1433737564831138E-2</v>
      </c>
      <c r="H18" s="301">
        <f>H12/H16</f>
        <v>4.9151794487335095E-2</v>
      </c>
      <c r="I18" s="327"/>
      <c r="J18" s="301">
        <f t="shared" ref="J18:Z18" si="23">J12/J16</f>
        <v>4.4085605491636447E-2</v>
      </c>
      <c r="K18" s="301">
        <f t="shared" si="23"/>
        <v>2.6220915320290392E-2</v>
      </c>
      <c r="L18" s="301">
        <f t="shared" si="23"/>
        <v>4.6633875087625939E-2</v>
      </c>
      <c r="M18" s="301">
        <f t="shared" si="23"/>
        <v>5.061860921319894E-2</v>
      </c>
      <c r="N18" s="301">
        <f t="shared" si="23"/>
        <v>3.2782259071434061E-2</v>
      </c>
      <c r="O18" s="301">
        <f t="shared" si="23"/>
        <v>4.4347422960658245E-2</v>
      </c>
      <c r="P18" s="301">
        <f t="shared" si="23"/>
        <v>3.8700640351518531E-2</v>
      </c>
      <c r="Q18" s="301">
        <f t="shared" si="23"/>
        <v>4.8620585417595272E-2</v>
      </c>
      <c r="R18" s="301">
        <f t="shared" si="23"/>
        <v>4.0309153521016335E-2</v>
      </c>
      <c r="S18" s="301">
        <f t="shared" si="23"/>
        <v>4.4378043460152256E-2</v>
      </c>
      <c r="T18" s="301">
        <f t="shared" si="23"/>
        <v>4.2159442262429708E-2</v>
      </c>
      <c r="U18" s="301">
        <f t="shared" si="23"/>
        <v>4.4962357215369848E-2</v>
      </c>
      <c r="V18" s="301">
        <f t="shared" si="23"/>
        <v>4.8142369184789452E-2</v>
      </c>
      <c r="W18" s="301">
        <f t="shared" si="23"/>
        <v>4.9066733389372438E-2</v>
      </c>
      <c r="X18" s="301">
        <f t="shared" si="23"/>
        <v>5.163089103848454E-2</v>
      </c>
      <c r="Y18" s="301">
        <f t="shared" si="23"/>
        <v>5.2977147751792485E-2</v>
      </c>
      <c r="Z18" s="301">
        <f t="shared" si="23"/>
        <v>5.5095613637360492E-2</v>
      </c>
      <c r="AA18" s="301">
        <f t="shared" ref="AA18:AB18" si="24">AA12/AA16</f>
        <v>5.5562359322360734E-2</v>
      </c>
      <c r="AB18" s="301">
        <f t="shared" si="24"/>
        <v>5.615052487716235E-2</v>
      </c>
      <c r="AC18" s="327"/>
      <c r="AD18" s="369">
        <f>(AB18-AA18)*100</f>
        <v>5.8816555480161598E-2</v>
      </c>
      <c r="AE18" s="369">
        <f>(AB18-X18)*100</f>
        <v>0.45196338386778101</v>
      </c>
    </row>
    <row r="19" spans="2:34" ht="13" customHeight="1">
      <c r="B19" s="24"/>
      <c r="C19" s="657"/>
      <c r="D19" s="657"/>
      <c r="E19" s="657"/>
      <c r="F19" s="657"/>
      <c r="G19" s="657"/>
      <c r="H19" s="657"/>
      <c r="I19" s="327"/>
      <c r="J19" s="657"/>
      <c r="K19" s="657"/>
      <c r="L19" s="657"/>
      <c r="M19" s="657"/>
      <c r="N19" s="657"/>
      <c r="O19" s="657"/>
      <c r="P19" s="657"/>
      <c r="Q19" s="657"/>
      <c r="R19" s="657"/>
      <c r="S19" s="657"/>
      <c r="T19" s="657"/>
      <c r="U19" s="657"/>
      <c r="V19" s="657"/>
      <c r="W19" s="657"/>
      <c r="X19" s="657"/>
      <c r="Y19" s="657"/>
      <c r="Z19" s="657"/>
      <c r="AA19" s="657"/>
      <c r="AB19" s="657"/>
      <c r="AC19" s="327"/>
      <c r="AD19" s="658"/>
      <c r="AE19" s="658"/>
    </row>
    <row r="20" spans="2:34" ht="13" customHeight="1">
      <c r="B20" s="3" t="str">
        <f>IF('Summary | Sumário'!D$6=Names!B$3,Names!Q18,Names!R18)</f>
        <v>NIM 1.0 (%)</v>
      </c>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row>
    <row r="21" spans="2:34" ht="13" customHeight="1">
      <c r="B21" s="288" t="str">
        <f>B5</f>
        <v>Annualized NII</v>
      </c>
      <c r="C21" s="289">
        <f>C5</f>
        <v>591527</v>
      </c>
      <c r="D21" s="289">
        <f t="shared" ref="D21:H21" si="25">D5</f>
        <v>733280.89517999999</v>
      </c>
      <c r="E21" s="289">
        <f t="shared" si="25"/>
        <v>1614134.912</v>
      </c>
      <c r="F21" s="289">
        <f t="shared" si="25"/>
        <v>2435209.1850000001</v>
      </c>
      <c r="G21" s="289">
        <f t="shared" si="25"/>
        <v>3296796.9950000001</v>
      </c>
      <c r="H21" s="289">
        <f t="shared" si="25"/>
        <v>4456744.9342886657</v>
      </c>
      <c r="I21" s="179"/>
      <c r="J21" s="289">
        <f t="shared" ref="J21:Z21" si="26">J5</f>
        <v>1189829.3559999999</v>
      </c>
      <c r="K21" s="289">
        <f t="shared" si="26"/>
        <v>1235937.3880000003</v>
      </c>
      <c r="L21" s="289">
        <f t="shared" si="26"/>
        <v>1812643.52</v>
      </c>
      <c r="M21" s="289">
        <f t="shared" si="26"/>
        <v>2218129.3839999996</v>
      </c>
      <c r="N21" s="289">
        <f t="shared" si="26"/>
        <v>2241776.06</v>
      </c>
      <c r="O21" s="289">
        <f t="shared" si="26"/>
        <v>2346601.2440000004</v>
      </c>
      <c r="P21" s="289">
        <f t="shared" si="26"/>
        <v>2346897.8680000002</v>
      </c>
      <c r="Q21" s="289">
        <f t="shared" si="26"/>
        <v>2805561.568</v>
      </c>
      <c r="R21" s="289">
        <f t="shared" si="26"/>
        <v>2905924.4960000003</v>
      </c>
      <c r="S21" s="289">
        <f t="shared" si="26"/>
        <v>3313064</v>
      </c>
      <c r="T21" s="289">
        <f t="shared" si="26"/>
        <v>3380864.4318400002</v>
      </c>
      <c r="U21" s="289">
        <f t="shared" si="26"/>
        <v>3587335.0521599995</v>
      </c>
      <c r="V21" s="289">
        <f t="shared" si="26"/>
        <v>3969682.882079999</v>
      </c>
      <c r="W21" s="289">
        <f t="shared" si="26"/>
        <v>4167462.9032153999</v>
      </c>
      <c r="X21" s="289">
        <f t="shared" si="26"/>
        <v>4657400.5262945322</v>
      </c>
      <c r="Y21" s="289">
        <f t="shared" si="26"/>
        <v>5032433.4255647324</v>
      </c>
      <c r="Z21" s="289">
        <f t="shared" si="26"/>
        <v>5450377.2000000002</v>
      </c>
      <c r="AA21" s="289">
        <f t="shared" ref="AA21:AB21" si="27">AA5</f>
        <v>5878028</v>
      </c>
      <c r="AB21" s="289">
        <f t="shared" si="27"/>
        <v>6490764</v>
      </c>
      <c r="AC21" s="179"/>
      <c r="AD21" s="348">
        <f t="shared" ref="AD21:AD25" si="28">AB21/AA21-1</f>
        <v>0.10424176271361763</v>
      </c>
      <c r="AE21" s="348">
        <f t="shared" ref="AE21:AE25" si="29">AB21/X21-1</f>
        <v>0.39364522405894675</v>
      </c>
    </row>
    <row r="22" spans="2:34" ht="13" customHeight="1">
      <c r="B22" s="55" t="str">
        <f>B6</f>
        <v>NII</v>
      </c>
      <c r="C22" s="179">
        <f>C6</f>
        <v>591527</v>
      </c>
      <c r="D22" s="179">
        <f t="shared" ref="D22:H22" si="30">D6</f>
        <v>733280.89517999999</v>
      </c>
      <c r="E22" s="179">
        <f t="shared" si="30"/>
        <v>1614134.912</v>
      </c>
      <c r="F22" s="179">
        <f t="shared" si="30"/>
        <v>2435209.1850000001</v>
      </c>
      <c r="G22" s="179">
        <f t="shared" si="30"/>
        <v>3296796.9950000001</v>
      </c>
      <c r="H22" s="179">
        <f t="shared" si="30"/>
        <v>4456744.9342886657</v>
      </c>
      <c r="I22" s="179"/>
      <c r="J22" s="179">
        <f t="shared" ref="J22:Z22" si="31">J6</f>
        <v>297457.33899999998</v>
      </c>
      <c r="K22" s="179">
        <f t="shared" si="31"/>
        <v>308984.34700000007</v>
      </c>
      <c r="L22" s="179">
        <f t="shared" si="31"/>
        <v>453160.88</v>
      </c>
      <c r="M22" s="179">
        <f t="shared" si="31"/>
        <v>554532.3459999999</v>
      </c>
      <c r="N22" s="179">
        <f t="shared" si="31"/>
        <v>560444.01500000001</v>
      </c>
      <c r="O22" s="179">
        <f t="shared" si="31"/>
        <v>586650.3110000001</v>
      </c>
      <c r="P22" s="179">
        <f t="shared" si="31"/>
        <v>586724.46700000006</v>
      </c>
      <c r="Q22" s="179">
        <f t="shared" si="31"/>
        <v>701390.39199999999</v>
      </c>
      <c r="R22" s="179">
        <f t="shared" si="31"/>
        <v>726481.12400000007</v>
      </c>
      <c r="S22" s="179">
        <f t="shared" si="31"/>
        <v>828266</v>
      </c>
      <c r="T22" s="179">
        <f t="shared" si="31"/>
        <v>845216.10796000005</v>
      </c>
      <c r="U22" s="179">
        <f t="shared" si="31"/>
        <v>896833.76303999987</v>
      </c>
      <c r="V22" s="179">
        <f t="shared" si="31"/>
        <v>992420.72051999974</v>
      </c>
      <c r="W22" s="179">
        <f t="shared" si="31"/>
        <v>1041865.72580385</v>
      </c>
      <c r="X22" s="179">
        <f t="shared" si="31"/>
        <v>1164350.1315736331</v>
      </c>
      <c r="Y22" s="179">
        <f t="shared" si="31"/>
        <v>1258108.3563911831</v>
      </c>
      <c r="Z22" s="179">
        <f t="shared" si="31"/>
        <v>1362594.3</v>
      </c>
      <c r="AA22" s="179">
        <f t="shared" ref="AA22:AB22" si="32">AA6</f>
        <v>1469507</v>
      </c>
      <c r="AB22" s="179">
        <f t="shared" si="32"/>
        <v>1622691</v>
      </c>
      <c r="AC22" s="179"/>
      <c r="AD22" s="349">
        <f t="shared" si="28"/>
        <v>0.10424176271361763</v>
      </c>
      <c r="AE22" s="349">
        <f t="shared" si="29"/>
        <v>0.39364522405894675</v>
      </c>
    </row>
    <row r="23" spans="2:34" ht="13" customHeight="1">
      <c r="B23" s="69" t="str">
        <f>IF('Summary | Sumário'!D$6=Names!B$3,Names!Q22,Names!R22)</f>
        <v>Avg. of IEP + non-interest credit card receivables</v>
      </c>
      <c r="C23" s="519">
        <f>C24+C25</f>
        <v>9453075</v>
      </c>
      <c r="D23" s="519">
        <f>AVERAGE((C24+C25),(D24+D25))</f>
        <v>14083860</v>
      </c>
      <c r="E23" s="519">
        <f t="shared" ref="E23:H23" si="33">AVERAGE((D24+D25),(E24+E25))</f>
        <v>26510473.360865001</v>
      </c>
      <c r="F23" s="519">
        <f t="shared" si="33"/>
        <v>38274129.860864997</v>
      </c>
      <c r="G23" s="519">
        <f t="shared" si="33"/>
        <v>48812832</v>
      </c>
      <c r="H23" s="519">
        <f t="shared" si="33"/>
        <v>62583005.568365797</v>
      </c>
      <c r="I23" s="517"/>
      <c r="J23" s="519">
        <f>AVERAGE((D24+D25),(J24+J25))</f>
        <v>19195037.672150001</v>
      </c>
      <c r="K23" s="519">
        <f t="shared" ref="K23" si="34">AVERAGE((J24+J25),(K24+K25))</f>
        <v>23964644.172650002</v>
      </c>
      <c r="L23" s="519">
        <f t="shared" ref="L23" si="35">AVERAGE((K24+K25),(L24+L25))</f>
        <v>29997936.149500001</v>
      </c>
      <c r="M23" s="519">
        <f t="shared" ref="M23" si="36">AVERAGE((L24+L25),(M24+M25))</f>
        <v>33024158.009865001</v>
      </c>
      <c r="N23" s="519">
        <f t="shared" ref="N23" si="37">AVERAGE((M24+M25),(N24+N25))</f>
        <v>34499818.360864997</v>
      </c>
      <c r="O23" s="519">
        <f t="shared" ref="O23" si="38">AVERAGE((N24+N25),(O24+O25))</f>
        <v>35732741.200000003</v>
      </c>
      <c r="P23" s="519">
        <f t="shared" ref="P23" si="39">AVERAGE((O24+O25),(P24+P25))</f>
        <v>38447190.200000003</v>
      </c>
      <c r="Q23" s="519">
        <f t="shared" ref="Q23" si="40">AVERAGE((P24+P25),(Q24+Q25))</f>
        <v>41182095.5</v>
      </c>
      <c r="R23" s="519">
        <f t="shared" ref="R23" si="41">AVERAGE((Q24+Q25),(R24+R25))</f>
        <v>42837823.5</v>
      </c>
      <c r="S23" s="519">
        <f t="shared" ref="S23" si="42">AVERAGE((R24+R25),(S24+S25))</f>
        <v>44523520</v>
      </c>
      <c r="T23" s="519">
        <f t="shared" ref="T23" si="43">AVERAGE((S24+S25),(T24+T25))</f>
        <v>47827682.24923943</v>
      </c>
      <c r="U23" s="519">
        <f t="shared" ref="U23" si="44">AVERAGE((T24+T25),(U24+U25))</f>
        <v>52712859.74923943</v>
      </c>
      <c r="V23" s="519">
        <f t="shared" ref="V23" si="45">AVERAGE((U24+U25),(V24+V25))</f>
        <v>56017000.414971948</v>
      </c>
      <c r="W23" s="519">
        <f t="shared" ref="W23" si="46">AVERAGE((V24+V25),(W24+W25))</f>
        <v>58683320.02965194</v>
      </c>
      <c r="X23" s="519">
        <f t="shared" ref="X23" si="47">AVERAGE((W24+W25),(X24+X25))</f>
        <v>62086280.520046785</v>
      </c>
      <c r="Y23" s="519">
        <f t="shared" ref="Y23" si="48">AVERAGE((X24+X25),(Y24+Y25))</f>
        <v>66619260.473732576</v>
      </c>
      <c r="Z23" s="519">
        <f t="shared" ref="Z23:AB23" si="49">AVERAGE((Y24+Y25),(Z24+Z25))</f>
        <v>71218327.568365797</v>
      </c>
      <c r="AA23" s="519">
        <f t="shared" si="49"/>
        <v>74687358</v>
      </c>
      <c r="AB23" s="519">
        <f t="shared" si="49"/>
        <v>80375273</v>
      </c>
      <c r="AC23" s="191"/>
      <c r="AD23" s="350">
        <f t="shared" si="28"/>
        <v>7.6156328893036918E-2</v>
      </c>
      <c r="AE23" s="350">
        <f t="shared" si="29"/>
        <v>0.29457381448463416</v>
      </c>
    </row>
    <row r="24" spans="2:34" ht="13" customHeight="1">
      <c r="B24" s="64" t="str">
        <f>B8</f>
        <v>IEP</v>
      </c>
      <c r="C24" s="179">
        <f>C8</f>
        <v>9386236.3870000001</v>
      </c>
      <c r="D24" s="179">
        <f t="shared" ref="D24:H24" si="50">D8</f>
        <v>17040214.824999999</v>
      </c>
      <c r="E24" s="179">
        <f t="shared" si="50"/>
        <v>30183988.721730001</v>
      </c>
      <c r="F24" s="179">
        <f t="shared" si="50"/>
        <v>36830160</v>
      </c>
      <c r="G24" s="179">
        <f t="shared" si="50"/>
        <v>47893695.397</v>
      </c>
      <c r="H24" s="179">
        <f t="shared" si="50"/>
        <v>60232269.321271598</v>
      </c>
      <c r="I24" s="327"/>
      <c r="J24" s="179">
        <f t="shared" ref="J24:Z24" si="51">J8</f>
        <v>17581215.344299998</v>
      </c>
      <c r="K24" s="179">
        <f t="shared" si="51"/>
        <v>25603653.001000002</v>
      </c>
      <c r="L24" s="179">
        <f t="shared" si="51"/>
        <v>28461059.298</v>
      </c>
      <c r="M24" s="179">
        <f t="shared" si="51"/>
        <v>30183988.721730001</v>
      </c>
      <c r="N24" s="179">
        <f t="shared" si="51"/>
        <v>30214049</v>
      </c>
      <c r="O24" s="179">
        <f t="shared" si="51"/>
        <v>31875026.399999999</v>
      </c>
      <c r="P24" s="179">
        <f t="shared" si="51"/>
        <v>35020294</v>
      </c>
      <c r="Q24" s="179">
        <f t="shared" si="51"/>
        <v>36830160</v>
      </c>
      <c r="R24" s="179">
        <f t="shared" si="51"/>
        <v>37753420.387827471</v>
      </c>
      <c r="S24" s="179">
        <f t="shared" si="51"/>
        <v>39709390.767574593</v>
      </c>
      <c r="T24" s="179">
        <f t="shared" si="51"/>
        <v>43274080.453478865</v>
      </c>
      <c r="U24" s="179">
        <f t="shared" si="51"/>
        <v>47893695.397</v>
      </c>
      <c r="V24" s="179">
        <f t="shared" si="51"/>
        <v>48715213.614263885</v>
      </c>
      <c r="W24" s="179">
        <f t="shared" si="51"/>
        <v>52472376.744180001</v>
      </c>
      <c r="X24" s="179">
        <f t="shared" si="51"/>
        <v>54893344.456663564</v>
      </c>
      <c r="Y24" s="179">
        <f t="shared" si="51"/>
        <v>60232269.321271598</v>
      </c>
      <c r="Z24" s="179">
        <f t="shared" si="51"/>
        <v>63031684.951030001</v>
      </c>
      <c r="AA24" s="179">
        <f t="shared" ref="AA24:AB24" si="52">AA8</f>
        <v>66589592.615950003</v>
      </c>
      <c r="AB24" s="179">
        <f t="shared" si="52"/>
        <v>73305092.557240009</v>
      </c>
      <c r="AC24" s="327"/>
      <c r="AD24" s="349">
        <f t="shared" si="28"/>
        <v>0.10084909183963786</v>
      </c>
      <c r="AE24" s="349">
        <f t="shared" si="29"/>
        <v>0.3354094796521625</v>
      </c>
    </row>
    <row r="25" spans="2:34" ht="13" customHeight="1">
      <c r="B25" s="68" t="str">
        <f>IF('Summary | Sumário'!D$6=Names!B$3,Names!Q23,Names!R23)</f>
        <v>Non-interest earning credit card receivables</v>
      </c>
      <c r="C25" s="176">
        <f>-'5. IEP'!C20</f>
        <v>66838.612999999998</v>
      </c>
      <c r="D25" s="176">
        <f>-'5. IEP'!D20</f>
        <v>1674430.175</v>
      </c>
      <c r="E25" s="176">
        <f>-'5. IEP'!E20</f>
        <v>4122313</v>
      </c>
      <c r="F25" s="176">
        <f>-'5. IEP'!F20</f>
        <v>5411798</v>
      </c>
      <c r="G25" s="176">
        <f>-'5. IEP'!G20</f>
        <v>7490010.6029999992</v>
      </c>
      <c r="H25" s="176">
        <f>-'5. IEP'!H20</f>
        <v>9550035.8154600002</v>
      </c>
      <c r="I25" s="327"/>
      <c r="J25" s="176">
        <f>-'5. IEP'!J20</f>
        <v>2094215</v>
      </c>
      <c r="K25" s="176">
        <f>-'5. IEP'!K20</f>
        <v>2650205</v>
      </c>
      <c r="L25" s="176">
        <f>-'5. IEP'!L20</f>
        <v>3280955</v>
      </c>
      <c r="M25" s="176">
        <f>-'5. IEP'!M20</f>
        <v>4122313</v>
      </c>
      <c r="N25" s="176">
        <f>-'5. IEP'!N20</f>
        <v>4479286</v>
      </c>
      <c r="O25" s="176">
        <f>-'5. IEP'!O20</f>
        <v>4897121</v>
      </c>
      <c r="P25" s="176">
        <f>-'5. IEP'!P20</f>
        <v>5101939</v>
      </c>
      <c r="Q25" s="176">
        <f>-'5. IEP'!Q20</f>
        <v>5411798</v>
      </c>
      <c r="R25" s="176">
        <f>-'5. IEP'!R20</f>
        <v>5680268.6121725254</v>
      </c>
      <c r="S25" s="176">
        <f>-'5. IEP'!S20</f>
        <v>5903960.2324254084</v>
      </c>
      <c r="T25" s="176">
        <f>-'5. IEP'!T20</f>
        <v>6767933.0449999999</v>
      </c>
      <c r="U25" s="176">
        <f>-'5. IEP'!U20</f>
        <v>7490010.6029999992</v>
      </c>
      <c r="V25" s="176">
        <f>-'5. IEP'!V20</f>
        <v>7935081.2156800013</v>
      </c>
      <c r="W25" s="176">
        <f>-'5. IEP'!W20</f>
        <v>8243968.4851799998</v>
      </c>
      <c r="X25" s="176">
        <f>-'5. IEP'!X20</f>
        <v>8562871.3540700004</v>
      </c>
      <c r="Y25" s="176">
        <f>-'5. IEP'!Y20</f>
        <v>9550035.8154600002</v>
      </c>
      <c r="Z25" s="176">
        <f>-'5. IEP'!Z20</f>
        <v>9622665.0489700008</v>
      </c>
      <c r="AA25" s="176">
        <f>-'5. IEP'!AA20</f>
        <v>10130773.38405</v>
      </c>
      <c r="AB25" s="176">
        <f>-'5. IEP'!AB20</f>
        <v>10725087.44276</v>
      </c>
      <c r="AC25" s="327"/>
      <c r="AD25" s="350">
        <f t="shared" si="28"/>
        <v>5.8664233832897095E-2</v>
      </c>
      <c r="AE25" s="350">
        <f t="shared" si="29"/>
        <v>0.25251063565988074</v>
      </c>
    </row>
    <row r="26" spans="2:34" ht="13" customHeight="1">
      <c r="B26" s="287" t="str">
        <f>IF('Summary | Sumário'!D$6=Names!B$3,Names!Q18,Names!R18)</f>
        <v>NIM 1.0 (%)</v>
      </c>
      <c r="C26" s="301">
        <f>C21/C23</f>
        <v>6.2575088000465462E-2</v>
      </c>
      <c r="D26" s="301">
        <f t="shared" ref="D26:Z26" si="53">D21/D23</f>
        <v>5.2065335439290081E-2</v>
      </c>
      <c r="E26" s="301">
        <f t="shared" si="53"/>
        <v>6.0886687688602364E-2</v>
      </c>
      <c r="F26" s="301">
        <f t="shared" si="53"/>
        <v>6.3625461737537303E-2</v>
      </c>
      <c r="G26" s="301">
        <f t="shared" si="53"/>
        <v>6.7539555889729985E-2</v>
      </c>
      <c r="H26" s="301">
        <f t="shared" si="53"/>
        <v>7.121334128671894E-2</v>
      </c>
      <c r="I26" s="327"/>
      <c r="J26" s="301">
        <f t="shared" si="53"/>
        <v>6.1986299601084829E-2</v>
      </c>
      <c r="K26" s="301">
        <f t="shared" si="53"/>
        <v>5.1573366960755117E-2</v>
      </c>
      <c r="L26" s="301">
        <f t="shared" si="53"/>
        <v>6.0425607647351859E-2</v>
      </c>
      <c r="M26" s="301">
        <f t="shared" si="53"/>
        <v>6.7166871698512293E-2</v>
      </c>
      <c r="N26" s="301">
        <f t="shared" si="53"/>
        <v>6.4979358341867896E-2</v>
      </c>
      <c r="O26" s="301">
        <f t="shared" si="53"/>
        <v>6.5670899158444637E-2</v>
      </c>
      <c r="P26" s="301">
        <f t="shared" si="53"/>
        <v>6.1042116622608222E-2</v>
      </c>
      <c r="Q26" s="301">
        <f t="shared" si="53"/>
        <v>6.8125760331938429E-2</v>
      </c>
      <c r="R26" s="301">
        <f t="shared" si="53"/>
        <v>6.7835484125378126E-2</v>
      </c>
      <c r="S26" s="301">
        <f t="shared" si="53"/>
        <v>7.4411546975620982E-2</v>
      </c>
      <c r="T26" s="301">
        <f t="shared" si="53"/>
        <v>7.0688443864405828E-2</v>
      </c>
      <c r="U26" s="301">
        <f t="shared" si="53"/>
        <v>6.8054267387983244E-2</v>
      </c>
      <c r="V26" s="301">
        <f t="shared" si="53"/>
        <v>7.0865681001708938E-2</v>
      </c>
      <c r="W26" s="301">
        <f t="shared" si="53"/>
        <v>7.1016140550835119E-2</v>
      </c>
      <c r="X26" s="301">
        <f t="shared" si="53"/>
        <v>7.5014970896681812E-2</v>
      </c>
      <c r="Y26" s="301">
        <f t="shared" si="53"/>
        <v>7.5540217495343995E-2</v>
      </c>
      <c r="Z26" s="301">
        <f t="shared" si="53"/>
        <v>7.6530541871654159E-2</v>
      </c>
      <c r="AA26" s="301">
        <f t="shared" ref="AA26:AB26" si="54">AA21/AA23</f>
        <v>7.8701779757693394E-2</v>
      </c>
      <c r="AB26" s="301">
        <f t="shared" si="54"/>
        <v>8.0755731927653923E-2</v>
      </c>
      <c r="AC26" s="327"/>
      <c r="AD26" s="369">
        <f>(AB26-AA26)*100</f>
        <v>0.20539521699605295</v>
      </c>
      <c r="AE26" s="369">
        <f>(AB26-X26)*100</f>
        <v>0.57407610309721102</v>
      </c>
      <c r="AG26" s="160"/>
      <c r="AH26" s="160"/>
    </row>
    <row r="27" spans="2:34" ht="13" customHeight="1">
      <c r="B27" s="3"/>
      <c r="C27" s="327"/>
      <c r="D27" s="327"/>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653"/>
      <c r="AE27" s="653"/>
    </row>
    <row r="28" spans="2:34" ht="13" customHeight="1">
      <c r="B28" s="24" t="str">
        <f>IF('Summary | Sumário'!D$6=Names!B$3,Names!Q20,Names!R20)</f>
        <v>Risk-Adjusted NIM 1.0 (%)</v>
      </c>
      <c r="C28" s="316"/>
      <c r="D28" s="316"/>
      <c r="E28" s="316"/>
      <c r="F28" s="316"/>
      <c r="G28" s="316"/>
      <c r="H28" s="316"/>
      <c r="I28" s="182"/>
      <c r="J28" s="316"/>
      <c r="K28" s="316"/>
      <c r="L28" s="316"/>
      <c r="M28" s="316"/>
      <c r="N28" s="316"/>
      <c r="O28" s="316"/>
      <c r="P28" s="316"/>
      <c r="Q28" s="316"/>
      <c r="R28" s="316"/>
      <c r="S28" s="316"/>
      <c r="T28" s="316"/>
      <c r="U28" s="316"/>
      <c r="V28" s="316"/>
      <c r="W28" s="316"/>
      <c r="X28" s="316"/>
      <c r="Y28" s="316"/>
      <c r="Z28" s="316"/>
      <c r="AA28" s="316"/>
      <c r="AB28" s="316"/>
      <c r="AC28" s="182"/>
      <c r="AD28" s="316"/>
      <c r="AE28" s="316"/>
    </row>
    <row r="29" spans="2:34" ht="13" customHeight="1">
      <c r="B29" s="291" t="str">
        <f>B12</f>
        <v>Annualized NII after impairment losses on financial assets</v>
      </c>
      <c r="C29" s="654">
        <f>C12</f>
        <v>452957</v>
      </c>
      <c r="D29" s="654">
        <f t="shared" ref="D29:H29" si="55">D12</f>
        <v>519592.89517999999</v>
      </c>
      <c r="E29" s="654">
        <f t="shared" si="55"/>
        <v>1018553.912</v>
      </c>
      <c r="F29" s="654">
        <f t="shared" si="55"/>
        <v>1351972.1850000001</v>
      </c>
      <c r="G29" s="654">
        <f t="shared" si="55"/>
        <v>1755212.9950000001</v>
      </c>
      <c r="H29" s="654">
        <f t="shared" si="55"/>
        <v>2657292.5982886655</v>
      </c>
      <c r="I29" s="179"/>
      <c r="J29" s="654">
        <f t="shared" ref="J29:Z29" si="56">J12</f>
        <v>763153.35599999991</v>
      </c>
      <c r="K29" s="654">
        <f t="shared" si="56"/>
        <v>566173.38800000027</v>
      </c>
      <c r="L29" s="654">
        <f t="shared" si="56"/>
        <v>1260623.52</v>
      </c>
      <c r="M29" s="654">
        <f t="shared" si="56"/>
        <v>1484265.3839999996</v>
      </c>
      <c r="N29" s="654">
        <f t="shared" si="56"/>
        <v>989992.06</v>
      </c>
      <c r="O29" s="654">
        <f t="shared" si="56"/>
        <v>1376745.2440000004</v>
      </c>
      <c r="P29" s="654">
        <f t="shared" si="56"/>
        <v>1294445.8680000002</v>
      </c>
      <c r="Q29" s="654">
        <f t="shared" si="56"/>
        <v>1746705.568</v>
      </c>
      <c r="R29" s="654">
        <f t="shared" si="56"/>
        <v>1503200.4960000003</v>
      </c>
      <c r="S29" s="654">
        <f t="shared" si="56"/>
        <v>1718824</v>
      </c>
      <c r="T29" s="654">
        <f t="shared" si="56"/>
        <v>1749268.4318400002</v>
      </c>
      <c r="U29" s="654">
        <f t="shared" si="56"/>
        <v>2049559.0521599995</v>
      </c>
      <c r="V29" s="654">
        <f t="shared" si="56"/>
        <v>2325490.882079999</v>
      </c>
      <c r="W29" s="654">
        <f t="shared" si="56"/>
        <v>2482472.2592153996</v>
      </c>
      <c r="X29" s="654">
        <f t="shared" si="56"/>
        <v>2771693.9262945321</v>
      </c>
      <c r="Y29" s="654">
        <f t="shared" si="56"/>
        <v>3049513.3255647337</v>
      </c>
      <c r="Z29" s="654">
        <f t="shared" si="56"/>
        <v>3395651.6</v>
      </c>
      <c r="AA29" s="654">
        <f t="shared" ref="AA29:AB29" si="57">AA12</f>
        <v>3601032</v>
      </c>
      <c r="AB29" s="654">
        <f t="shared" si="57"/>
        <v>3927580</v>
      </c>
      <c r="AC29" s="179"/>
      <c r="AD29" s="352">
        <f t="shared" ref="AD29:AD35" si="58">AB29/AA29-1</f>
        <v>9.0681782333508876E-2</v>
      </c>
      <c r="AE29" s="352">
        <f t="shared" ref="AE29:AE35" si="59">AB29/X29-1</f>
        <v>0.41703236520446829</v>
      </c>
    </row>
    <row r="30" spans="2:34" ht="13" customHeight="1">
      <c r="B30" s="59" t="str">
        <f>B13</f>
        <v>NII after impairment losses on financial assets</v>
      </c>
      <c r="C30" s="659">
        <f>C13</f>
        <v>452957</v>
      </c>
      <c r="D30" s="659">
        <f t="shared" ref="D30:H30" si="60">D13</f>
        <v>519592.89517999999</v>
      </c>
      <c r="E30" s="659">
        <f t="shared" si="60"/>
        <v>1018553.912</v>
      </c>
      <c r="F30" s="659">
        <f t="shared" si="60"/>
        <v>1351972.1850000001</v>
      </c>
      <c r="G30" s="659">
        <f t="shared" si="60"/>
        <v>1755212.9950000001</v>
      </c>
      <c r="H30" s="659">
        <f t="shared" si="60"/>
        <v>2657292.5982886655</v>
      </c>
      <c r="I30" s="179"/>
      <c r="J30" s="659">
        <f t="shared" ref="J30:Z30" si="61">J13</f>
        <v>190788.33899999998</v>
      </c>
      <c r="K30" s="659">
        <f t="shared" si="61"/>
        <v>141543.34700000007</v>
      </c>
      <c r="L30" s="659">
        <f t="shared" si="61"/>
        <v>315155.88</v>
      </c>
      <c r="M30" s="659">
        <f t="shared" si="61"/>
        <v>371066.3459999999</v>
      </c>
      <c r="N30" s="659">
        <f t="shared" si="61"/>
        <v>247498.01500000001</v>
      </c>
      <c r="O30" s="659">
        <f t="shared" si="61"/>
        <v>344186.3110000001</v>
      </c>
      <c r="P30" s="659">
        <f t="shared" si="61"/>
        <v>323611.46700000006</v>
      </c>
      <c r="Q30" s="659">
        <f t="shared" si="61"/>
        <v>436676.39199999999</v>
      </c>
      <c r="R30" s="659">
        <f t="shared" si="61"/>
        <v>375800.12400000007</v>
      </c>
      <c r="S30" s="659">
        <f t="shared" si="61"/>
        <v>429706</v>
      </c>
      <c r="T30" s="659">
        <f t="shared" si="61"/>
        <v>437317.10796000005</v>
      </c>
      <c r="U30" s="659">
        <f t="shared" si="61"/>
        <v>512389.76303999987</v>
      </c>
      <c r="V30" s="659">
        <f t="shared" si="61"/>
        <v>581372.72051999974</v>
      </c>
      <c r="W30" s="659">
        <f t="shared" si="61"/>
        <v>620618.06480384991</v>
      </c>
      <c r="X30" s="659">
        <f t="shared" si="61"/>
        <v>692923.48157363303</v>
      </c>
      <c r="Y30" s="659">
        <f t="shared" si="61"/>
        <v>762378.33139118343</v>
      </c>
      <c r="Z30" s="659">
        <f t="shared" si="61"/>
        <v>848912.9</v>
      </c>
      <c r="AA30" s="659">
        <f t="shared" ref="AA30:AB30" si="62">AA13</f>
        <v>900258</v>
      </c>
      <c r="AB30" s="659">
        <f t="shared" si="62"/>
        <v>981895</v>
      </c>
      <c r="AC30" s="179"/>
      <c r="AD30" s="350">
        <f t="shared" si="58"/>
        <v>9.0681782333508876E-2</v>
      </c>
      <c r="AE30" s="350">
        <f t="shared" si="59"/>
        <v>0.41703236520446829</v>
      </c>
    </row>
    <row r="31" spans="2:34" ht="13" customHeight="1">
      <c r="B31" s="55" t="str">
        <f>B22</f>
        <v>NII</v>
      </c>
      <c r="C31" s="655">
        <f>C14</f>
        <v>591527</v>
      </c>
      <c r="D31" s="655">
        <f t="shared" ref="D31:H31" si="63">D14</f>
        <v>733280.89517999999</v>
      </c>
      <c r="E31" s="655">
        <f t="shared" si="63"/>
        <v>1614134.912</v>
      </c>
      <c r="F31" s="655">
        <f t="shared" si="63"/>
        <v>2435209.1850000001</v>
      </c>
      <c r="G31" s="655">
        <f t="shared" si="63"/>
        <v>3296796.9950000001</v>
      </c>
      <c r="H31" s="655">
        <f t="shared" si="63"/>
        <v>4456744.9342886657</v>
      </c>
      <c r="I31" s="179"/>
      <c r="J31" s="655">
        <f t="shared" ref="J31:Z31" si="64">J14</f>
        <v>297457.33899999998</v>
      </c>
      <c r="K31" s="655">
        <f t="shared" si="64"/>
        <v>308984.34700000007</v>
      </c>
      <c r="L31" s="655">
        <f t="shared" si="64"/>
        <v>453160.88</v>
      </c>
      <c r="M31" s="655">
        <f t="shared" si="64"/>
        <v>554532.3459999999</v>
      </c>
      <c r="N31" s="655">
        <f t="shared" si="64"/>
        <v>560444.01500000001</v>
      </c>
      <c r="O31" s="655">
        <f t="shared" si="64"/>
        <v>586650.3110000001</v>
      </c>
      <c r="P31" s="655">
        <f t="shared" si="64"/>
        <v>586724.46700000006</v>
      </c>
      <c r="Q31" s="655">
        <f t="shared" si="64"/>
        <v>701390.39199999999</v>
      </c>
      <c r="R31" s="655">
        <f t="shared" si="64"/>
        <v>726481.12400000007</v>
      </c>
      <c r="S31" s="655">
        <f t="shared" si="64"/>
        <v>828266</v>
      </c>
      <c r="T31" s="655">
        <f t="shared" si="64"/>
        <v>845216.10796000005</v>
      </c>
      <c r="U31" s="655">
        <f t="shared" si="64"/>
        <v>896833.76303999987</v>
      </c>
      <c r="V31" s="655">
        <f t="shared" si="64"/>
        <v>992420.72051999974</v>
      </c>
      <c r="W31" s="655">
        <f t="shared" si="64"/>
        <v>1041865.72580385</v>
      </c>
      <c r="X31" s="655">
        <f t="shared" si="64"/>
        <v>1164350.1315736331</v>
      </c>
      <c r="Y31" s="655">
        <f t="shared" si="64"/>
        <v>1258108.3563911831</v>
      </c>
      <c r="Z31" s="655">
        <f t="shared" si="64"/>
        <v>1362594.3</v>
      </c>
      <c r="AA31" s="655">
        <f t="shared" ref="AA31:AB31" si="65">AA14</f>
        <v>1469507</v>
      </c>
      <c r="AB31" s="655">
        <f t="shared" si="65"/>
        <v>1622691</v>
      </c>
      <c r="AC31" s="179"/>
      <c r="AD31" s="349">
        <f t="shared" si="58"/>
        <v>0.10424176271361763</v>
      </c>
      <c r="AE31" s="349">
        <f t="shared" si="59"/>
        <v>0.39364522405894675</v>
      </c>
    </row>
    <row r="32" spans="2:34" ht="13" customHeight="1">
      <c r="B32" s="60" t="str">
        <f>B15</f>
        <v>Impairment losses on financial assets</v>
      </c>
      <c r="C32" s="660">
        <f>C15</f>
        <v>-138570</v>
      </c>
      <c r="D32" s="660">
        <f t="shared" ref="D32:H32" si="66">D15</f>
        <v>-213688</v>
      </c>
      <c r="E32" s="660">
        <f t="shared" si="66"/>
        <v>-595581</v>
      </c>
      <c r="F32" s="660">
        <f t="shared" si="66"/>
        <v>-1083237</v>
      </c>
      <c r="G32" s="660">
        <f t="shared" si="66"/>
        <v>-1541584</v>
      </c>
      <c r="H32" s="660">
        <f t="shared" si="66"/>
        <v>-1799452.3359999999</v>
      </c>
      <c r="I32" s="517"/>
      <c r="J32" s="660">
        <f t="shared" ref="J32:Z32" si="67">J15</f>
        <v>-106669</v>
      </c>
      <c r="K32" s="660">
        <f t="shared" si="67"/>
        <v>-167441</v>
      </c>
      <c r="L32" s="660">
        <f t="shared" si="67"/>
        <v>-138005</v>
      </c>
      <c r="M32" s="660">
        <f t="shared" si="67"/>
        <v>-183466</v>
      </c>
      <c r="N32" s="660">
        <f t="shared" si="67"/>
        <v>-312946</v>
      </c>
      <c r="O32" s="660">
        <f t="shared" si="67"/>
        <v>-242464</v>
      </c>
      <c r="P32" s="660">
        <f t="shared" si="67"/>
        <v>-263113</v>
      </c>
      <c r="Q32" s="660">
        <f t="shared" si="67"/>
        <v>-264714</v>
      </c>
      <c r="R32" s="660">
        <f t="shared" si="67"/>
        <v>-350681</v>
      </c>
      <c r="S32" s="660">
        <f t="shared" si="67"/>
        <v>-398560</v>
      </c>
      <c r="T32" s="660">
        <f t="shared" si="67"/>
        <v>-407899</v>
      </c>
      <c r="U32" s="660">
        <f t="shared" si="67"/>
        <v>-384444</v>
      </c>
      <c r="V32" s="660">
        <f t="shared" si="67"/>
        <v>-411048</v>
      </c>
      <c r="W32" s="660">
        <f t="shared" si="67"/>
        <v>-421247.66100000002</v>
      </c>
      <c r="X32" s="660">
        <f t="shared" si="67"/>
        <v>-471426.65</v>
      </c>
      <c r="Y32" s="660">
        <f t="shared" si="67"/>
        <v>-495730.02499999967</v>
      </c>
      <c r="Z32" s="660">
        <f t="shared" si="67"/>
        <v>-513681.4</v>
      </c>
      <c r="AA32" s="660">
        <f t="shared" ref="AA32:AB32" si="68">AA15</f>
        <v>-569249</v>
      </c>
      <c r="AB32" s="660">
        <f t="shared" si="68"/>
        <v>-640796</v>
      </c>
      <c r="AC32" s="191"/>
      <c r="AD32" s="350">
        <f t="shared" si="58"/>
        <v>0.12568665030592929</v>
      </c>
      <c r="AE32" s="350">
        <f t="shared" si="59"/>
        <v>0.35926978247835573</v>
      </c>
    </row>
    <row r="33" spans="2:34" ht="13" customHeight="1">
      <c r="B33" s="63" t="str">
        <f t="shared" ref="B33:C35" si="69">B23</f>
        <v>Avg. of IEP + non-interest credit card receivables</v>
      </c>
      <c r="C33" s="655">
        <f t="shared" si="69"/>
        <v>9453075</v>
      </c>
      <c r="D33" s="655">
        <f t="shared" ref="D33:H33" si="70">D23</f>
        <v>14083860</v>
      </c>
      <c r="E33" s="655">
        <f t="shared" si="70"/>
        <v>26510473.360865001</v>
      </c>
      <c r="F33" s="655">
        <f t="shared" si="70"/>
        <v>38274129.860864997</v>
      </c>
      <c r="G33" s="655">
        <f t="shared" si="70"/>
        <v>48812832</v>
      </c>
      <c r="H33" s="655">
        <f t="shared" si="70"/>
        <v>62583005.568365797</v>
      </c>
      <c r="I33" s="327"/>
      <c r="J33" s="655">
        <f t="shared" ref="J33:Z33" si="71">J23</f>
        <v>19195037.672150001</v>
      </c>
      <c r="K33" s="655">
        <f t="shared" si="71"/>
        <v>23964644.172650002</v>
      </c>
      <c r="L33" s="655">
        <f t="shared" si="71"/>
        <v>29997936.149500001</v>
      </c>
      <c r="M33" s="655">
        <f t="shared" si="71"/>
        <v>33024158.009865001</v>
      </c>
      <c r="N33" s="655">
        <f t="shared" si="71"/>
        <v>34499818.360864997</v>
      </c>
      <c r="O33" s="655">
        <f t="shared" si="71"/>
        <v>35732741.200000003</v>
      </c>
      <c r="P33" s="655">
        <f t="shared" si="71"/>
        <v>38447190.200000003</v>
      </c>
      <c r="Q33" s="655">
        <f t="shared" si="71"/>
        <v>41182095.5</v>
      </c>
      <c r="R33" s="655">
        <f t="shared" si="71"/>
        <v>42837823.5</v>
      </c>
      <c r="S33" s="655">
        <f t="shared" si="71"/>
        <v>44523520</v>
      </c>
      <c r="T33" s="655">
        <f t="shared" si="71"/>
        <v>47827682.24923943</v>
      </c>
      <c r="U33" s="655">
        <f t="shared" si="71"/>
        <v>52712859.74923943</v>
      </c>
      <c r="V33" s="655">
        <f t="shared" si="71"/>
        <v>56017000.414971948</v>
      </c>
      <c r="W33" s="655">
        <f t="shared" si="71"/>
        <v>58683320.02965194</v>
      </c>
      <c r="X33" s="655">
        <f t="shared" si="71"/>
        <v>62086280.520046785</v>
      </c>
      <c r="Y33" s="655">
        <f t="shared" si="71"/>
        <v>66619260.473732576</v>
      </c>
      <c r="Z33" s="655">
        <f t="shared" si="71"/>
        <v>71218327.568365797</v>
      </c>
      <c r="AA33" s="655">
        <f t="shared" ref="AA33:AB33" si="72">AA23</f>
        <v>74687358</v>
      </c>
      <c r="AB33" s="655">
        <f t="shared" si="72"/>
        <v>80375273</v>
      </c>
      <c r="AC33" s="327"/>
      <c r="AD33" s="349">
        <f t="shared" si="58"/>
        <v>7.6156328893036918E-2</v>
      </c>
      <c r="AE33" s="349">
        <f t="shared" si="59"/>
        <v>0.29457381448463416</v>
      </c>
    </row>
    <row r="34" spans="2:34" ht="13" customHeight="1">
      <c r="B34" s="68" t="str">
        <f t="shared" si="69"/>
        <v>IEP</v>
      </c>
      <c r="C34" s="659">
        <f t="shared" si="69"/>
        <v>9386236.3870000001</v>
      </c>
      <c r="D34" s="659">
        <f t="shared" ref="D34:H34" si="73">D24</f>
        <v>17040214.824999999</v>
      </c>
      <c r="E34" s="659">
        <f t="shared" si="73"/>
        <v>30183988.721730001</v>
      </c>
      <c r="F34" s="659">
        <f t="shared" si="73"/>
        <v>36830160</v>
      </c>
      <c r="G34" s="659">
        <f t="shared" si="73"/>
        <v>47893695.397</v>
      </c>
      <c r="H34" s="659">
        <f t="shared" si="73"/>
        <v>60232269.321271598</v>
      </c>
      <c r="I34" s="327"/>
      <c r="J34" s="659">
        <f t="shared" ref="J34:Z34" si="74">J24</f>
        <v>17581215.344299998</v>
      </c>
      <c r="K34" s="659">
        <f t="shared" si="74"/>
        <v>25603653.001000002</v>
      </c>
      <c r="L34" s="659">
        <f t="shared" si="74"/>
        <v>28461059.298</v>
      </c>
      <c r="M34" s="659">
        <f t="shared" si="74"/>
        <v>30183988.721730001</v>
      </c>
      <c r="N34" s="659">
        <f t="shared" si="74"/>
        <v>30214049</v>
      </c>
      <c r="O34" s="659">
        <f t="shared" si="74"/>
        <v>31875026.399999999</v>
      </c>
      <c r="P34" s="659">
        <f t="shared" si="74"/>
        <v>35020294</v>
      </c>
      <c r="Q34" s="659">
        <f t="shared" si="74"/>
        <v>36830160</v>
      </c>
      <c r="R34" s="659">
        <f t="shared" si="74"/>
        <v>37753420.387827471</v>
      </c>
      <c r="S34" s="659">
        <f t="shared" si="74"/>
        <v>39709390.767574593</v>
      </c>
      <c r="T34" s="659">
        <f t="shared" si="74"/>
        <v>43274080.453478865</v>
      </c>
      <c r="U34" s="659">
        <f t="shared" si="74"/>
        <v>47893695.397</v>
      </c>
      <c r="V34" s="659">
        <f t="shared" si="74"/>
        <v>48715213.614263885</v>
      </c>
      <c r="W34" s="659">
        <f t="shared" si="74"/>
        <v>52472376.744180001</v>
      </c>
      <c r="X34" s="659">
        <f t="shared" si="74"/>
        <v>54893344.456663564</v>
      </c>
      <c r="Y34" s="659">
        <f t="shared" si="74"/>
        <v>60232269.321271598</v>
      </c>
      <c r="Z34" s="659">
        <f t="shared" si="74"/>
        <v>63031684.951030001</v>
      </c>
      <c r="AA34" s="659">
        <f t="shared" ref="AA34:AB34" si="75">AA24</f>
        <v>66589592.615950003</v>
      </c>
      <c r="AB34" s="659">
        <f t="shared" si="75"/>
        <v>73305092.557240009</v>
      </c>
      <c r="AC34" s="327"/>
      <c r="AD34" s="350">
        <f t="shared" si="58"/>
        <v>0.10084909183963786</v>
      </c>
      <c r="AE34" s="350">
        <f t="shared" si="59"/>
        <v>0.3354094796521625</v>
      </c>
    </row>
    <row r="35" spans="2:34" ht="13" customHeight="1">
      <c r="B35" s="64" t="str">
        <f t="shared" si="69"/>
        <v>Non-interest earning credit card receivables</v>
      </c>
      <c r="C35" s="656">
        <f t="shared" si="69"/>
        <v>66838.612999999998</v>
      </c>
      <c r="D35" s="656">
        <f t="shared" ref="D35:H35" si="76">D25</f>
        <v>1674430.175</v>
      </c>
      <c r="E35" s="656">
        <f t="shared" si="76"/>
        <v>4122313</v>
      </c>
      <c r="F35" s="656">
        <f t="shared" si="76"/>
        <v>5411798</v>
      </c>
      <c r="G35" s="656">
        <f t="shared" si="76"/>
        <v>7490010.6029999992</v>
      </c>
      <c r="H35" s="656">
        <f t="shared" si="76"/>
        <v>9550035.8154600002</v>
      </c>
      <c r="I35" s="327"/>
      <c r="J35" s="656">
        <f t="shared" ref="J35:Z35" si="77">J25</f>
        <v>2094215</v>
      </c>
      <c r="K35" s="656">
        <f t="shared" si="77"/>
        <v>2650205</v>
      </c>
      <c r="L35" s="656">
        <f t="shared" si="77"/>
        <v>3280955</v>
      </c>
      <c r="M35" s="656">
        <f t="shared" si="77"/>
        <v>4122313</v>
      </c>
      <c r="N35" s="656">
        <f t="shared" si="77"/>
        <v>4479286</v>
      </c>
      <c r="O35" s="656">
        <f t="shared" si="77"/>
        <v>4897121</v>
      </c>
      <c r="P35" s="656">
        <f t="shared" si="77"/>
        <v>5101939</v>
      </c>
      <c r="Q35" s="656">
        <f t="shared" si="77"/>
        <v>5411798</v>
      </c>
      <c r="R35" s="656">
        <f t="shared" si="77"/>
        <v>5680268.6121725254</v>
      </c>
      <c r="S35" s="656">
        <f t="shared" si="77"/>
        <v>5903960.2324254084</v>
      </c>
      <c r="T35" s="656">
        <f t="shared" si="77"/>
        <v>6767933.0449999999</v>
      </c>
      <c r="U35" s="656">
        <f t="shared" si="77"/>
        <v>7490010.6029999992</v>
      </c>
      <c r="V35" s="656">
        <f t="shared" si="77"/>
        <v>7935081.2156800013</v>
      </c>
      <c r="W35" s="656">
        <f t="shared" si="77"/>
        <v>8243968.4851799998</v>
      </c>
      <c r="X35" s="656">
        <f t="shared" si="77"/>
        <v>8562871.3540700004</v>
      </c>
      <c r="Y35" s="656">
        <f t="shared" si="77"/>
        <v>9550035.8154600002</v>
      </c>
      <c r="Z35" s="656">
        <f t="shared" si="77"/>
        <v>9622665.0489700008</v>
      </c>
      <c r="AA35" s="656">
        <f t="shared" ref="AA35:AB35" si="78">AA25</f>
        <v>10130773.38405</v>
      </c>
      <c r="AB35" s="656">
        <f t="shared" si="78"/>
        <v>10725087.44276</v>
      </c>
      <c r="AC35" s="327"/>
      <c r="AD35" s="349">
        <f t="shared" si="58"/>
        <v>5.8664233832897095E-2</v>
      </c>
      <c r="AE35" s="349">
        <f t="shared" si="59"/>
        <v>0.25251063565988074</v>
      </c>
    </row>
    <row r="36" spans="2:34" ht="13" customHeight="1">
      <c r="B36" s="286" t="str">
        <f>IF('Summary | Sumário'!D$6=Names!B$3,Names!Q21,Names!R21)</f>
        <v>Risk-adjusted NIM 1.0 (%)</v>
      </c>
      <c r="C36" s="315">
        <f>C29/C33</f>
        <v>4.7916365838629231E-2</v>
      </c>
      <c r="D36" s="315">
        <f t="shared" ref="D36:Z36" si="79">D29/D33</f>
        <v>3.6892790412571555E-2</v>
      </c>
      <c r="E36" s="315">
        <f t="shared" si="79"/>
        <v>3.8420811961192611E-2</v>
      </c>
      <c r="F36" s="315">
        <f t="shared" si="79"/>
        <v>3.5323394415881448E-2</v>
      </c>
      <c r="G36" s="315">
        <f t="shared" si="79"/>
        <v>3.5958024213796902E-2</v>
      </c>
      <c r="H36" s="315">
        <f t="shared" si="79"/>
        <v>4.2460290523852098E-2</v>
      </c>
      <c r="I36" s="327"/>
      <c r="J36" s="315">
        <f t="shared" si="79"/>
        <v>3.9757846222268994E-2</v>
      </c>
      <c r="K36" s="315">
        <f t="shared" si="79"/>
        <v>2.3625361758809416E-2</v>
      </c>
      <c r="L36" s="315">
        <f t="shared" si="79"/>
        <v>4.2023675019423355E-2</v>
      </c>
      <c r="M36" s="315">
        <f t="shared" si="79"/>
        <v>4.4944836551370021E-2</v>
      </c>
      <c r="N36" s="315">
        <f t="shared" si="79"/>
        <v>2.8695573108379068E-2</v>
      </c>
      <c r="O36" s="315">
        <f t="shared" si="79"/>
        <v>3.8528956854841027E-2</v>
      </c>
      <c r="P36" s="315">
        <f t="shared" si="79"/>
        <v>3.3668152633947228E-2</v>
      </c>
      <c r="Q36" s="315">
        <f t="shared" si="79"/>
        <v>4.2414198374145382E-2</v>
      </c>
      <c r="R36" s="315">
        <f t="shared" si="79"/>
        <v>3.5090496509469028E-2</v>
      </c>
      <c r="S36" s="315">
        <f t="shared" si="79"/>
        <v>3.8604854243330267E-2</v>
      </c>
      <c r="T36" s="315">
        <f t="shared" si="79"/>
        <v>3.6574392685897246E-2</v>
      </c>
      <c r="U36" s="315">
        <f t="shared" si="79"/>
        <v>3.8881575803512952E-2</v>
      </c>
      <c r="V36" s="315">
        <f t="shared" si="79"/>
        <v>4.151402011626551E-2</v>
      </c>
      <c r="W36" s="315">
        <f t="shared" si="79"/>
        <v>4.2302859789818265E-2</v>
      </c>
      <c r="X36" s="315">
        <f t="shared" si="79"/>
        <v>4.4642615132977584E-2</v>
      </c>
      <c r="Y36" s="315">
        <f t="shared" si="79"/>
        <v>4.5775250338708454E-2</v>
      </c>
      <c r="Z36" s="315">
        <f t="shared" si="79"/>
        <v>4.767946280036351E-2</v>
      </c>
      <c r="AA36" s="315">
        <f t="shared" ref="AA36:AB36" si="80">AA29/AA33</f>
        <v>4.8214746061843561E-2</v>
      </c>
      <c r="AB36" s="315">
        <f t="shared" si="80"/>
        <v>4.8865526092832061E-2</v>
      </c>
      <c r="AC36" s="327"/>
      <c r="AD36" s="370">
        <f>(AB36-AA36)*100</f>
        <v>6.5078003098850007E-2</v>
      </c>
      <c r="AE36" s="370">
        <f>(AB36-X36)*100</f>
        <v>0.42229109598544767</v>
      </c>
      <c r="AG36" s="160"/>
      <c r="AH36" s="160"/>
    </row>
    <row r="37" spans="2:34" ht="13" customHeight="1">
      <c r="B37" s="64"/>
      <c r="C37" s="175"/>
      <c r="D37" s="175"/>
      <c r="E37" s="175"/>
      <c r="F37" s="175"/>
      <c r="G37" s="175"/>
      <c r="H37" s="175"/>
      <c r="I37" s="327"/>
      <c r="J37" s="175"/>
      <c r="K37" s="175"/>
      <c r="L37" s="175"/>
      <c r="M37" s="175"/>
      <c r="N37" s="175"/>
      <c r="O37" s="175"/>
      <c r="P37" s="175"/>
      <c r="Q37" s="175"/>
      <c r="R37" s="175"/>
      <c r="S37" s="175"/>
      <c r="T37" s="175"/>
      <c r="U37" s="175"/>
      <c r="V37" s="175"/>
      <c r="W37" s="175"/>
      <c r="X37" s="175"/>
      <c r="Y37" s="175"/>
      <c r="Z37" s="175"/>
      <c r="AA37" s="175"/>
      <c r="AB37" s="175"/>
      <c r="AC37" s="327"/>
      <c r="AD37" s="349"/>
      <c r="AE37" s="349"/>
    </row>
    <row r="38" spans="2:34" ht="13" customHeight="1">
      <c r="B38" s="24" t="str">
        <f>IF('Summary | Sumário'!D$6=Names!B$3,Names!O69,Names!Z69)</f>
        <v>Loan interest income including hedge accounting results</v>
      </c>
      <c r="C38" s="316"/>
      <c r="D38" s="316"/>
      <c r="E38" s="316"/>
      <c r="F38" s="316"/>
      <c r="G38" s="316"/>
      <c r="H38" s="316"/>
      <c r="I38" s="182"/>
      <c r="J38" s="316"/>
      <c r="K38" s="316"/>
      <c r="L38" s="316"/>
      <c r="M38" s="316"/>
      <c r="N38" s="316"/>
      <c r="O38" s="316"/>
      <c r="P38" s="316"/>
      <c r="Q38" s="316"/>
      <c r="R38" s="316"/>
      <c r="S38" s="316"/>
      <c r="T38" s="316"/>
      <c r="U38" s="316"/>
      <c r="V38" s="316"/>
      <c r="W38" s="316"/>
      <c r="X38" s="316"/>
      <c r="Y38" s="316"/>
      <c r="Z38" s="316"/>
      <c r="AA38" s="316"/>
      <c r="AB38" s="316"/>
      <c r="AC38" s="182"/>
      <c r="AD38" s="316"/>
      <c r="AE38" s="316"/>
    </row>
    <row r="39" spans="2:34" ht="13" customHeight="1">
      <c r="B39" s="291" t="str">
        <f>IF('Summary | Sumário'!D$6=Names!B$3,Names!O70,Names!Z70)</f>
        <v>Loan interest income including hedge accounting results</v>
      </c>
      <c r="C39" s="292">
        <f t="shared" ref="C39:Y39" si="81">C40+C43+C46+C47+C48</f>
        <v>0</v>
      </c>
      <c r="D39" s="292">
        <f t="shared" si="81"/>
        <v>737699.81700066302</v>
      </c>
      <c r="E39" s="292">
        <f t="shared" si="81"/>
        <v>1269380.477</v>
      </c>
      <c r="F39" s="292">
        <f t="shared" si="81"/>
        <v>2539555.3358900002</v>
      </c>
      <c r="G39" s="292">
        <f t="shared" si="81"/>
        <v>3939985.3047600002</v>
      </c>
      <c r="H39" s="292">
        <f t="shared" si="81"/>
        <v>5136849.6064396547</v>
      </c>
      <c r="I39" s="179"/>
      <c r="J39" s="292">
        <f t="shared" si="81"/>
        <v>254089.647</v>
      </c>
      <c r="K39" s="292">
        <f t="shared" si="81"/>
        <v>259130.68700000001</v>
      </c>
      <c r="L39" s="292">
        <f t="shared" si="81"/>
        <v>333597.48799999995</v>
      </c>
      <c r="M39" s="292">
        <f t="shared" si="81"/>
        <v>422562.65499999997</v>
      </c>
      <c r="N39" s="292">
        <f t="shared" si="81"/>
        <v>462706.47729999997</v>
      </c>
      <c r="O39" s="292">
        <f t="shared" si="81"/>
        <v>590255.37990000006</v>
      </c>
      <c r="P39" s="292">
        <f t="shared" si="81"/>
        <v>696713.13199000002</v>
      </c>
      <c r="Q39" s="292">
        <f t="shared" si="81"/>
        <v>789880.34670000011</v>
      </c>
      <c r="R39" s="292">
        <f t="shared" si="81"/>
        <v>886304.71213999996</v>
      </c>
      <c r="S39" s="292">
        <f t="shared" si="81"/>
        <v>977301.38766000001</v>
      </c>
      <c r="T39" s="292">
        <f t="shared" si="81"/>
        <v>1003693.5776600001</v>
      </c>
      <c r="U39" s="292">
        <f t="shared" si="81"/>
        <v>1072685.6272999998</v>
      </c>
      <c r="V39" s="292">
        <f t="shared" si="81"/>
        <v>1149452.21037318</v>
      </c>
      <c r="W39" s="292">
        <f t="shared" si="81"/>
        <v>1233417.7871065245</v>
      </c>
      <c r="X39" s="292">
        <f t="shared" si="81"/>
        <v>1319780.3339592982</v>
      </c>
      <c r="Y39" s="292">
        <f t="shared" si="81"/>
        <v>1434199.2750006525</v>
      </c>
      <c r="Z39" s="292">
        <f>Z40+Z43+Z46+Z47+Z48</f>
        <v>1620463.92</v>
      </c>
      <c r="AA39" s="292">
        <f>AA40+AA43+AA46+AA47+AA48</f>
        <v>1860406.1469999999</v>
      </c>
      <c r="AB39" s="292">
        <f>AB40+AB43+AB46+AB47+AB48</f>
        <v>2037949.6535700001</v>
      </c>
      <c r="AC39" s="179"/>
      <c r="AD39" s="339">
        <f t="shared" ref="AD39:AD58" si="82">AB39/AA39-1</f>
        <v>9.543265961376135E-2</v>
      </c>
      <c r="AE39" s="339">
        <f t="shared" ref="AE39:AE58" si="83">AB39/X39-1</f>
        <v>0.54415822173695916</v>
      </c>
    </row>
    <row r="40" spans="2:34" ht="13" customHeight="1">
      <c r="B40" s="60" t="str">
        <f>IF('Summary | Sumário'!D$6=Names!B$3,Names!O71,Names!Z71)</f>
        <v>Real estate net of hedge accounting</v>
      </c>
      <c r="C40" s="192">
        <f>SUM(C41:C42)</f>
        <v>0</v>
      </c>
      <c r="D40" s="192">
        <f t="shared" ref="D40:Z40" si="84">SUM(D41:D42)</f>
        <v>364047.24736066308</v>
      </c>
      <c r="E40" s="192">
        <f t="shared" si="84"/>
        <v>506152.02299999999</v>
      </c>
      <c r="F40" s="192">
        <f t="shared" si="84"/>
        <v>686426.02495000011</v>
      </c>
      <c r="G40" s="192">
        <f t="shared" si="84"/>
        <v>916460.17859000002</v>
      </c>
      <c r="H40" s="192">
        <f t="shared" si="84"/>
        <v>1289071.2848545881</v>
      </c>
      <c r="I40" s="193"/>
      <c r="J40" s="192">
        <f t="shared" si="84"/>
        <v>122829.734</v>
      </c>
      <c r="K40" s="192">
        <f t="shared" si="84"/>
        <v>99909.904999999999</v>
      </c>
      <c r="L40" s="192">
        <f t="shared" si="84"/>
        <v>138366.29499999998</v>
      </c>
      <c r="M40" s="192">
        <f t="shared" si="84"/>
        <v>145046.08900000001</v>
      </c>
      <c r="N40" s="192">
        <f t="shared" si="84"/>
        <v>155160.64770999999</v>
      </c>
      <c r="O40" s="192">
        <f t="shared" si="84"/>
        <v>194074.39667999998</v>
      </c>
      <c r="P40" s="192">
        <f t="shared" si="84"/>
        <v>160131.83665000004</v>
      </c>
      <c r="Q40" s="192">
        <f t="shared" si="84"/>
        <v>177059.14390999998</v>
      </c>
      <c r="R40" s="192">
        <f t="shared" si="84"/>
        <v>215435.45587999999</v>
      </c>
      <c r="S40" s="192">
        <f t="shared" si="84"/>
        <v>236226.77327000001</v>
      </c>
      <c r="T40" s="192">
        <f t="shared" si="84"/>
        <v>216442.19209</v>
      </c>
      <c r="U40" s="192">
        <f t="shared" si="84"/>
        <v>248355.75734999997</v>
      </c>
      <c r="V40" s="192">
        <f t="shared" si="84"/>
        <v>295138.91551317996</v>
      </c>
      <c r="W40" s="192">
        <f t="shared" si="84"/>
        <v>333405.19177652436</v>
      </c>
      <c r="X40" s="192">
        <f t="shared" si="84"/>
        <v>291609.27909697121</v>
      </c>
      <c r="Y40" s="192">
        <f t="shared" si="84"/>
        <v>368917.89846791275</v>
      </c>
      <c r="Z40" s="192">
        <f t="shared" si="84"/>
        <v>428299.84499999997</v>
      </c>
      <c r="AA40" s="192">
        <f t="shared" ref="AA40:AB40" si="85">SUM(AA41:AA42)</f>
        <v>487001.54499999998</v>
      </c>
      <c r="AB40" s="192">
        <f t="shared" si="85"/>
        <v>503686.41337999998</v>
      </c>
      <c r="AD40" s="156">
        <f t="shared" si="82"/>
        <v>3.426040132993835E-2</v>
      </c>
      <c r="AE40" s="156">
        <f t="shared" si="83"/>
        <v>0.72726469795395321</v>
      </c>
    </row>
    <row r="41" spans="2:34" ht="13" customHeight="1">
      <c r="B41" s="652" t="str">
        <f>IF('Summary | Sumário'!D$6=Names!B$3,Names!O72,Names!Z72)</f>
        <v>Real estate</v>
      </c>
      <c r="C41" s="191">
        <f>'6. NII'!C7</f>
        <v>0</v>
      </c>
      <c r="D41" s="191">
        <f>'6. NII'!D7</f>
        <v>435019.64619000006</v>
      </c>
      <c r="E41" s="191">
        <f>'6. NII'!E7</f>
        <v>579506.26199999999</v>
      </c>
      <c r="F41" s="191">
        <f>'6. NII'!F7</f>
        <v>714011.42595000006</v>
      </c>
      <c r="G41" s="191">
        <f>'6. NII'!G7</f>
        <v>925900</v>
      </c>
      <c r="H41" s="191">
        <f>'6. NII'!H7</f>
        <v>1080760.6800631299</v>
      </c>
      <c r="I41" s="175"/>
      <c r="J41" s="191">
        <f>'6. NII'!J7</f>
        <v>139297.851</v>
      </c>
      <c r="K41" s="191">
        <f>'6. NII'!K7</f>
        <v>136320.81899999999</v>
      </c>
      <c r="L41" s="191">
        <f>'6. NII'!L7</f>
        <v>141281.71</v>
      </c>
      <c r="M41" s="191">
        <f>'6. NII'!M7</f>
        <v>162605.88200000001</v>
      </c>
      <c r="N41" s="191">
        <f>'6. NII'!N7</f>
        <v>163483.92470999999</v>
      </c>
      <c r="O41" s="191">
        <f>'6. NII'!O7</f>
        <v>208572.24767999997</v>
      </c>
      <c r="P41" s="191">
        <f>'6. NII'!P7</f>
        <v>169001.99365000005</v>
      </c>
      <c r="Q41" s="191">
        <f>'6. NII'!Q7</f>
        <v>172953.25990999999</v>
      </c>
      <c r="R41" s="191">
        <f>'6. NII'!R7</f>
        <v>220549.84688</v>
      </c>
      <c r="S41" s="191">
        <f>'6. NII'!S7</f>
        <v>230186.84327000001</v>
      </c>
      <c r="T41" s="191">
        <f>'6. NII'!T7</f>
        <v>210305.65125</v>
      </c>
      <c r="U41" s="191">
        <f>'6. NII'!U7</f>
        <v>264857.65859999997</v>
      </c>
      <c r="V41" s="191">
        <f>'6. NII'!V7</f>
        <v>268726.12008999998</v>
      </c>
      <c r="W41" s="191">
        <f>'6. NII'!W7</f>
        <v>266162.86888999998</v>
      </c>
      <c r="X41" s="191">
        <f>'6. NII'!X7</f>
        <v>280656.44909697119</v>
      </c>
      <c r="Y41" s="191">
        <f>'6. NII'!Y7</f>
        <v>265215.24198615877</v>
      </c>
      <c r="Z41" s="191">
        <f>'6. NII'!Z7</f>
        <v>443469</v>
      </c>
      <c r="AA41" s="191">
        <f>'6. NII'!AA7</f>
        <v>507523</v>
      </c>
      <c r="AB41" s="191">
        <f>'6. NII'!AB7</f>
        <v>367166</v>
      </c>
      <c r="AD41" s="155">
        <f t="shared" si="82"/>
        <v>-0.27655298380566007</v>
      </c>
      <c r="AE41" s="155">
        <f t="shared" si="83"/>
        <v>0.30824002506045534</v>
      </c>
    </row>
    <row r="42" spans="2:34" ht="13" customHeight="1">
      <c r="B42" s="564" t="str">
        <f>IF('Summary | Sumário'!D$6=Names!B$3,Names!O73,Names!Z73)</f>
        <v>(+) Hedge accounting from real estate loans</v>
      </c>
      <c r="C42" s="190">
        <f>'6. NII'!C29</f>
        <v>0</v>
      </c>
      <c r="D42" s="190">
        <f>'6. NII'!D29</f>
        <v>-70972.398829336977</v>
      </c>
      <c r="E42" s="190">
        <f>'6. NII'!E29</f>
        <v>-73354.239000000001</v>
      </c>
      <c r="F42" s="190">
        <f>'6. NII'!F29</f>
        <v>-27585.400999999998</v>
      </c>
      <c r="G42" s="190">
        <f>'6. NII'!G29</f>
        <v>-9439.8214100000023</v>
      </c>
      <c r="H42" s="190">
        <f>'6. NII'!H29</f>
        <v>208310.60479145829</v>
      </c>
      <c r="I42" s="175"/>
      <c r="J42" s="190">
        <f>'6. NII'!J29</f>
        <v>-16468.116999999998</v>
      </c>
      <c r="K42" s="190">
        <f>'6. NII'!K29</f>
        <v>-36410.913999999997</v>
      </c>
      <c r="L42" s="190">
        <f>'6. NII'!L29</f>
        <v>-2915.415</v>
      </c>
      <c r="M42" s="190">
        <f>'6. NII'!M29</f>
        <v>-17559.793000000001</v>
      </c>
      <c r="N42" s="190">
        <f>'6. NII'!N29</f>
        <v>-8323.277</v>
      </c>
      <c r="O42" s="190">
        <f>'6. NII'!O29</f>
        <v>-14497.851000000001</v>
      </c>
      <c r="P42" s="190">
        <f>'6. NII'!P29</f>
        <v>-8870.1569999999992</v>
      </c>
      <c r="Q42" s="190">
        <f>'6. NII'!Q29</f>
        <v>4105.884</v>
      </c>
      <c r="R42" s="190">
        <f>'6. NII'!R29</f>
        <v>-5114.3909999999996</v>
      </c>
      <c r="S42" s="190">
        <f>'6. NII'!S29</f>
        <v>6039.93</v>
      </c>
      <c r="T42" s="190">
        <f>'6. NII'!T29</f>
        <v>6136.5408399999997</v>
      </c>
      <c r="U42" s="190">
        <f>'6. NII'!U29</f>
        <v>-16501.901250000003</v>
      </c>
      <c r="V42" s="190">
        <f>'6. NII'!V29</f>
        <v>26412.795423179959</v>
      </c>
      <c r="W42" s="190">
        <f>'6. NII'!W29</f>
        <v>67242.322886524373</v>
      </c>
      <c r="X42" s="190">
        <f>'6. NII'!X29</f>
        <v>10952.83</v>
      </c>
      <c r="Y42" s="190">
        <f>'6. NII'!Y29</f>
        <v>103702.65648175398</v>
      </c>
      <c r="Z42" s="190">
        <f>'6. NII'!Z29</f>
        <v>-15169.155000000001</v>
      </c>
      <c r="AA42" s="190">
        <f>'6. NII'!AA29</f>
        <v>-20521.455000000002</v>
      </c>
      <c r="AB42" s="190">
        <f>'6. NII'!AB29</f>
        <v>136520.41337999998</v>
      </c>
      <c r="AD42" s="156">
        <f t="shared" si="82"/>
        <v>-7.6525698777206577</v>
      </c>
      <c r="AE42" s="156">
        <f t="shared" si="83"/>
        <v>11.464396268361691</v>
      </c>
    </row>
    <row r="43" spans="2:34" ht="13" customHeight="1">
      <c r="B43" s="55" t="str">
        <f>IF('Summary | Sumário'!D$6=Names!B$3,Names!O74,Names!Z74)</f>
        <v>Personal net of hedge accounting</v>
      </c>
      <c r="C43" s="193">
        <f>SUM(C44:C45)</f>
        <v>0</v>
      </c>
      <c r="D43" s="193">
        <f t="shared" ref="D43:Z43" si="86">SUM(D44:D45)</f>
        <v>194589.16927000001</v>
      </c>
      <c r="E43" s="193">
        <f t="shared" si="86"/>
        <v>319455.67200000002</v>
      </c>
      <c r="F43" s="193">
        <f t="shared" si="86"/>
        <v>583197.69805000001</v>
      </c>
      <c r="G43" s="193">
        <f t="shared" si="86"/>
        <v>1012664.1261700001</v>
      </c>
      <c r="H43" s="193">
        <f t="shared" si="86"/>
        <v>1383732.0246502999</v>
      </c>
      <c r="I43" s="193"/>
      <c r="J43" s="193">
        <f t="shared" si="86"/>
        <v>63981.644999999997</v>
      </c>
      <c r="K43" s="193">
        <f t="shared" si="86"/>
        <v>73178.934000000008</v>
      </c>
      <c r="L43" s="193">
        <f t="shared" si="86"/>
        <v>85052.814000000013</v>
      </c>
      <c r="M43" s="193">
        <f t="shared" si="86"/>
        <v>97242.27900000001</v>
      </c>
      <c r="N43" s="193">
        <f t="shared" si="86"/>
        <v>108222.83400999999</v>
      </c>
      <c r="O43" s="193">
        <f t="shared" si="86"/>
        <v>133460.16244000001</v>
      </c>
      <c r="P43" s="193">
        <f t="shared" si="86"/>
        <v>159493.41924999998</v>
      </c>
      <c r="Q43" s="193">
        <f t="shared" si="86"/>
        <v>182021.28234999996</v>
      </c>
      <c r="R43" s="193">
        <f t="shared" si="86"/>
        <v>209198.23068999997</v>
      </c>
      <c r="S43" s="193">
        <f t="shared" si="86"/>
        <v>253833.49125999992</v>
      </c>
      <c r="T43" s="193">
        <f t="shared" si="86"/>
        <v>261285.72764000003</v>
      </c>
      <c r="U43" s="193">
        <f t="shared" si="86"/>
        <v>288346.67658000003</v>
      </c>
      <c r="V43" s="193">
        <f t="shared" si="86"/>
        <v>317612.29486000002</v>
      </c>
      <c r="W43" s="193">
        <f t="shared" si="86"/>
        <v>325101.85233000002</v>
      </c>
      <c r="X43" s="193">
        <f t="shared" si="86"/>
        <v>365865.23014069098</v>
      </c>
      <c r="Y43" s="193">
        <f t="shared" si="86"/>
        <v>375152.64731960883</v>
      </c>
      <c r="Z43" s="193">
        <f t="shared" si="86"/>
        <v>420569.07500000001</v>
      </c>
      <c r="AA43" s="193">
        <f t="shared" ref="AA43:AB43" si="87">SUM(AA44:AA45)</f>
        <v>543861.60199999996</v>
      </c>
      <c r="AB43" s="193">
        <f t="shared" si="87"/>
        <v>676286.24019000004</v>
      </c>
      <c r="AD43" s="155">
        <f t="shared" si="82"/>
        <v>0.24348958945257571</v>
      </c>
      <c r="AE43" s="155">
        <f t="shared" si="83"/>
        <v>0.8484572582366976</v>
      </c>
    </row>
    <row r="44" spans="2:34" ht="13" customHeight="1">
      <c r="B44" s="564" t="str">
        <f>IF('Summary | Sumário'!D$6=Names!B$3,Names!O75,Names!Z75)</f>
        <v>Personal</v>
      </c>
      <c r="C44" s="190">
        <f>'6. NII'!C8</f>
        <v>0</v>
      </c>
      <c r="D44" s="190">
        <f>'6. NII'!D8</f>
        <v>194589.16927000001</v>
      </c>
      <c r="E44" s="190">
        <f>'6. NII'!E8</f>
        <v>319455.67200000002</v>
      </c>
      <c r="F44" s="190">
        <f>'6. NII'!F8</f>
        <v>583197.69805000001</v>
      </c>
      <c r="G44" s="190">
        <f>'6. NII'!G8</f>
        <v>1117470</v>
      </c>
      <c r="H44" s="190">
        <f>'6. NII'!H8</f>
        <v>1040254.5429802999</v>
      </c>
      <c r="I44" s="175"/>
      <c r="J44" s="190">
        <f>'6. NII'!J8</f>
        <v>63981.644999999997</v>
      </c>
      <c r="K44" s="190">
        <f>'6. NII'!K8</f>
        <v>73178.934000000008</v>
      </c>
      <c r="L44" s="190">
        <f>'6. NII'!L8</f>
        <v>85052.814000000013</v>
      </c>
      <c r="M44" s="190">
        <f>'6. NII'!M8</f>
        <v>97242.27900000001</v>
      </c>
      <c r="N44" s="190">
        <f>'6. NII'!N8</f>
        <v>108222.83400999999</v>
      </c>
      <c r="O44" s="190">
        <f>'6. NII'!O8</f>
        <v>133460.16244000001</v>
      </c>
      <c r="P44" s="190">
        <f>'6. NII'!P8</f>
        <v>159493.41924999998</v>
      </c>
      <c r="Q44" s="190">
        <f>'6. NII'!Q8</f>
        <v>182021.28234999996</v>
      </c>
      <c r="R44" s="190">
        <f>'6. NII'!R8</f>
        <v>223476.20140999998</v>
      </c>
      <c r="S44" s="190">
        <f>'6. NII'!S8</f>
        <v>318868.07952999993</v>
      </c>
      <c r="T44" s="190">
        <f>'6. NII'!T8</f>
        <v>215827.96117000002</v>
      </c>
      <c r="U44" s="190">
        <f>'6. NII'!U8</f>
        <v>359297.75789000001</v>
      </c>
      <c r="V44" s="190">
        <f>'6. NII'!V8</f>
        <v>275126</v>
      </c>
      <c r="W44" s="190">
        <f>'6. NII'!W8</f>
        <v>204785.36600000001</v>
      </c>
      <c r="X44" s="190">
        <f>'6. NII'!X8</f>
        <v>355360.76014069101</v>
      </c>
      <c r="Y44" s="190">
        <f>'6. NII'!Y8</f>
        <v>204982.41683960881</v>
      </c>
      <c r="Z44" s="190">
        <f>'6. NII'!Z8</f>
        <v>473524</v>
      </c>
      <c r="AA44" s="190">
        <f>'6. NII'!AA8</f>
        <v>609166</v>
      </c>
      <c r="AB44" s="190">
        <f>'6. NII'!AB8</f>
        <v>662784</v>
      </c>
      <c r="AD44" s="156">
        <f t="shared" si="82"/>
        <v>8.8018700978058417E-2</v>
      </c>
      <c r="AE44" s="156">
        <f t="shared" si="83"/>
        <v>0.86510181860708801</v>
      </c>
    </row>
    <row r="45" spans="2:34" ht="13" customHeight="1">
      <c r="B45" s="652" t="str">
        <f>IF('Summary | Sumário'!D$6=Names!B$3,Names!O76,Names!Z76)</f>
        <v>(+) Hedge accounting from personal loans</v>
      </c>
      <c r="C45" s="191">
        <f>'6. NII'!C30</f>
        <v>0</v>
      </c>
      <c r="D45" s="191">
        <f>'6. NII'!D30</f>
        <v>0</v>
      </c>
      <c r="E45" s="191">
        <f>'6. NII'!E30</f>
        <v>0</v>
      </c>
      <c r="F45" s="191">
        <f>'6. NII'!F30</f>
        <v>0</v>
      </c>
      <c r="G45" s="191">
        <f>'6. NII'!G30</f>
        <v>-104805.87383</v>
      </c>
      <c r="H45" s="191">
        <f>'6. NII'!H30</f>
        <v>343477.48167000001</v>
      </c>
      <c r="I45" s="175"/>
      <c r="J45" s="191">
        <f>'6. NII'!J30</f>
        <v>0</v>
      </c>
      <c r="K45" s="191">
        <f>'6. NII'!K30</f>
        <v>0</v>
      </c>
      <c r="L45" s="191">
        <f>'6. NII'!L30</f>
        <v>0</v>
      </c>
      <c r="M45" s="191">
        <f>'6. NII'!M30</f>
        <v>0</v>
      </c>
      <c r="N45" s="191">
        <f>'6. NII'!N30</f>
        <v>0</v>
      </c>
      <c r="O45" s="191">
        <f>'6. NII'!O30</f>
        <v>0</v>
      </c>
      <c r="P45" s="191">
        <f>'6. NII'!P30</f>
        <v>0</v>
      </c>
      <c r="Q45" s="191">
        <f>'6. NII'!Q30</f>
        <v>0</v>
      </c>
      <c r="R45" s="191">
        <f>'6. NII'!R30</f>
        <v>-14277.970720000001</v>
      </c>
      <c r="S45" s="191">
        <f>'6. NII'!S30</f>
        <v>-65034.58827</v>
      </c>
      <c r="T45" s="191">
        <f>'6. NII'!T30</f>
        <v>45457.766470000002</v>
      </c>
      <c r="U45" s="191">
        <f>'6. NII'!U30</f>
        <v>-70951.081309999994</v>
      </c>
      <c r="V45" s="191">
        <f>'6. NII'!V30</f>
        <v>42486.294860000002</v>
      </c>
      <c r="W45" s="191">
        <f>'6. NII'!W30</f>
        <v>120316.48633000001</v>
      </c>
      <c r="X45" s="191">
        <f>'6. NII'!X30</f>
        <v>10504.47</v>
      </c>
      <c r="Y45" s="191">
        <f>'6. NII'!Y30</f>
        <v>170170.23048</v>
      </c>
      <c r="Z45" s="191">
        <f>'6. NII'!Z30</f>
        <v>-52954.925000000003</v>
      </c>
      <c r="AA45" s="191">
        <f>'6. NII'!AA30</f>
        <v>-65304.398000000001</v>
      </c>
      <c r="AB45" s="191">
        <f>'6. NII'!AB30</f>
        <v>13502.240190000006</v>
      </c>
      <c r="AD45" s="155">
        <f t="shared" si="82"/>
        <v>-1.2067585124971216</v>
      </c>
      <c r="AE45" s="155">
        <f t="shared" si="83"/>
        <v>0.28538043233023713</v>
      </c>
    </row>
    <row r="46" spans="2:34" ht="13" customHeight="1">
      <c r="B46" s="60" t="str">
        <f>IF('Summary | Sumário'!D$6=Names!B$3,Names!O77,Names!Z77)</f>
        <v>SME</v>
      </c>
      <c r="C46" s="190">
        <f>'6. NII'!C9</f>
        <v>0</v>
      </c>
      <c r="D46" s="190">
        <f>'6. NII'!D9</f>
        <v>59990.754910000003</v>
      </c>
      <c r="E46" s="190">
        <f>'6. NII'!E9</f>
        <v>186131.85699999999</v>
      </c>
      <c r="F46" s="190">
        <f>'6. NII'!F9</f>
        <v>450650.24199999997</v>
      </c>
      <c r="G46" s="190">
        <f>'6. NII'!G9</f>
        <v>521929</v>
      </c>
      <c r="H46" s="190">
        <f>'6. NII'!H9</f>
        <v>567087.72747602698</v>
      </c>
      <c r="I46" s="175"/>
      <c r="J46" s="190">
        <f>'6. NII'!J9</f>
        <v>20454.21</v>
      </c>
      <c r="K46" s="190">
        <f>'6. NII'!K9</f>
        <v>37744.78</v>
      </c>
      <c r="L46" s="190">
        <f>'6. NII'!L9</f>
        <v>42772.136999999988</v>
      </c>
      <c r="M46" s="190">
        <f>'6. NII'!M9</f>
        <v>85160.73000000001</v>
      </c>
      <c r="N46" s="190">
        <f>'6. NII'!N9</f>
        <v>84615.255999999994</v>
      </c>
      <c r="O46" s="190">
        <f>'6. NII'!O9</f>
        <v>107134.802</v>
      </c>
      <c r="P46" s="190">
        <f>'6. NII'!P9</f>
        <v>112397.92600000002</v>
      </c>
      <c r="Q46" s="190">
        <f>'6. NII'!Q9</f>
        <v>146502.258</v>
      </c>
      <c r="R46" s="190">
        <f>'6. NII'!R9</f>
        <v>124265.87599999999</v>
      </c>
      <c r="S46" s="190">
        <f>'6. NII'!S9</f>
        <v>120750</v>
      </c>
      <c r="T46" s="190">
        <f>'6. NII'!T9</f>
        <v>131787.38165</v>
      </c>
      <c r="U46" s="190">
        <f>'6. NII'!U9</f>
        <v>145125.74235000001</v>
      </c>
      <c r="V46" s="190">
        <f>'6. NII'!V9</f>
        <v>124639</v>
      </c>
      <c r="W46" s="190">
        <f>'6. NII'!W9</f>
        <v>152217.704</v>
      </c>
      <c r="X46" s="190">
        <f>'6. NII'!X9</f>
        <v>145605.608548077</v>
      </c>
      <c r="Y46" s="190">
        <f>'6. NII'!Y9</f>
        <v>144625.41492794995</v>
      </c>
      <c r="Z46" s="190">
        <f>'6. NII'!Z9</f>
        <v>127223</v>
      </c>
      <c r="AA46" s="190">
        <f>'6. NII'!AA9</f>
        <v>136543</v>
      </c>
      <c r="AB46" s="190">
        <f>'6. NII'!AB9</f>
        <v>143359</v>
      </c>
      <c r="AD46" s="156">
        <f t="shared" si="82"/>
        <v>4.9918340742476808E-2</v>
      </c>
      <c r="AE46" s="156">
        <f t="shared" si="83"/>
        <v>-1.5429409419591145E-2</v>
      </c>
    </row>
    <row r="47" spans="2:34" ht="13" customHeight="1">
      <c r="B47" s="55" t="str">
        <f>IF('Summary | Sumário'!D$6=Names!B$3,Names!O78,Names!Z78)</f>
        <v>Credit Cards</v>
      </c>
      <c r="C47" s="191">
        <f>'6. NII'!C10</f>
        <v>0</v>
      </c>
      <c r="D47" s="191">
        <f>'6. NII'!D10</f>
        <v>118278.86974999998</v>
      </c>
      <c r="E47" s="191">
        <f>'6. NII'!E10</f>
        <v>245100.40700000001</v>
      </c>
      <c r="F47" s="191">
        <f>'6. NII'!F10</f>
        <v>717577.09288999997</v>
      </c>
      <c r="G47" s="191">
        <f>'6. NII'!G10</f>
        <v>1246489</v>
      </c>
      <c r="H47" s="191">
        <f>'6. NII'!H10</f>
        <v>1478234.26339874</v>
      </c>
      <c r="I47" s="175"/>
      <c r="J47" s="191">
        <f>'6. NII'!J10</f>
        <v>44269.502</v>
      </c>
      <c r="K47" s="191">
        <f>'6. NII'!K10</f>
        <v>45538.873</v>
      </c>
      <c r="L47" s="191">
        <f>'6. NII'!L10</f>
        <v>66073.068999999989</v>
      </c>
      <c r="M47" s="191">
        <f>'6. NII'!M10</f>
        <v>89218.963000000018</v>
      </c>
      <c r="N47" s="191">
        <f>'6. NII'!N10</f>
        <v>109464.90658000001</v>
      </c>
      <c r="O47" s="191">
        <f>'6. NII'!O10</f>
        <v>137867.95378000001</v>
      </c>
      <c r="P47" s="191">
        <f>'6. NII'!P10</f>
        <v>231785.95109000002</v>
      </c>
      <c r="Q47" s="191">
        <f>'6. NII'!Q10</f>
        <v>238458.28143999999</v>
      </c>
      <c r="R47" s="191">
        <f>'6. NII'!R10</f>
        <v>272598.95357000001</v>
      </c>
      <c r="S47" s="191">
        <f>'6. NII'!S10</f>
        <v>306514.12313000002</v>
      </c>
      <c r="T47" s="191">
        <f>'6. NII'!T10</f>
        <v>333795.27627999999</v>
      </c>
      <c r="U47" s="191">
        <f>'6. NII'!U10</f>
        <v>333580.64701999992</v>
      </c>
      <c r="V47" s="191">
        <f>'6. NII'!V10</f>
        <v>352400</v>
      </c>
      <c r="W47" s="191">
        <f>'6. NII'!W10</f>
        <v>369047.58500000002</v>
      </c>
      <c r="X47" s="191">
        <f>'6. NII'!X10</f>
        <v>379767.67666355905</v>
      </c>
      <c r="Y47" s="191">
        <f>'6. NII'!Y10</f>
        <v>377019.00173518108</v>
      </c>
      <c r="Z47" s="191">
        <f>'6. NII'!Z10</f>
        <v>403675</v>
      </c>
      <c r="AA47" s="191">
        <f>'6. NII'!AA10</f>
        <v>446533</v>
      </c>
      <c r="AB47" s="191">
        <f>'6. NII'!AB10</f>
        <v>551464</v>
      </c>
      <c r="AC47" s="191"/>
      <c r="AD47" s="155">
        <f t="shared" si="82"/>
        <v>0.23499047102901693</v>
      </c>
      <c r="AE47" s="155">
        <f t="shared" si="83"/>
        <v>0.45210883886926712</v>
      </c>
    </row>
    <row r="48" spans="2:34" ht="13" customHeight="1">
      <c r="B48" s="60" t="str">
        <f>IF('Summary | Sumário'!D$6=Names!B$3,Names!O80,Names!Z80)</f>
        <v>Prepayment of receivables</v>
      </c>
      <c r="C48" s="190">
        <f>'6. NII'!C11</f>
        <v>0</v>
      </c>
      <c r="D48" s="190">
        <f>'6. NII'!D11</f>
        <v>793.77571</v>
      </c>
      <c r="E48" s="190">
        <f>'6. NII'!E11</f>
        <v>12540.518</v>
      </c>
      <c r="F48" s="190">
        <f>'6. NII'!F11</f>
        <v>101704.27800000001</v>
      </c>
      <c r="G48" s="190">
        <f>'6. NII'!G11</f>
        <v>242443</v>
      </c>
      <c r="H48" s="190">
        <f>'6. NII'!H11</f>
        <v>418724.30605999997</v>
      </c>
      <c r="I48" s="175"/>
      <c r="J48" s="190">
        <f>'6. NII'!J11</f>
        <v>2554.556</v>
      </c>
      <c r="K48" s="190">
        <f>'6. NII'!K11</f>
        <v>2758.1950000000002</v>
      </c>
      <c r="L48" s="190">
        <f>'6. NII'!L11</f>
        <v>1333.1729999999998</v>
      </c>
      <c r="M48" s="190">
        <f>'6. NII'!M11</f>
        <v>5894.594000000001</v>
      </c>
      <c r="N48" s="190">
        <f>'6. NII'!N11</f>
        <v>5242.8329999999996</v>
      </c>
      <c r="O48" s="190">
        <f>'6. NII'!O11</f>
        <v>17718.065000000002</v>
      </c>
      <c r="P48" s="190">
        <f>'6. NII'!P11</f>
        <v>32903.998999999996</v>
      </c>
      <c r="Q48" s="190">
        <f>'6. NII'!Q11</f>
        <v>45839.381000000008</v>
      </c>
      <c r="R48" s="190">
        <f>'6. NII'!R11</f>
        <v>64806.196000000004</v>
      </c>
      <c r="S48" s="190">
        <f>'6. NII'!S11</f>
        <v>59977</v>
      </c>
      <c r="T48" s="190">
        <f>'6. NII'!T11</f>
        <v>60383</v>
      </c>
      <c r="U48" s="190">
        <f>'6. NII'!U11</f>
        <v>57276.804000000004</v>
      </c>
      <c r="V48" s="190">
        <f>'6. NII'!V11</f>
        <v>59662</v>
      </c>
      <c r="W48" s="190">
        <f>'6. NII'!W11</f>
        <v>53645.453999999998</v>
      </c>
      <c r="X48" s="190">
        <f>'6. NII'!X11</f>
        <v>136932.53951</v>
      </c>
      <c r="Y48" s="190">
        <f>'6. NII'!Y11</f>
        <v>168484.31254999997</v>
      </c>
      <c r="Z48" s="190">
        <f>'6. NII'!Z11</f>
        <v>240697</v>
      </c>
      <c r="AA48" s="190">
        <f>'6. NII'!AA11</f>
        <v>246467</v>
      </c>
      <c r="AB48" s="190">
        <f>'6. NII'!AB11</f>
        <v>163154</v>
      </c>
      <c r="AD48" s="156">
        <f t="shared" si="82"/>
        <v>-0.33802902619823338</v>
      </c>
      <c r="AE48" s="156">
        <f t="shared" si="83"/>
        <v>0.19149181475660204</v>
      </c>
    </row>
    <row r="49" spans="2:33" ht="13" customHeight="1">
      <c r="B49" s="51" t="str">
        <f>IF('Summary | Sumário'!D$6=Names!B$3,Names!O81,Names!Z81)</f>
        <v>Amounts due from financial institutions</v>
      </c>
      <c r="C49" s="191">
        <v>0</v>
      </c>
      <c r="D49" s="191">
        <f>'6. NII'!D12</f>
        <v>126619</v>
      </c>
      <c r="E49" s="191">
        <f>'6. NII'!E12</f>
        <v>71106.437999999995</v>
      </c>
      <c r="F49" s="191">
        <f>'6. NII'!F12</f>
        <v>221136.43900000001</v>
      </c>
      <c r="G49" s="191">
        <f>'6. NII'!G12</f>
        <v>497054</v>
      </c>
      <c r="H49" s="191">
        <f>'6. NII'!H12</f>
        <v>338955.05183999997</v>
      </c>
      <c r="I49" s="175"/>
      <c r="J49" s="191">
        <f>'6. NII'!J12</f>
        <v>14427.704</v>
      </c>
      <c r="K49" s="191">
        <f>'6. NII'!K12</f>
        <v>7946.8799999999992</v>
      </c>
      <c r="L49" s="191">
        <f>'6. NII'!L12</f>
        <v>24631.656000000003</v>
      </c>
      <c r="M49" s="191">
        <f>'6. NII'!M12</f>
        <v>24100.197999999997</v>
      </c>
      <c r="N49" s="191">
        <f>'6. NII'!N12</f>
        <v>30138.153999999999</v>
      </c>
      <c r="O49" s="191">
        <f>'6. NII'!O12</f>
        <v>31814.657000000003</v>
      </c>
      <c r="P49" s="191">
        <f>'6. NII'!P12</f>
        <v>78399.862000000008</v>
      </c>
      <c r="Q49" s="191">
        <f>'6. NII'!Q12</f>
        <v>80783.765999999989</v>
      </c>
      <c r="R49" s="191">
        <f>'6. NII'!R12</f>
        <v>97468.479000000007</v>
      </c>
      <c r="S49" s="191">
        <f>'6. NII'!S12</f>
        <v>114751</v>
      </c>
      <c r="T49" s="191">
        <f>'6. NII'!T12</f>
        <v>147490</v>
      </c>
      <c r="U49" s="191">
        <f>'6. NII'!U12</f>
        <v>137344.52100000001</v>
      </c>
      <c r="V49" s="191">
        <f>'6. NII'!V12</f>
        <v>117428</v>
      </c>
      <c r="W49" s="191">
        <f>'6. NII'!W12</f>
        <v>99401.437999999995</v>
      </c>
      <c r="X49" s="191">
        <f>'6. NII'!X12</f>
        <v>71615.8989899999</v>
      </c>
      <c r="Y49" s="191">
        <f>'6. NII'!Y12</f>
        <v>50509.714850000106</v>
      </c>
      <c r="Z49" s="191">
        <f>'6. NII'!Z12</f>
        <v>31738</v>
      </c>
      <c r="AA49" s="191">
        <f>'6. NII'!AA12</f>
        <v>65647</v>
      </c>
      <c r="AB49" s="191">
        <f>'6. NII'!AB12</f>
        <v>170971</v>
      </c>
      <c r="AD49" s="155">
        <f t="shared" si="82"/>
        <v>1.6043992870961352</v>
      </c>
      <c r="AE49" s="155">
        <f t="shared" si="83"/>
        <v>1.3873330141938673</v>
      </c>
    </row>
    <row r="50" spans="2:33" ht="13" customHeight="1">
      <c r="B50" s="53" t="str">
        <f>IF('Summary | Sumário'!D$6=Names!B$3,Names!O57,Names!Z57)</f>
        <v>Income from securities</v>
      </c>
      <c r="C50" s="190">
        <v>0</v>
      </c>
      <c r="D50" s="190">
        <f>'6. NII'!D21</f>
        <v>12060</v>
      </c>
      <c r="E50" s="190">
        <f>'6. NII'!E21</f>
        <v>745613</v>
      </c>
      <c r="F50" s="190">
        <f>'6. NII'!F21</f>
        <v>1471737</v>
      </c>
      <c r="G50" s="190">
        <f>'6. NII'!G21</f>
        <v>1615108</v>
      </c>
      <c r="H50" s="190">
        <f>'6. NII'!H21</f>
        <v>2007869.4701800002</v>
      </c>
      <c r="I50" s="175"/>
      <c r="J50" s="190">
        <f>'6. NII'!J21</f>
        <v>88068</v>
      </c>
      <c r="K50" s="190">
        <f>'6. NII'!K21</f>
        <v>106662</v>
      </c>
      <c r="L50" s="190">
        <f>'6. NII'!L21</f>
        <v>228420</v>
      </c>
      <c r="M50" s="190">
        <f>'6. NII'!M21</f>
        <v>322463</v>
      </c>
      <c r="N50" s="190">
        <f>'6. NII'!N21</f>
        <v>348013</v>
      </c>
      <c r="O50" s="190">
        <f>'6. NII'!O21</f>
        <v>406846</v>
      </c>
      <c r="P50" s="190">
        <f>'6. NII'!P21</f>
        <v>340982</v>
      </c>
      <c r="Q50" s="190">
        <f>'6. NII'!Q21</f>
        <v>375896</v>
      </c>
      <c r="R50" s="190">
        <f>'6. NII'!R21</f>
        <v>370924</v>
      </c>
      <c r="S50" s="190">
        <f>'6. NII'!S21</f>
        <v>402038</v>
      </c>
      <c r="T50" s="190">
        <f>'6. NII'!T21</f>
        <v>417887</v>
      </c>
      <c r="U50" s="190">
        <f>'6. NII'!U21</f>
        <v>424259</v>
      </c>
      <c r="V50" s="190">
        <f>'6. NII'!V21</f>
        <v>446719</v>
      </c>
      <c r="W50" s="190">
        <f>'6. NII'!W21</f>
        <v>456585.37339384999</v>
      </c>
      <c r="X50" s="190">
        <f>'6. NII'!X21</f>
        <v>513731</v>
      </c>
      <c r="Y50" s="190">
        <f>'6. NII'!Y21</f>
        <v>590834.09678615024</v>
      </c>
      <c r="Z50" s="190">
        <f>'6. NII'!Z21</f>
        <v>737446</v>
      </c>
      <c r="AA50" s="190">
        <f>'6. NII'!AA21</f>
        <v>802844</v>
      </c>
      <c r="AB50" s="190">
        <f>'6. NII'!AB21</f>
        <v>832987</v>
      </c>
      <c r="AD50" s="156">
        <f t="shared" si="82"/>
        <v>3.7545276541893546E-2</v>
      </c>
      <c r="AE50" s="156">
        <f t="shared" si="83"/>
        <v>0.6214458539585892</v>
      </c>
    </row>
    <row r="51" spans="2:33" ht="13" customHeight="1">
      <c r="B51" s="51" t="str">
        <f>IF('Summary | Sumário'!D$6=Names!B$3,Names!O41,Names!Z41)</f>
        <v xml:space="preserve">Others </v>
      </c>
      <c r="C51" s="191">
        <f t="shared" ref="C51:Y51" si="88">C52+C56+C57</f>
        <v>0</v>
      </c>
      <c r="D51" s="191">
        <f t="shared" si="88"/>
        <v>41237.078179336975</v>
      </c>
      <c r="E51" s="191">
        <f t="shared" si="88"/>
        <v>71276.997000000003</v>
      </c>
      <c r="F51" s="191">
        <f t="shared" si="88"/>
        <v>175630.41011000003</v>
      </c>
      <c r="G51" s="191">
        <f t="shared" si="88"/>
        <v>132222.69524</v>
      </c>
      <c r="H51" s="191">
        <f t="shared" si="88"/>
        <v>284708.22488701076</v>
      </c>
      <c r="I51" s="175"/>
      <c r="J51" s="191">
        <f t="shared" si="88"/>
        <v>6430.9879999999966</v>
      </c>
      <c r="K51" s="191">
        <f t="shared" si="88"/>
        <v>21505.78</v>
      </c>
      <c r="L51" s="191">
        <f t="shared" si="88"/>
        <v>5098.7360000000008</v>
      </c>
      <c r="M51" s="191">
        <f t="shared" si="88"/>
        <v>38241.493000000002</v>
      </c>
      <c r="N51" s="191">
        <f t="shared" si="88"/>
        <v>56357.383700000006</v>
      </c>
      <c r="O51" s="191">
        <f t="shared" si="88"/>
        <v>22775.274100000002</v>
      </c>
      <c r="P51" s="191">
        <f t="shared" si="88"/>
        <v>50307.473010000016</v>
      </c>
      <c r="Q51" s="191">
        <f t="shared" si="88"/>
        <v>46190.279300000002</v>
      </c>
      <c r="R51" s="191">
        <f t="shared" si="88"/>
        <v>44554.932860000015</v>
      </c>
      <c r="S51" s="191">
        <f t="shared" si="88"/>
        <v>26381.612340000036</v>
      </c>
      <c r="T51" s="191">
        <f t="shared" si="88"/>
        <v>46543.530299999984</v>
      </c>
      <c r="U51" s="191">
        <f t="shared" si="88"/>
        <v>14742.619739999966</v>
      </c>
      <c r="V51" s="191">
        <f t="shared" si="88"/>
        <v>41067.400446820073</v>
      </c>
      <c r="W51" s="191">
        <f t="shared" si="88"/>
        <v>25103.736303475634</v>
      </c>
      <c r="X51" s="191">
        <f t="shared" si="88"/>
        <v>94839.616624334885</v>
      </c>
      <c r="Y51" s="191">
        <f t="shared" si="88"/>
        <v>123697.47151238013</v>
      </c>
      <c r="Z51" s="191">
        <f>Z52+Z56+Z57</f>
        <v>151966.38</v>
      </c>
      <c r="AA51" s="191">
        <f>AA52+AA56+AA57</f>
        <v>164567.853</v>
      </c>
      <c r="AB51" s="191">
        <f>AB52+AB56+AB57</f>
        <v>234542.34643000001</v>
      </c>
      <c r="AD51" s="155">
        <f t="shared" si="82"/>
        <v>0.42520147255004903</v>
      </c>
      <c r="AE51" s="155">
        <f t="shared" si="83"/>
        <v>1.4730419077824362</v>
      </c>
    </row>
    <row r="52" spans="2:33" ht="13" customHeight="1">
      <c r="B52" s="60" t="str">
        <f>IF('Summary | Sumário'!D$6=Names!B$3,Names!P4,Names!Q4)</f>
        <v>Income from derivatives excl. loan hedge accouting</v>
      </c>
      <c r="C52" s="192">
        <v>0</v>
      </c>
      <c r="D52" s="192">
        <f t="shared" ref="D52:Y52" si="89">SUM(D53:D55)</f>
        <v>16554.398829336977</v>
      </c>
      <c r="E52" s="192">
        <f t="shared" si="89"/>
        <v>25023.904999999999</v>
      </c>
      <c r="F52" s="192">
        <f t="shared" si="89"/>
        <v>61469.504000000001</v>
      </c>
      <c r="G52" s="192">
        <f t="shared" si="89"/>
        <v>44972.695240000001</v>
      </c>
      <c r="H52" s="192">
        <f t="shared" si="89"/>
        <v>-5075.5435114582651</v>
      </c>
      <c r="I52" s="193"/>
      <c r="J52" s="192">
        <f t="shared" si="89"/>
        <v>-3463.479000000003</v>
      </c>
      <c r="K52" s="192">
        <f t="shared" si="89"/>
        <v>12645.509999999998</v>
      </c>
      <c r="L52" s="192">
        <f t="shared" si="89"/>
        <v>-6953.585</v>
      </c>
      <c r="M52" s="192">
        <f t="shared" si="89"/>
        <v>22795.459000000003</v>
      </c>
      <c r="N52" s="192">
        <f t="shared" si="89"/>
        <v>19332.660000000003</v>
      </c>
      <c r="O52" s="192">
        <f t="shared" si="89"/>
        <v>11467.525000000001</v>
      </c>
      <c r="P52" s="192">
        <f t="shared" si="89"/>
        <v>14810.893</v>
      </c>
      <c r="Q52" s="192">
        <f t="shared" si="89"/>
        <v>15858.426000000001</v>
      </c>
      <c r="R52" s="192">
        <f t="shared" si="89"/>
        <v>19874.66372</v>
      </c>
      <c r="S52" s="192">
        <f t="shared" si="89"/>
        <v>132.6582699999999</v>
      </c>
      <c r="T52" s="192">
        <f t="shared" si="89"/>
        <v>12538.71191000002</v>
      </c>
      <c r="U52" s="192">
        <f t="shared" si="89"/>
        <v>12426.661339999984</v>
      </c>
      <c r="V52" s="192">
        <f t="shared" si="89"/>
        <v>-237.47946317993046</v>
      </c>
      <c r="W52" s="192">
        <f t="shared" si="89"/>
        <v>-14247.986806524365</v>
      </c>
      <c r="X52" s="192">
        <f t="shared" si="89"/>
        <v>22967.409440000098</v>
      </c>
      <c r="Y52" s="192">
        <f t="shared" si="89"/>
        <v>-13557.48668175409</v>
      </c>
      <c r="Z52" s="192">
        <f>SUM(Z53:Z55)</f>
        <v>48937.08</v>
      </c>
      <c r="AA52" s="192">
        <f>SUM(AA53:AA55)</f>
        <v>31276.853000000003</v>
      </c>
      <c r="AB52" s="192">
        <f>SUM(AB53:AB55)</f>
        <v>32609.346430000012</v>
      </c>
      <c r="AD52" s="156">
        <f t="shared" si="82"/>
        <v>4.2603181016965141E-2</v>
      </c>
      <c r="AE52" s="156">
        <f t="shared" si="83"/>
        <v>0.41980951378902542</v>
      </c>
    </row>
    <row r="53" spans="2:33" ht="13" customHeight="1">
      <c r="B53" s="652" t="str">
        <f>IF('Summary | Sumário'!D$6=Names!B$3,Names!O61,Names!Z61)</f>
        <v>Income from derivatives</v>
      </c>
      <c r="C53" s="191">
        <v>0</v>
      </c>
      <c r="D53" s="191">
        <f>'6. NII'!D25</f>
        <v>-54418</v>
      </c>
      <c r="E53" s="191">
        <f>'6. NII'!E25</f>
        <v>-48330.334000000003</v>
      </c>
      <c r="F53" s="191">
        <f>'6. NII'!F25</f>
        <v>33884.103000000003</v>
      </c>
      <c r="G53" s="191">
        <f>'6. NII'!G25</f>
        <v>-69273</v>
      </c>
      <c r="H53" s="191">
        <f>'6. NII'!H25</f>
        <v>546712.54295000003</v>
      </c>
      <c r="I53" s="175"/>
      <c r="J53" s="191">
        <f>'6. NII'!J25</f>
        <v>-19931.596000000001</v>
      </c>
      <c r="K53" s="191">
        <f>'6. NII'!K25</f>
        <v>-23765.403999999999</v>
      </c>
      <c r="L53" s="191">
        <f>'6. NII'!L25</f>
        <v>-9869</v>
      </c>
      <c r="M53" s="191">
        <f>'6. NII'!M25</f>
        <v>5235.6660000000011</v>
      </c>
      <c r="N53" s="191">
        <f>'6. NII'!N25</f>
        <v>11009.383000000002</v>
      </c>
      <c r="O53" s="191">
        <f>'6. NII'!O25</f>
        <v>-3030.3259999999991</v>
      </c>
      <c r="P53" s="191">
        <f>'6. NII'!P25</f>
        <v>5940.7360000000008</v>
      </c>
      <c r="Q53" s="191">
        <f>'6. NII'!Q25</f>
        <v>19964.310000000001</v>
      </c>
      <c r="R53" s="191">
        <f>'6. NII'!R25</f>
        <v>482.30199999999968</v>
      </c>
      <c r="S53" s="191">
        <f>'6. NII'!S25</f>
        <v>-58862</v>
      </c>
      <c r="T53" s="191">
        <f>'6. NII'!T25</f>
        <v>64133.019220000024</v>
      </c>
      <c r="U53" s="191">
        <f>'6. NII'!U25</f>
        <v>-75026.321220000013</v>
      </c>
      <c r="V53" s="191">
        <f>'6. NII'!V25</f>
        <v>68661.610820000031</v>
      </c>
      <c r="W53" s="191">
        <f>'6. NII'!W25</f>
        <v>173310.82241000002</v>
      </c>
      <c r="X53" s="191">
        <f>'6. NII'!X25</f>
        <v>44424.709440000101</v>
      </c>
      <c r="Y53" s="191">
        <f>'6. NII'!Y25</f>
        <v>260315.40027999989</v>
      </c>
      <c r="Z53" s="191">
        <f>'6. NII'!Z25</f>
        <v>-19187</v>
      </c>
      <c r="AA53" s="191">
        <f>'6. NII'!AA25</f>
        <v>-54549</v>
      </c>
      <c r="AB53" s="191">
        <f>'6. NII'!AB25</f>
        <v>182632</v>
      </c>
      <c r="AC53" s="191"/>
      <c r="AD53" s="155">
        <f t="shared" si="82"/>
        <v>-4.3480357110121179</v>
      </c>
      <c r="AE53" s="155">
        <f t="shared" si="83"/>
        <v>3.1110454587589889</v>
      </c>
    </row>
    <row r="54" spans="2:33" ht="13" customHeight="1">
      <c r="B54" s="564" t="str">
        <f>IF('Summary | Sumário'!D$6=Names!B$3,Names!P2,Names!Q2)</f>
        <v>(-) Hedge accounting from real estate loans</v>
      </c>
      <c r="C54" s="192">
        <f t="shared" ref="C54:H54" si="90">-C42</f>
        <v>0</v>
      </c>
      <c r="D54" s="192">
        <f t="shared" si="90"/>
        <v>70972.398829336977</v>
      </c>
      <c r="E54" s="192">
        <f t="shared" si="90"/>
        <v>73354.239000000001</v>
      </c>
      <c r="F54" s="192">
        <f t="shared" si="90"/>
        <v>27585.400999999998</v>
      </c>
      <c r="G54" s="192">
        <f t="shared" si="90"/>
        <v>9439.8214100000023</v>
      </c>
      <c r="H54" s="192">
        <f t="shared" si="90"/>
        <v>-208310.60479145829</v>
      </c>
      <c r="I54" s="193"/>
      <c r="J54" s="192">
        <f t="shared" ref="J54:Z54" si="91">-J42</f>
        <v>16468.116999999998</v>
      </c>
      <c r="K54" s="192">
        <f t="shared" si="91"/>
        <v>36410.913999999997</v>
      </c>
      <c r="L54" s="192">
        <f t="shared" si="91"/>
        <v>2915.415</v>
      </c>
      <c r="M54" s="192">
        <f t="shared" si="91"/>
        <v>17559.793000000001</v>
      </c>
      <c r="N54" s="192">
        <f t="shared" si="91"/>
        <v>8323.277</v>
      </c>
      <c r="O54" s="192">
        <f t="shared" si="91"/>
        <v>14497.851000000001</v>
      </c>
      <c r="P54" s="192">
        <f t="shared" si="91"/>
        <v>8870.1569999999992</v>
      </c>
      <c r="Q54" s="192">
        <f t="shared" si="91"/>
        <v>-4105.884</v>
      </c>
      <c r="R54" s="192">
        <f t="shared" si="91"/>
        <v>5114.3909999999996</v>
      </c>
      <c r="S54" s="192">
        <f t="shared" si="91"/>
        <v>-6039.93</v>
      </c>
      <c r="T54" s="192">
        <f t="shared" si="91"/>
        <v>-6136.5408399999997</v>
      </c>
      <c r="U54" s="192">
        <f t="shared" si="91"/>
        <v>16501.901250000003</v>
      </c>
      <c r="V54" s="192">
        <f t="shared" si="91"/>
        <v>-26412.795423179959</v>
      </c>
      <c r="W54" s="192">
        <f t="shared" si="91"/>
        <v>-67242.322886524373</v>
      </c>
      <c r="X54" s="192">
        <f t="shared" si="91"/>
        <v>-10952.83</v>
      </c>
      <c r="Y54" s="192">
        <f t="shared" si="91"/>
        <v>-103702.65648175398</v>
      </c>
      <c r="Z54" s="192">
        <f t="shared" si="91"/>
        <v>15169.155000000001</v>
      </c>
      <c r="AA54" s="192">
        <f t="shared" ref="AA54:AB54" si="92">-AA42</f>
        <v>20521.455000000002</v>
      </c>
      <c r="AB54" s="192">
        <f t="shared" si="92"/>
        <v>-136520.41337999998</v>
      </c>
      <c r="AD54" s="156">
        <f t="shared" si="82"/>
        <v>-7.6525698777206577</v>
      </c>
      <c r="AE54" s="156">
        <f t="shared" si="83"/>
        <v>11.464396268361691</v>
      </c>
    </row>
    <row r="55" spans="2:33" ht="13" customHeight="1">
      <c r="B55" s="652" t="str">
        <f>IF('Summary | Sumário'!D$6=Names!B$3,Names!P3,Names!Q3)</f>
        <v>(-) Hedge accounting from personal loans</v>
      </c>
      <c r="C55" s="193">
        <f t="shared" ref="C55:H55" si="93">-C45</f>
        <v>0</v>
      </c>
      <c r="D55" s="193">
        <f t="shared" si="93"/>
        <v>0</v>
      </c>
      <c r="E55" s="193">
        <f t="shared" si="93"/>
        <v>0</v>
      </c>
      <c r="F55" s="193">
        <f t="shared" si="93"/>
        <v>0</v>
      </c>
      <c r="G55" s="193">
        <f t="shared" si="93"/>
        <v>104805.87383</v>
      </c>
      <c r="H55" s="193">
        <f t="shared" si="93"/>
        <v>-343477.48167000001</v>
      </c>
      <c r="I55" s="193"/>
      <c r="J55" s="193">
        <f t="shared" ref="J55:Z55" si="94">-J45</f>
        <v>0</v>
      </c>
      <c r="K55" s="193">
        <f t="shared" si="94"/>
        <v>0</v>
      </c>
      <c r="L55" s="193">
        <f t="shared" si="94"/>
        <v>0</v>
      </c>
      <c r="M55" s="193">
        <f t="shared" si="94"/>
        <v>0</v>
      </c>
      <c r="N55" s="193">
        <f t="shared" si="94"/>
        <v>0</v>
      </c>
      <c r="O55" s="193">
        <f t="shared" si="94"/>
        <v>0</v>
      </c>
      <c r="P55" s="193">
        <f t="shared" si="94"/>
        <v>0</v>
      </c>
      <c r="Q55" s="193">
        <f t="shared" si="94"/>
        <v>0</v>
      </c>
      <c r="R55" s="193">
        <f t="shared" si="94"/>
        <v>14277.970720000001</v>
      </c>
      <c r="S55" s="193">
        <f t="shared" si="94"/>
        <v>65034.58827</v>
      </c>
      <c r="T55" s="193">
        <f t="shared" si="94"/>
        <v>-45457.766470000002</v>
      </c>
      <c r="U55" s="193">
        <f t="shared" si="94"/>
        <v>70951.081309999994</v>
      </c>
      <c r="V55" s="193">
        <f t="shared" si="94"/>
        <v>-42486.294860000002</v>
      </c>
      <c r="W55" s="193">
        <f t="shared" si="94"/>
        <v>-120316.48633000001</v>
      </c>
      <c r="X55" s="193">
        <f t="shared" si="94"/>
        <v>-10504.47</v>
      </c>
      <c r="Y55" s="193">
        <f t="shared" si="94"/>
        <v>-170170.23048</v>
      </c>
      <c r="Z55" s="193">
        <f t="shared" si="94"/>
        <v>52954.925000000003</v>
      </c>
      <c r="AA55" s="193">
        <f t="shared" ref="AA55:AB55" si="95">-AA45</f>
        <v>65304.398000000001</v>
      </c>
      <c r="AB55" s="193">
        <f t="shared" si="95"/>
        <v>-13502.240190000006</v>
      </c>
      <c r="AD55" s="155">
        <f t="shared" si="82"/>
        <v>-1.2067585124971216</v>
      </c>
      <c r="AE55" s="155">
        <f t="shared" si="83"/>
        <v>0.28538043233023713</v>
      </c>
    </row>
    <row r="56" spans="2:33" ht="13" customHeight="1">
      <c r="B56" s="60" t="str">
        <f>IF('Summary | Sumário'!D$6=Names!B$3,Names!O68,Names!Z68)</f>
        <v>Revenue foreign exchange</v>
      </c>
      <c r="C56" s="190">
        <v>0</v>
      </c>
      <c r="D56" s="190">
        <f>'6. NII'!D32</f>
        <v>17318</v>
      </c>
      <c r="E56" s="190">
        <f>'6. NII'!E32</f>
        <v>24667</v>
      </c>
      <c r="F56" s="190">
        <f>'6. NII'!F32</f>
        <v>99780</v>
      </c>
      <c r="G56" s="190">
        <f>'6. NII'!G32</f>
        <v>88708</v>
      </c>
      <c r="H56" s="190">
        <f>'6. NII'!H32</f>
        <v>74587.800272134002</v>
      </c>
      <c r="I56" s="175"/>
      <c r="J56" s="190">
        <f>'6. NII'!J32</f>
        <v>5876</v>
      </c>
      <c r="K56" s="190">
        <f>'6. NII'!K32</f>
        <v>6689</v>
      </c>
      <c r="L56" s="190">
        <f>'6. NII'!L32</f>
        <v>5791</v>
      </c>
      <c r="M56" s="190">
        <f>'6. NII'!M32</f>
        <v>6311</v>
      </c>
      <c r="N56" s="190">
        <f>'6. NII'!N32</f>
        <v>17033</v>
      </c>
      <c r="O56" s="190">
        <f>'6. NII'!O32</f>
        <v>25563</v>
      </c>
      <c r="P56" s="190">
        <f>'6. NII'!P32</f>
        <v>31137</v>
      </c>
      <c r="Q56" s="190">
        <f>'6. NII'!Q32</f>
        <v>26047</v>
      </c>
      <c r="R56" s="190">
        <f>'6. NII'!R32</f>
        <v>14919</v>
      </c>
      <c r="S56" s="190">
        <f>'6. NII'!S32</f>
        <v>26191</v>
      </c>
      <c r="T56" s="190">
        <f>'6. NII'!T32</f>
        <v>26659</v>
      </c>
      <c r="U56" s="190">
        <f>'6. NII'!U32</f>
        <v>20939</v>
      </c>
      <c r="V56" s="190">
        <f>'6. NII'!V32</f>
        <v>21756</v>
      </c>
      <c r="W56" s="190">
        <f>'6. NII'!W32</f>
        <v>12197</v>
      </c>
      <c r="X56" s="190">
        <f>'6. NII'!X32</f>
        <v>29585</v>
      </c>
      <c r="Y56" s="190">
        <f>'6. NII'!Y32</f>
        <v>11049.800272134002</v>
      </c>
      <c r="Z56" s="190">
        <f>'6. NII'!Z32</f>
        <v>16485.3</v>
      </c>
      <c r="AA56" s="190">
        <f>'6. NII'!AA32</f>
        <v>16956</v>
      </c>
      <c r="AB56" s="190">
        <f>'6. NII'!AB32</f>
        <v>34408</v>
      </c>
      <c r="AD56" s="156">
        <f t="shared" si="82"/>
        <v>1.029252182118424</v>
      </c>
      <c r="AE56" s="156">
        <f t="shared" si="83"/>
        <v>0.16302180158864288</v>
      </c>
    </row>
    <row r="57" spans="2:33" ht="13" customHeight="1">
      <c r="B57" s="55" t="str">
        <f>IF('Summary | Sumário'!D$6=Names!B$3,Names!O41,Names!Z41)</f>
        <v xml:space="preserve">Others </v>
      </c>
      <c r="C57" s="191">
        <f>'6. NII'!C19</f>
        <v>0</v>
      </c>
      <c r="D57" s="191">
        <f>'6. NII'!D19</f>
        <v>7364.6793500000003</v>
      </c>
      <c r="E57" s="191">
        <f>'6. NII'!E19</f>
        <v>21586.092000000001</v>
      </c>
      <c r="F57" s="191">
        <f>'6. NII'!F19</f>
        <v>14380.906110000018</v>
      </c>
      <c r="G57" s="191">
        <f>'6. NII'!G19</f>
        <v>-1458</v>
      </c>
      <c r="H57" s="191">
        <f>'6. NII'!H19</f>
        <v>215195.96812633501</v>
      </c>
      <c r="I57" s="175"/>
      <c r="J57" s="191">
        <f>'6. NII'!J19</f>
        <v>4018.4669999999996</v>
      </c>
      <c r="K57" s="191">
        <f>'6. NII'!K19</f>
        <v>2171.27</v>
      </c>
      <c r="L57" s="191">
        <f>'6. NII'!L19</f>
        <v>6261.3210000000008</v>
      </c>
      <c r="M57" s="191">
        <f>'6. NII'!M19</f>
        <v>9135.0339999999997</v>
      </c>
      <c r="N57" s="191">
        <f>'6. NII'!N19</f>
        <v>19991.723699999999</v>
      </c>
      <c r="O57" s="191">
        <f>'6. NII'!O19</f>
        <v>-14255.250899999999</v>
      </c>
      <c r="P57" s="191">
        <f>'6. NII'!P19</f>
        <v>4359.5800100000197</v>
      </c>
      <c r="Q57" s="191">
        <f>'6. NII'!Q19</f>
        <v>4284.8532999999998</v>
      </c>
      <c r="R57" s="191">
        <f>'6. NII'!R19</f>
        <v>9761.2691400000203</v>
      </c>
      <c r="S57" s="191">
        <f>'6. NII'!S19</f>
        <v>57.954070000036197</v>
      </c>
      <c r="T57" s="191">
        <f>'6. NII'!T19</f>
        <v>7345.8183899999603</v>
      </c>
      <c r="U57" s="191">
        <f>'6. NII'!U19</f>
        <v>-18623.041600000019</v>
      </c>
      <c r="V57" s="191">
        <f>'6. NII'!V19</f>
        <v>19548.879910000003</v>
      </c>
      <c r="W57" s="191">
        <f>'6. NII'!W19</f>
        <v>27154.723109999999</v>
      </c>
      <c r="X57" s="191">
        <f>'6. NII'!X19</f>
        <v>42287.207184334788</v>
      </c>
      <c r="Y57" s="191">
        <f>'6. NII'!Y19</f>
        <v>126205.15792200022</v>
      </c>
      <c r="Z57" s="191">
        <f>'6. NII'!Z19</f>
        <v>86544</v>
      </c>
      <c r="AA57" s="191">
        <f>'6. NII'!AA19</f>
        <v>116335</v>
      </c>
      <c r="AB57" s="191">
        <f>'6. NII'!AB19</f>
        <v>167525</v>
      </c>
      <c r="AD57" s="155">
        <f t="shared" si="82"/>
        <v>0.44002234925001082</v>
      </c>
      <c r="AE57" s="155">
        <f t="shared" si="83"/>
        <v>2.961600000438414</v>
      </c>
    </row>
    <row r="58" spans="2:33" ht="13" customHeight="1">
      <c r="B58" s="286" t="str">
        <f>IF('Summary | Sumário'!D$6=Names!B$3,Names!P5,Names!Q5)</f>
        <v>Gross interest income</v>
      </c>
      <c r="C58" s="534">
        <f t="shared" ref="C58:Y58" si="96">C39+C49+C50+C51</f>
        <v>0</v>
      </c>
      <c r="D58" s="534">
        <f t="shared" si="96"/>
        <v>917615.89517999999</v>
      </c>
      <c r="E58" s="534">
        <f t="shared" si="96"/>
        <v>2157376.912</v>
      </c>
      <c r="F58" s="534">
        <f t="shared" si="96"/>
        <v>4408059.1849999996</v>
      </c>
      <c r="G58" s="534">
        <f t="shared" si="96"/>
        <v>6184370</v>
      </c>
      <c r="H58" s="534">
        <f t="shared" si="96"/>
        <v>7768382.3533466654</v>
      </c>
      <c r="I58" s="184"/>
      <c r="J58" s="534">
        <f t="shared" si="96"/>
        <v>363016.33900000004</v>
      </c>
      <c r="K58" s="534">
        <f t="shared" si="96"/>
        <v>395245.34699999995</v>
      </c>
      <c r="L58" s="534">
        <f t="shared" si="96"/>
        <v>591747.88</v>
      </c>
      <c r="M58" s="534">
        <f t="shared" si="96"/>
        <v>807367.3459999999</v>
      </c>
      <c r="N58" s="534">
        <f t="shared" si="96"/>
        <v>897215.01500000001</v>
      </c>
      <c r="O58" s="534">
        <f t="shared" si="96"/>
        <v>1051691.311</v>
      </c>
      <c r="P58" s="534">
        <f t="shared" si="96"/>
        <v>1166402.4669999999</v>
      </c>
      <c r="Q58" s="534">
        <f t="shared" si="96"/>
        <v>1292750.392</v>
      </c>
      <c r="R58" s="534">
        <f t="shared" si="96"/>
        <v>1399252.1240000001</v>
      </c>
      <c r="S58" s="534">
        <f t="shared" si="96"/>
        <v>1520472</v>
      </c>
      <c r="T58" s="534">
        <f t="shared" si="96"/>
        <v>1615614.1079599999</v>
      </c>
      <c r="U58" s="534">
        <f t="shared" si="96"/>
        <v>1649031.7680399998</v>
      </c>
      <c r="V58" s="534">
        <f t="shared" si="96"/>
        <v>1754666.6108200001</v>
      </c>
      <c r="W58" s="534">
        <f t="shared" si="96"/>
        <v>1814508.3348038502</v>
      </c>
      <c r="X58" s="534">
        <f t="shared" si="96"/>
        <v>1999966.8495736329</v>
      </c>
      <c r="Y58" s="534">
        <f t="shared" si="96"/>
        <v>2199240.5581491832</v>
      </c>
      <c r="Z58" s="534">
        <f>Z39+Z49+Z50+Z51</f>
        <v>2541614.2999999998</v>
      </c>
      <c r="AA58" s="534">
        <f>AA39+AA49+AA50+AA51</f>
        <v>2893465</v>
      </c>
      <c r="AB58" s="534">
        <f>AB39+AB49+AB50+AB51</f>
        <v>3276450</v>
      </c>
      <c r="AC58" s="327"/>
      <c r="AD58" s="315">
        <f t="shared" si="82"/>
        <v>0.13236206416873886</v>
      </c>
      <c r="AE58" s="315">
        <f t="shared" si="83"/>
        <v>0.63825215437870719</v>
      </c>
    </row>
    <row r="60" spans="2:33" ht="13" customHeight="1">
      <c r="B60" s="24" t="str">
        <f>IF('Summary | Sumário'!D$6=Names!B$3,Names!V14,Names!W14)</f>
        <v>Gross IEP</v>
      </c>
      <c r="C60" s="316"/>
      <c r="D60" s="316"/>
      <c r="E60" s="316"/>
      <c r="F60" s="316"/>
      <c r="G60" s="316"/>
      <c r="H60" s="316"/>
      <c r="I60" s="182"/>
      <c r="J60" s="316"/>
      <c r="K60" s="316"/>
      <c r="L60" s="316"/>
      <c r="M60" s="316"/>
      <c r="N60" s="316"/>
      <c r="O60" s="316"/>
      <c r="P60" s="316"/>
      <c r="Q60" s="316"/>
      <c r="R60" s="316"/>
      <c r="S60" s="316"/>
      <c r="T60" s="316"/>
      <c r="U60" s="316"/>
      <c r="V60" s="316"/>
      <c r="W60" s="316"/>
      <c r="X60" s="316"/>
      <c r="Y60" s="316"/>
      <c r="Z60" s="316"/>
      <c r="AA60" s="316"/>
      <c r="AB60" s="316"/>
      <c r="AC60" s="182"/>
      <c r="AD60" s="316"/>
      <c r="AE60" s="316"/>
    </row>
    <row r="61" spans="2:33" ht="13" customHeight="1">
      <c r="B61" s="291" t="str">
        <f>IF('Summary | Sumário'!D$6=Names!B$3,Names!V18,Names!W18)</f>
        <v>Gross loans and advances to customers excl. rural</v>
      </c>
      <c r="C61" s="292">
        <f>SUM(C62:C66)</f>
        <v>4710548.3870000001</v>
      </c>
      <c r="D61" s="292">
        <f t="shared" ref="D61:Z61" si="97">SUM(D62:D66)</f>
        <v>6937990.8250000002</v>
      </c>
      <c r="E61" s="292">
        <f t="shared" si="97"/>
        <v>12691962</v>
      </c>
      <c r="F61" s="292">
        <f t="shared" si="97"/>
        <v>18412526</v>
      </c>
      <c r="G61" s="292">
        <f t="shared" si="97"/>
        <v>22785868.397</v>
      </c>
      <c r="H61" s="292">
        <f t="shared" si="97"/>
        <v>31291943.489700001</v>
      </c>
      <c r="I61" s="179"/>
      <c r="J61" s="292">
        <f t="shared" ref="J61" si="98">SUM(J62:J66)</f>
        <v>8018109.7009899989</v>
      </c>
      <c r="K61" s="292">
        <f t="shared" ref="K61" si="99">SUM(K62:K66)</f>
        <v>9523986.0610000007</v>
      </c>
      <c r="L61" s="292">
        <f t="shared" ref="L61" si="100">SUM(L62:L66)</f>
        <v>11131449.932</v>
      </c>
      <c r="M61" s="292">
        <f t="shared" ref="M61" si="101">SUM(M62:M66)</f>
        <v>12691962</v>
      </c>
      <c r="N61" s="292">
        <f t="shared" ref="N61" si="102">SUM(N62:N66)</f>
        <v>13401177.585999999</v>
      </c>
      <c r="O61" s="292">
        <f t="shared" ref="O61" si="103">SUM(O62:O66)</f>
        <v>14477433.610000001</v>
      </c>
      <c r="P61" s="292">
        <f t="shared" ref="P61" si="104">SUM(P62:P66)</f>
        <v>16305725</v>
      </c>
      <c r="Q61" s="292">
        <f t="shared" ref="Q61" si="105">SUM(Q62:Q66)</f>
        <v>18412526</v>
      </c>
      <c r="R61" s="292">
        <f t="shared" ref="R61" si="106">SUM(R62:R66)</f>
        <v>18698095.387827475</v>
      </c>
      <c r="S61" s="292">
        <f t="shared" ref="S61" si="107">SUM(S62:S66)</f>
        <v>19846256.767574593</v>
      </c>
      <c r="T61" s="292">
        <f t="shared" ref="T61" si="108">SUM(T62:T66)</f>
        <v>20726741.954999998</v>
      </c>
      <c r="U61" s="292">
        <f t="shared" ref="U61" si="109">SUM(U62:U66)</f>
        <v>22785868.397</v>
      </c>
      <c r="V61" s="292">
        <f t="shared" ref="V61" si="110">SUM(V62:V66)</f>
        <v>23400618.588550199</v>
      </c>
      <c r="W61" s="292">
        <f t="shared" ref="W61" si="111">SUM(W62:W66)</f>
        <v>26585297.931400001</v>
      </c>
      <c r="X61" s="292">
        <f t="shared" ref="X61" si="112">SUM(X62:X66)</f>
        <v>28980163.44898</v>
      </c>
      <c r="Y61" s="292">
        <f t="shared" ref="Y61" si="113">SUM(Y62:Y66)</f>
        <v>31291943.489700001</v>
      </c>
      <c r="Z61" s="292">
        <f t="shared" si="97"/>
        <v>32686813.951030001</v>
      </c>
      <c r="AA61" s="292">
        <f t="shared" ref="AA61:AB61" si="114">SUM(AA62:AA66)</f>
        <v>33419230.61595</v>
      </c>
      <c r="AB61" s="292">
        <f t="shared" si="114"/>
        <v>35622059.557240002</v>
      </c>
      <c r="AC61" s="179"/>
      <c r="AD61" s="339">
        <f>AB61/AA61-1</f>
        <v>6.5915010629797655E-2</v>
      </c>
      <c r="AE61" s="339">
        <f>AB61/X61-1</f>
        <v>0.22918766900515086</v>
      </c>
      <c r="AG61" s="188"/>
    </row>
    <row r="62" spans="2:33" ht="13" customHeight="1">
      <c r="B62" s="60" t="str">
        <f>IF('Summary | Sumário'!D$6=Names!B$3,Names!O4,Names!Z4)</f>
        <v>Real estate</v>
      </c>
      <c r="C62" s="190">
        <f>'5. IEP'!C15</f>
        <v>2519153</v>
      </c>
      <c r="D62" s="190">
        <f>'5. IEP'!D15</f>
        <v>3471356</v>
      </c>
      <c r="E62" s="190">
        <f>'5. IEP'!E15</f>
        <v>5121411</v>
      </c>
      <c r="F62" s="190">
        <f>'5. IEP'!F15</f>
        <v>6251813</v>
      </c>
      <c r="G62" s="190">
        <f>'5. IEP'!G15</f>
        <v>8583568</v>
      </c>
      <c r="H62" s="190">
        <f>'5. IEP'!H15</f>
        <v>11250187</v>
      </c>
      <c r="I62" s="175"/>
      <c r="J62" s="190">
        <f>'5. IEP'!J15</f>
        <v>3925594.9876600001</v>
      </c>
      <c r="K62" s="190">
        <f>'5. IEP'!K15</f>
        <v>4211173</v>
      </c>
      <c r="L62" s="190">
        <f>'5. IEP'!L15</f>
        <v>4703223</v>
      </c>
      <c r="M62" s="190">
        <f>'5. IEP'!M15</f>
        <v>5121411</v>
      </c>
      <c r="N62" s="190">
        <f>'5. IEP'!N15</f>
        <v>5350879</v>
      </c>
      <c r="O62" s="190">
        <f>'5. IEP'!O15</f>
        <v>5647720</v>
      </c>
      <c r="P62" s="190">
        <f>'5. IEP'!P15</f>
        <v>5930070</v>
      </c>
      <c r="Q62" s="190">
        <f>'5. IEP'!Q15</f>
        <v>6251813</v>
      </c>
      <c r="R62" s="190">
        <f>'5. IEP'!R15</f>
        <v>6616802</v>
      </c>
      <c r="S62" s="190">
        <f>'5. IEP'!S15</f>
        <v>7020433</v>
      </c>
      <c r="T62" s="190">
        <f>'5. IEP'!T15</f>
        <v>7527810</v>
      </c>
      <c r="U62" s="190">
        <f>'5. IEP'!U15</f>
        <v>8583568</v>
      </c>
      <c r="V62" s="190">
        <f>'5. IEP'!V15</f>
        <v>9124375.4985301998</v>
      </c>
      <c r="W62" s="190">
        <f>'5. IEP'!W15</f>
        <v>9703768</v>
      </c>
      <c r="X62" s="190">
        <f>'5. IEP'!X15</f>
        <v>10266209</v>
      </c>
      <c r="Y62" s="190">
        <f>'5. IEP'!Y15</f>
        <v>11250187</v>
      </c>
      <c r="Z62" s="190">
        <f>'5. IEP'!Z15</f>
        <v>12200387</v>
      </c>
      <c r="AA62" s="190">
        <f>'5. IEP'!AA15</f>
        <v>13312029</v>
      </c>
      <c r="AB62" s="190">
        <f>'5. IEP'!AB15</f>
        <v>14524260</v>
      </c>
      <c r="AC62" s="191"/>
      <c r="AD62" s="156">
        <f t="shared" ref="AD62:AD81" si="115">AB62/AA62-1</f>
        <v>9.1062827462289997E-2</v>
      </c>
      <c r="AE62" s="156">
        <f t="shared" ref="AE62:AE81" si="116">AB62/X62-1</f>
        <v>0.41476371657736566</v>
      </c>
      <c r="AG62" s="188"/>
    </row>
    <row r="63" spans="2:33" ht="13" customHeight="1">
      <c r="B63" s="55" t="str">
        <f>IF('Summary | Sumário'!D$6=Names!B$3,Names!O5,Names!Z5)</f>
        <v>Personal</v>
      </c>
      <c r="C63" s="191">
        <f>'5. IEP'!C16</f>
        <v>1002386</v>
      </c>
      <c r="D63" s="191">
        <f>'5. IEP'!D16</f>
        <v>1653554</v>
      </c>
      <c r="E63" s="191">
        <f>'5. IEP'!E16</f>
        <v>3579283</v>
      </c>
      <c r="F63" s="191">
        <f>'5. IEP'!F16</f>
        <v>5463781</v>
      </c>
      <c r="G63" s="191">
        <f>'5. IEP'!G16</f>
        <v>7138744</v>
      </c>
      <c r="H63" s="191">
        <f>'5. IEP'!H16</f>
        <v>8236791</v>
      </c>
      <c r="I63" s="175"/>
      <c r="J63" s="191">
        <f>'5. IEP'!J16</f>
        <v>2123654.0038399999</v>
      </c>
      <c r="K63" s="191">
        <f>'5. IEP'!K16</f>
        <v>2620848</v>
      </c>
      <c r="L63" s="191">
        <f>'5. IEP'!L16</f>
        <v>3100640</v>
      </c>
      <c r="M63" s="191">
        <f>'5. IEP'!M16</f>
        <v>3579283</v>
      </c>
      <c r="N63" s="191">
        <f>'5. IEP'!N16</f>
        <v>3936755</v>
      </c>
      <c r="O63" s="191">
        <f>'5. IEP'!O16</f>
        <v>4460508.5</v>
      </c>
      <c r="P63" s="191">
        <f>'5. IEP'!P16</f>
        <v>5057444</v>
      </c>
      <c r="Q63" s="191">
        <f>'5. IEP'!Q16</f>
        <v>5463781</v>
      </c>
      <c r="R63" s="191">
        <f>'5. IEP'!R16</f>
        <v>6081266</v>
      </c>
      <c r="S63" s="191">
        <f>'5. IEP'!S16</f>
        <v>6500480</v>
      </c>
      <c r="T63" s="191">
        <f>'5. IEP'!T16</f>
        <v>6663058</v>
      </c>
      <c r="U63" s="191">
        <f>'5. IEP'!U16</f>
        <v>7138744</v>
      </c>
      <c r="V63" s="191">
        <f>'5. IEP'!V16</f>
        <v>7437794.5190500002</v>
      </c>
      <c r="W63" s="191">
        <f>'5. IEP'!W16</f>
        <v>7555457</v>
      </c>
      <c r="X63" s="191">
        <f>'5. IEP'!X16</f>
        <v>8003536</v>
      </c>
      <c r="Y63" s="191">
        <f>'5. IEP'!Y16</f>
        <v>8236791</v>
      </c>
      <c r="Z63" s="191">
        <f>'5. IEP'!Z16</f>
        <v>8909592</v>
      </c>
      <c r="AA63" s="191">
        <f>'5. IEP'!AA16</f>
        <v>9955975</v>
      </c>
      <c r="AB63" s="191">
        <f>'5. IEP'!AB16</f>
        <v>11070559</v>
      </c>
      <c r="AC63" s="191"/>
      <c r="AD63" s="155">
        <f t="shared" si="115"/>
        <v>0.11195126544612655</v>
      </c>
      <c r="AE63" s="155">
        <f t="shared" si="116"/>
        <v>0.38320849684439473</v>
      </c>
      <c r="AG63" s="188"/>
    </row>
    <row r="64" spans="2:33" ht="13" customHeight="1">
      <c r="B64" s="60" t="str">
        <f>IF('Summary | Sumário'!D$6=Names!B$3,Names!O6,Names!Z6)</f>
        <v>SME</v>
      </c>
      <c r="C64" s="190">
        <f>'5. IEP'!C17</f>
        <v>472304</v>
      </c>
      <c r="D64" s="190">
        <f>'5. IEP'!D17</f>
        <v>1582869</v>
      </c>
      <c r="E64" s="190">
        <f>'5. IEP'!E17</f>
        <v>3017159</v>
      </c>
      <c r="F64" s="190">
        <f>'5. IEP'!F17</f>
        <v>3392500</v>
      </c>
      <c r="G64" s="190">
        <f>'5. IEP'!G17</f>
        <v>3855754</v>
      </c>
      <c r="H64" s="190">
        <f>'5. IEP'!H17</f>
        <v>3968591</v>
      </c>
      <c r="I64" s="175"/>
      <c r="J64" s="190">
        <f>'5. IEP'!J17</f>
        <v>1572378.93881</v>
      </c>
      <c r="K64" s="190">
        <f>'5. IEP'!K17</f>
        <v>2153921</v>
      </c>
      <c r="L64" s="190">
        <f>'5. IEP'!L17</f>
        <v>2703302</v>
      </c>
      <c r="M64" s="190">
        <f>'5. IEP'!M17</f>
        <v>3017159</v>
      </c>
      <c r="N64" s="190">
        <f>'5. IEP'!N17</f>
        <v>2929546</v>
      </c>
      <c r="O64" s="190">
        <f>'5. IEP'!O17</f>
        <v>2905002.5</v>
      </c>
      <c r="P64" s="190">
        <f>'5. IEP'!P17</f>
        <v>2978792</v>
      </c>
      <c r="Q64" s="190">
        <f>'5. IEP'!Q17</f>
        <v>3392500</v>
      </c>
      <c r="R64" s="190">
        <f>'5. IEP'!R17</f>
        <v>3110840</v>
      </c>
      <c r="S64" s="190">
        <f>'5. IEP'!S17</f>
        <v>3215316</v>
      </c>
      <c r="T64" s="190">
        <f>'5. IEP'!T17</f>
        <v>3438526</v>
      </c>
      <c r="U64" s="190">
        <f>'5. IEP'!U17</f>
        <v>3855754</v>
      </c>
      <c r="V64" s="190">
        <f>'5. IEP'!V17</f>
        <v>3376688</v>
      </c>
      <c r="W64" s="190">
        <f>'5. IEP'!W17</f>
        <v>4359140</v>
      </c>
      <c r="X64" s="190">
        <f>'5. IEP'!X17</f>
        <v>4149476</v>
      </c>
      <c r="Y64" s="190">
        <f>'5. IEP'!Y17</f>
        <v>3968591</v>
      </c>
      <c r="Z64" s="190">
        <f>'5. IEP'!Z17</f>
        <v>3747963</v>
      </c>
      <c r="AA64" s="190">
        <f>'5. IEP'!AA17</f>
        <v>3683260</v>
      </c>
      <c r="AB64" s="190">
        <f>'5. IEP'!AB17</f>
        <v>3916890</v>
      </c>
      <c r="AC64" s="191"/>
      <c r="AD64" s="156">
        <f t="shared" si="115"/>
        <v>6.3430222140169246E-2</v>
      </c>
      <c r="AE64" s="156">
        <f t="shared" si="116"/>
        <v>-5.6051896673218526E-2</v>
      </c>
      <c r="AG64" s="188"/>
    </row>
    <row r="65" spans="2:33" ht="13" customHeight="1">
      <c r="B65" s="55" t="str">
        <f>IF('Summary | Sumário'!D6=Names!B3,Names!V7,Names!W7)</f>
        <v>Non-transactor credit card portfolio</v>
      </c>
      <c r="C65" s="191">
        <f>'5. IEP'!C18</f>
        <v>716705.38699999999</v>
      </c>
      <c r="D65" s="191">
        <f>'5. IEP'!D18</f>
        <v>230211.82499999995</v>
      </c>
      <c r="E65" s="191">
        <f>'5. IEP'!E18</f>
        <v>676005</v>
      </c>
      <c r="F65" s="191">
        <f>'5. IEP'!F18</f>
        <v>1458767</v>
      </c>
      <c r="G65" s="191">
        <f>'5. IEP'!G18</f>
        <v>1971266.3970000008</v>
      </c>
      <c r="H65" s="191">
        <f>'5. IEP'!H18</f>
        <v>2249854.1845399998</v>
      </c>
      <c r="I65" s="175"/>
      <c r="J65" s="191">
        <f>'5. IEP'!J18</f>
        <v>310705.48867999995</v>
      </c>
      <c r="K65" s="191">
        <f>'5. IEP'!K18</f>
        <v>466529</v>
      </c>
      <c r="L65" s="191">
        <f>'5. IEP'!L18</f>
        <v>526729</v>
      </c>
      <c r="M65" s="191">
        <f>'5. IEP'!M18</f>
        <v>676005</v>
      </c>
      <c r="N65" s="191">
        <f>'5. IEP'!N18</f>
        <v>836644</v>
      </c>
      <c r="O65" s="191">
        <f>'5. IEP'!O18</f>
        <v>1084285.4000000004</v>
      </c>
      <c r="P65" s="191">
        <f>'5. IEP'!P18</f>
        <v>1309633</v>
      </c>
      <c r="Q65" s="191">
        <f>'5. IEP'!Q18</f>
        <v>1458767</v>
      </c>
      <c r="R65" s="191">
        <f>'5. IEP'!R18</f>
        <v>1592763.3878274746</v>
      </c>
      <c r="S65" s="191">
        <f>'5. IEP'!S18</f>
        <v>1777050.7675745916</v>
      </c>
      <c r="T65" s="191">
        <f>'5. IEP'!T18</f>
        <v>1882205.9550000001</v>
      </c>
      <c r="U65" s="191">
        <f>'5. IEP'!U18</f>
        <v>1971266.3970000008</v>
      </c>
      <c r="V65" s="191">
        <f>'5. IEP'!V18</f>
        <v>2176763.9201100003</v>
      </c>
      <c r="W65" s="191">
        <f>'5. IEP'!W18</f>
        <v>2264113.5148200002</v>
      </c>
      <c r="X65" s="191">
        <f>'5. IEP'!X18</f>
        <v>2206943.6459299996</v>
      </c>
      <c r="Y65" s="191">
        <f>'5. IEP'!Y18</f>
        <v>2249854.1845399998</v>
      </c>
      <c r="Z65" s="191">
        <f>'5. IEP'!Z18</f>
        <v>2629254.9510299992</v>
      </c>
      <c r="AA65" s="191">
        <f>'5. IEP'!AA18</f>
        <v>2865086.6159499995</v>
      </c>
      <c r="AB65" s="191">
        <f>'5. IEP'!AB18</f>
        <v>3242380.55724</v>
      </c>
      <c r="AC65" s="191"/>
      <c r="AD65" s="155">
        <f t="shared" si="115"/>
        <v>0.13168674873199193</v>
      </c>
      <c r="AE65" s="155">
        <f t="shared" si="116"/>
        <v>0.46917233850512319</v>
      </c>
      <c r="AG65" s="188"/>
    </row>
    <row r="66" spans="2:33" ht="13" customHeight="1">
      <c r="B66" s="60" t="str">
        <f>IF('Summary | Sumário'!D6=Names!B3,Names!V11,Names!W11)</f>
        <v>Prepayment of receivables</v>
      </c>
      <c r="C66" s="190">
        <f>'9.1 Asset Quality'!C11</f>
        <v>0</v>
      </c>
      <c r="D66" s="190">
        <f>'9.1 Asset Quality'!D11</f>
        <v>0</v>
      </c>
      <c r="E66" s="190">
        <f>'9.1 Asset Quality'!E11</f>
        <v>298104</v>
      </c>
      <c r="F66" s="190">
        <f>'9.1 Asset Quality'!F11</f>
        <v>1845665</v>
      </c>
      <c r="G66" s="190">
        <f>'9.1 Asset Quality'!G11</f>
        <v>1236536</v>
      </c>
      <c r="H66" s="190">
        <f>'9.1 Asset Quality'!H11</f>
        <v>5586520.30516</v>
      </c>
      <c r="I66" s="175"/>
      <c r="J66" s="190">
        <f>'9.1 Asset Quality'!J11</f>
        <v>85776.282000000007</v>
      </c>
      <c r="K66" s="190">
        <f>'9.1 Asset Quality'!K11</f>
        <v>71515.061000000002</v>
      </c>
      <c r="L66" s="190">
        <f>'9.1 Asset Quality'!L11</f>
        <v>97555.932000000001</v>
      </c>
      <c r="M66" s="190">
        <f>'9.1 Asset Quality'!M11</f>
        <v>298104</v>
      </c>
      <c r="N66" s="190">
        <f>'9.1 Asset Quality'!N11</f>
        <v>347353.58600000001</v>
      </c>
      <c r="O66" s="190">
        <f>'9.1 Asset Quality'!O11</f>
        <v>379917.21</v>
      </c>
      <c r="P66" s="190">
        <f>'9.1 Asset Quality'!P11</f>
        <v>1029786.0000000001</v>
      </c>
      <c r="Q66" s="190">
        <f>'9.1 Asset Quality'!Q11</f>
        <v>1845665</v>
      </c>
      <c r="R66" s="190">
        <f>'9.1 Asset Quality'!R11</f>
        <v>1296424</v>
      </c>
      <c r="S66" s="190">
        <f>'9.1 Asset Quality'!S11</f>
        <v>1332977</v>
      </c>
      <c r="T66" s="190">
        <f>'9.1 Asset Quality'!T11</f>
        <v>1215142</v>
      </c>
      <c r="U66" s="190">
        <f>'9.1 Asset Quality'!U11</f>
        <v>1236536</v>
      </c>
      <c r="V66" s="190">
        <f>'9.1 Asset Quality'!V11</f>
        <v>1284996.6508599999</v>
      </c>
      <c r="W66" s="190">
        <f>'9.1 Asset Quality'!W11</f>
        <v>2702819.41658</v>
      </c>
      <c r="X66" s="190">
        <f>'9.1 Asset Quality'!X11</f>
        <v>4353998.8030500002</v>
      </c>
      <c r="Y66" s="190">
        <f>'9.1 Asset Quality'!Y11</f>
        <v>5586520.30516</v>
      </c>
      <c r="Z66" s="190">
        <f>'9.1 Asset Quality'!Z11</f>
        <v>5199617</v>
      </c>
      <c r="AA66" s="190">
        <f>'9.1 Asset Quality'!AA11</f>
        <v>3602880</v>
      </c>
      <c r="AB66" s="190">
        <f>'9.1 Asset Quality'!AB11</f>
        <v>2867970</v>
      </c>
      <c r="AC66" s="191"/>
      <c r="AD66" s="156">
        <f t="shared" si="115"/>
        <v>-0.20397848387956297</v>
      </c>
      <c r="AE66" s="156">
        <f t="shared" si="116"/>
        <v>-0.34130206972244204</v>
      </c>
      <c r="AG66" s="188"/>
    </row>
    <row r="67" spans="2:33" ht="13" customHeight="1">
      <c r="B67" s="51" t="str">
        <f>IF('Summary | Sumário'!D6=Names!B3,Names!V10,Names!W10)</f>
        <v>Amounts due from financial institutions</v>
      </c>
      <c r="C67" s="193">
        <f t="shared" ref="C67:Y67" si="117">C68+C69</f>
        <v>3249765</v>
      </c>
      <c r="D67" s="193">
        <f t="shared" si="117"/>
        <v>2155044</v>
      </c>
      <c r="E67" s="193">
        <f t="shared" si="117"/>
        <v>1765267</v>
      </c>
      <c r="F67" s="193">
        <f t="shared" si="117"/>
        <v>3103024</v>
      </c>
      <c r="G67" s="193">
        <f t="shared" si="117"/>
        <v>5544223</v>
      </c>
      <c r="H67" s="193">
        <f t="shared" si="117"/>
        <v>704918.00316999992</v>
      </c>
      <c r="I67" s="193"/>
      <c r="J67" s="193">
        <f t="shared" si="117"/>
        <v>508295</v>
      </c>
      <c r="K67" s="193">
        <f t="shared" si="117"/>
        <v>588650</v>
      </c>
      <c r="L67" s="193">
        <f t="shared" si="117"/>
        <v>1310627.068</v>
      </c>
      <c r="M67" s="193">
        <f t="shared" si="117"/>
        <v>1765267</v>
      </c>
      <c r="N67" s="193">
        <f t="shared" si="117"/>
        <v>1533440.4139999999</v>
      </c>
      <c r="O67" s="193">
        <f t="shared" si="117"/>
        <v>1858830.79</v>
      </c>
      <c r="P67" s="193">
        <f t="shared" si="117"/>
        <v>2663637</v>
      </c>
      <c r="Q67" s="193">
        <f t="shared" si="117"/>
        <v>3103024</v>
      </c>
      <c r="R67" s="193">
        <f t="shared" si="117"/>
        <v>3336565</v>
      </c>
      <c r="S67" s="193">
        <f t="shared" si="117"/>
        <v>4056311</v>
      </c>
      <c r="T67" s="193">
        <f t="shared" si="117"/>
        <v>5294009</v>
      </c>
      <c r="U67" s="193">
        <f t="shared" si="117"/>
        <v>5544223</v>
      </c>
      <c r="V67" s="193">
        <f t="shared" si="117"/>
        <v>4589841.4213999994</v>
      </c>
      <c r="W67" s="193">
        <f t="shared" si="117"/>
        <v>4341752.1309200004</v>
      </c>
      <c r="X67" s="193">
        <f t="shared" si="117"/>
        <v>2225564.6693000002</v>
      </c>
      <c r="Y67" s="193">
        <f t="shared" si="117"/>
        <v>704918.00316999992</v>
      </c>
      <c r="Z67" s="193">
        <f>Z68+Z69</f>
        <v>1112090</v>
      </c>
      <c r="AA67" s="193">
        <f>AA68+AA69</f>
        <v>4476177</v>
      </c>
      <c r="AB67" s="193">
        <f>AB68+AB69</f>
        <v>4270294</v>
      </c>
      <c r="AD67" s="155">
        <f t="shared" si="115"/>
        <v>-4.5995276773014071E-2</v>
      </c>
      <c r="AE67" s="155">
        <f t="shared" si="116"/>
        <v>0.91874631139930973</v>
      </c>
      <c r="AG67" s="188"/>
    </row>
    <row r="68" spans="2:33" ht="13" customHeight="1">
      <c r="B68" s="60" t="str">
        <f>IF('Summary | Sumário'!D6=Names!B3,Names!V12,Names!W12)</f>
        <v>Interbank deposit investments</v>
      </c>
      <c r="C68" s="221">
        <v>229088</v>
      </c>
      <c r="D68" s="221">
        <v>502347</v>
      </c>
      <c r="E68" s="221">
        <f>M68</f>
        <v>1729676</v>
      </c>
      <c r="F68" s="221">
        <f>Q68</f>
        <v>2383526</v>
      </c>
      <c r="G68" s="221">
        <f>U68</f>
        <v>2451736</v>
      </c>
      <c r="H68" s="221">
        <f>Y68</f>
        <v>579720.22265999997</v>
      </c>
      <c r="I68" s="220"/>
      <c r="J68" s="221">
        <v>508295</v>
      </c>
      <c r="K68" s="221">
        <v>588650</v>
      </c>
      <c r="L68" s="221">
        <v>1310627.068</v>
      </c>
      <c r="M68" s="221">
        <v>1729676</v>
      </c>
      <c r="N68" s="221">
        <v>1092110.4139999999</v>
      </c>
      <c r="O68" s="221">
        <v>1038630.79</v>
      </c>
      <c r="P68" s="221">
        <v>2376438</v>
      </c>
      <c r="Q68" s="221">
        <v>2383526</v>
      </c>
      <c r="R68" s="221">
        <v>2445298</v>
      </c>
      <c r="S68" s="221">
        <v>1209154</v>
      </c>
      <c r="T68" s="221">
        <v>2126047</v>
      </c>
      <c r="U68" s="221">
        <v>2451736</v>
      </c>
      <c r="V68" s="221">
        <v>2609001.0491299992</v>
      </c>
      <c r="W68" s="221">
        <v>2402910.8812500006</v>
      </c>
      <c r="X68" s="221">
        <v>564054.04582</v>
      </c>
      <c r="Y68" s="221">
        <v>579720.22265999997</v>
      </c>
      <c r="Z68" s="221">
        <v>554051</v>
      </c>
      <c r="AA68" s="221">
        <v>466977</v>
      </c>
      <c r="AB68" s="221">
        <v>200982</v>
      </c>
      <c r="AD68" s="156">
        <f t="shared" si="115"/>
        <v>-0.56961049473528669</v>
      </c>
      <c r="AE68" s="156">
        <f t="shared" si="116"/>
        <v>-0.64368308056753654</v>
      </c>
      <c r="AG68" s="188"/>
    </row>
    <row r="69" spans="2:33" ht="13" customHeight="1">
      <c r="B69" s="55" t="str">
        <f>IF('Summary | Sumário'!D6=Names!B3,Names!V13,Names!W13)</f>
        <v>Reverse repurchase agreements</v>
      </c>
      <c r="C69" s="220">
        <v>3020677</v>
      </c>
      <c r="D69" s="220">
        <v>1652697</v>
      </c>
      <c r="E69" s="220">
        <f>M69</f>
        <v>35591</v>
      </c>
      <c r="F69" s="220">
        <f>Q69</f>
        <v>719498</v>
      </c>
      <c r="G69" s="220">
        <f>U69</f>
        <v>3092487</v>
      </c>
      <c r="H69" s="220">
        <f>Y69</f>
        <v>125197.78051000001</v>
      </c>
      <c r="I69" s="220"/>
      <c r="J69" s="220">
        <v>0</v>
      </c>
      <c r="K69" s="220">
        <v>0</v>
      </c>
      <c r="L69" s="220">
        <v>0</v>
      </c>
      <c r="M69" s="220">
        <v>35591</v>
      </c>
      <c r="N69" s="220">
        <v>441330</v>
      </c>
      <c r="O69" s="220">
        <v>820200</v>
      </c>
      <c r="P69" s="220">
        <v>287199</v>
      </c>
      <c r="Q69" s="220">
        <v>719498</v>
      </c>
      <c r="R69" s="220">
        <v>891267</v>
      </c>
      <c r="S69" s="220">
        <v>2847157</v>
      </c>
      <c r="T69" s="220">
        <v>3167962</v>
      </c>
      <c r="U69" s="220">
        <v>3092487</v>
      </c>
      <c r="V69" s="220">
        <v>1980840.3722699999</v>
      </c>
      <c r="W69" s="220">
        <v>1938841.2496699998</v>
      </c>
      <c r="X69" s="220">
        <v>1661510.6234800001</v>
      </c>
      <c r="Y69" s="220">
        <v>125197.78051000001</v>
      </c>
      <c r="Z69" s="220">
        <v>558039</v>
      </c>
      <c r="AA69" s="220">
        <v>4009200</v>
      </c>
      <c r="AB69" s="220">
        <v>4069312</v>
      </c>
      <c r="AD69" s="155">
        <f t="shared" si="115"/>
        <v>1.4993514915693895E-2</v>
      </c>
      <c r="AE69" s="155">
        <f t="shared" si="116"/>
        <v>1.4491639972044892</v>
      </c>
      <c r="AG69" s="188"/>
    </row>
    <row r="70" spans="2:33" ht="13" customHeight="1">
      <c r="B70" s="53" t="str">
        <f>IF('Summary | Sumário'!D6=Names!B3,Names!K6,Names!L6)</f>
        <v>Securities, net of provisions for expected credit losses</v>
      </c>
      <c r="C70" s="190">
        <f>'5. IEP'!C10</f>
        <v>1155094</v>
      </c>
      <c r="D70" s="190">
        <f>'5. IEP'!D10</f>
        <v>5812622</v>
      </c>
      <c r="E70" s="190">
        <f>'5. IEP'!E10</f>
        <v>12757687</v>
      </c>
      <c r="F70" s="190">
        <f>'5. IEP'!F10</f>
        <v>12448565</v>
      </c>
      <c r="G70" s="190">
        <f>'5. IEP'!G10</f>
        <v>16868112</v>
      </c>
      <c r="H70" s="190">
        <f>'5. IEP'!H10</f>
        <v>23899551.020405103</v>
      </c>
      <c r="I70" s="175"/>
      <c r="J70" s="190">
        <f>'5. IEP'!J10</f>
        <v>6619726</v>
      </c>
      <c r="K70" s="190">
        <f>'5. IEP'!K10</f>
        <v>8230481</v>
      </c>
      <c r="L70" s="190">
        <f>'5. IEP'!L10</f>
        <v>13241180</v>
      </c>
      <c r="M70" s="190">
        <f>'5. IEP'!M10</f>
        <v>12757687</v>
      </c>
      <c r="N70" s="190">
        <f>'5. IEP'!N10</f>
        <v>12335401</v>
      </c>
      <c r="O70" s="190">
        <f>'5. IEP'!O10</f>
        <v>12710051</v>
      </c>
      <c r="P70" s="190">
        <f>'5. IEP'!P10</f>
        <v>13373465</v>
      </c>
      <c r="Q70" s="190">
        <f>'5. IEP'!Q10</f>
        <v>12448565</v>
      </c>
      <c r="R70" s="190">
        <f>'5. IEP'!R10</f>
        <v>12535351</v>
      </c>
      <c r="S70" s="190">
        <f>'5. IEP'!S10</f>
        <v>14169684</v>
      </c>
      <c r="T70" s="190">
        <f>'5. IEP'!T10</f>
        <v>14908297</v>
      </c>
      <c r="U70" s="190">
        <f>'5. IEP'!U10</f>
        <v>16868112</v>
      </c>
      <c r="V70" s="190">
        <f>'5. IEP'!V10</f>
        <v>18167251</v>
      </c>
      <c r="W70" s="190">
        <f>'5. IEP'!W10</f>
        <v>18276425.519000001</v>
      </c>
      <c r="X70" s="190">
        <f>'5. IEP'!X10</f>
        <v>20586354.700983003</v>
      </c>
      <c r="Y70" s="190">
        <f>'5. IEP'!Y10</f>
        <v>23899551.020405103</v>
      </c>
      <c r="Z70" s="190">
        <f>'5. IEP'!Z10</f>
        <v>24703003</v>
      </c>
      <c r="AA70" s="190">
        <f>'5. IEP'!AA10</f>
        <v>23860348</v>
      </c>
      <c r="AB70" s="190">
        <f>'5. IEP'!AB10</f>
        <v>27078010</v>
      </c>
      <c r="AD70" s="156">
        <f t="shared" si="115"/>
        <v>0.13485394261642791</v>
      </c>
      <c r="AE70" s="156">
        <f t="shared" si="116"/>
        <v>0.31533777559496823</v>
      </c>
      <c r="AG70" s="188"/>
    </row>
    <row r="71" spans="2:33" ht="13" customHeight="1">
      <c r="B71" s="51" t="str">
        <f>IF('Summary | Sumário'!D6=Names!B3,Names!V15,Names!W15)</f>
        <v>Other IEPs</v>
      </c>
      <c r="C71" s="193">
        <f>C72+C75+C76+C77</f>
        <v>486392</v>
      </c>
      <c r="D71" s="193">
        <f t="shared" ref="D71:Z71" si="118">D72+D75+D76+D77</f>
        <v>2416869</v>
      </c>
      <c r="E71" s="193">
        <f t="shared" si="118"/>
        <v>3651482</v>
      </c>
      <c r="F71" s="193">
        <f t="shared" si="118"/>
        <v>4186597</v>
      </c>
      <c r="G71" s="193">
        <f t="shared" si="118"/>
        <v>4580503</v>
      </c>
      <c r="H71" s="193">
        <f t="shared" si="118"/>
        <v>6609994.6947964998</v>
      </c>
      <c r="I71" s="193"/>
      <c r="J71" s="193">
        <f t="shared" si="118"/>
        <v>2785445.9253099998</v>
      </c>
      <c r="K71" s="193">
        <f t="shared" si="118"/>
        <v>7760559.0010000002</v>
      </c>
      <c r="L71" s="193">
        <f t="shared" si="118"/>
        <v>3336348.298</v>
      </c>
      <c r="M71" s="193">
        <f t="shared" si="118"/>
        <v>3651482</v>
      </c>
      <c r="N71" s="193">
        <f t="shared" si="118"/>
        <v>3745702</v>
      </c>
      <c r="O71" s="193">
        <f t="shared" si="118"/>
        <v>3803168</v>
      </c>
      <c r="P71" s="193">
        <f t="shared" si="118"/>
        <v>3865325</v>
      </c>
      <c r="Q71" s="193">
        <f t="shared" si="118"/>
        <v>4186597</v>
      </c>
      <c r="R71" s="193">
        <f t="shared" si="118"/>
        <v>4646112</v>
      </c>
      <c r="S71" s="193">
        <f t="shared" si="118"/>
        <v>3256699</v>
      </c>
      <c r="T71" s="193">
        <f t="shared" si="118"/>
        <v>4093444.6461388674</v>
      </c>
      <c r="U71" s="193">
        <f t="shared" si="118"/>
        <v>4580503</v>
      </c>
      <c r="V71" s="193">
        <f t="shared" si="118"/>
        <v>4590443.8267636886</v>
      </c>
      <c r="W71" s="193">
        <f t="shared" si="118"/>
        <v>5436555.2713299999</v>
      </c>
      <c r="X71" s="193">
        <f t="shared" si="118"/>
        <v>5332550.9482305599</v>
      </c>
      <c r="Y71" s="193">
        <f t="shared" si="118"/>
        <v>6609994.6947964998</v>
      </c>
      <c r="Z71" s="193">
        <f t="shared" si="118"/>
        <v>6842412</v>
      </c>
      <c r="AA71" s="193">
        <f t="shared" ref="AA71:AB71" si="119">AA72+AA75+AA76+AA77</f>
        <v>7294919</v>
      </c>
      <c r="AB71" s="193">
        <f t="shared" si="119"/>
        <v>9040190</v>
      </c>
      <c r="AD71" s="155">
        <f t="shared" si="115"/>
        <v>0.2392447400718225</v>
      </c>
      <c r="AE71" s="155">
        <f t="shared" si="116"/>
        <v>0.69528431847420125</v>
      </c>
      <c r="AG71" s="188"/>
    </row>
    <row r="72" spans="2:33" ht="13" customHeight="1">
      <c r="B72" s="60" t="str">
        <f>IF('Summary | Sumário'!D6=Names!B3,Names!V17,Names!W17)</f>
        <v>Cash and equivalents excl. reverse repurchase agreements</v>
      </c>
      <c r="C72" s="190">
        <f>C73+C74</f>
        <v>94112</v>
      </c>
      <c r="D72" s="190">
        <f t="shared" ref="D72:Z72" si="120">D73+D74</f>
        <v>501990</v>
      </c>
      <c r="E72" s="190">
        <f t="shared" si="120"/>
        <v>464855</v>
      </c>
      <c r="F72" s="190">
        <f t="shared" si="120"/>
        <v>612150</v>
      </c>
      <c r="G72" s="190">
        <f t="shared" si="120"/>
        <v>1166892</v>
      </c>
      <c r="H72" s="190">
        <f t="shared" si="120"/>
        <v>983196.16579649993</v>
      </c>
      <c r="I72" s="175"/>
      <c r="J72" s="190">
        <f t="shared" si="120"/>
        <v>906123</v>
      </c>
      <c r="K72" s="190">
        <f t="shared" si="120"/>
        <v>5731007.0010000002</v>
      </c>
      <c r="L72" s="190">
        <f t="shared" si="120"/>
        <v>451774.29800000001</v>
      </c>
      <c r="M72" s="190">
        <f t="shared" si="120"/>
        <v>464855</v>
      </c>
      <c r="N72" s="190">
        <f t="shared" si="120"/>
        <v>730324</v>
      </c>
      <c r="O72" s="190">
        <f t="shared" si="120"/>
        <v>728958</v>
      </c>
      <c r="P72" s="190">
        <f t="shared" si="120"/>
        <v>551111</v>
      </c>
      <c r="Q72" s="190">
        <f t="shared" si="120"/>
        <v>612150</v>
      </c>
      <c r="R72" s="190">
        <f t="shared" si="120"/>
        <v>900440</v>
      </c>
      <c r="S72" s="190">
        <f t="shared" si="120"/>
        <v>825062</v>
      </c>
      <c r="T72" s="190">
        <f t="shared" si="120"/>
        <v>1129115.8057988677</v>
      </c>
      <c r="U72" s="190">
        <f t="shared" si="120"/>
        <v>1166892</v>
      </c>
      <c r="V72" s="190">
        <f t="shared" si="120"/>
        <v>849469.61702368804</v>
      </c>
      <c r="W72" s="190">
        <f t="shared" si="120"/>
        <v>858498.07433000021</v>
      </c>
      <c r="X72" s="190">
        <f t="shared" si="120"/>
        <v>612054.08900055988</v>
      </c>
      <c r="Y72" s="190">
        <f t="shared" si="120"/>
        <v>983196.16579649993</v>
      </c>
      <c r="Z72" s="190">
        <f t="shared" si="120"/>
        <v>900549</v>
      </c>
      <c r="AA72" s="190">
        <f t="shared" ref="AA72:AB72" si="121">AA73+AA74</f>
        <v>824925</v>
      </c>
      <c r="AB72" s="190">
        <f t="shared" si="121"/>
        <v>1626008</v>
      </c>
      <c r="AD72" s="156">
        <f t="shared" si="115"/>
        <v>0.97109797860411562</v>
      </c>
      <c r="AE72" s="156">
        <f t="shared" si="116"/>
        <v>1.6566410211475815</v>
      </c>
      <c r="AG72" s="188"/>
    </row>
    <row r="73" spans="2:33" ht="13" customHeight="1">
      <c r="B73" s="652" t="str">
        <f>IF('Summary | Sumário'!D6=Names!B3,Names!K3,Names!L3)</f>
        <v>Cash and equivalents</v>
      </c>
      <c r="C73" s="191">
        <f>'5. IEP'!C5</f>
        <v>3114789</v>
      </c>
      <c r="D73" s="191">
        <f>'5. IEP'!D5</f>
        <v>2154687</v>
      </c>
      <c r="E73" s="191">
        <f>'5. IEP'!E5</f>
        <v>500446</v>
      </c>
      <c r="F73" s="191">
        <f>'5. IEP'!F5</f>
        <v>1331648</v>
      </c>
      <c r="G73" s="191">
        <f>'5. IEP'!G5</f>
        <v>4259379</v>
      </c>
      <c r="H73" s="191">
        <f>'5. IEP'!H5</f>
        <v>1108393.9463064999</v>
      </c>
      <c r="I73" s="175"/>
      <c r="J73" s="191">
        <f>'5. IEP'!J5</f>
        <v>906123</v>
      </c>
      <c r="K73" s="191">
        <f>'5. IEP'!K5</f>
        <v>5731007.0010000002</v>
      </c>
      <c r="L73" s="191">
        <f>'5. IEP'!L5</f>
        <v>451774.29800000001</v>
      </c>
      <c r="M73" s="191">
        <f>'5. IEP'!M5</f>
        <v>500446</v>
      </c>
      <c r="N73" s="191">
        <f>'5. IEP'!N5</f>
        <v>1171654</v>
      </c>
      <c r="O73" s="191">
        <f>'5. IEP'!O5</f>
        <v>1549158</v>
      </c>
      <c r="P73" s="191">
        <f>'5. IEP'!P5</f>
        <v>838310</v>
      </c>
      <c r="Q73" s="191">
        <f>'5. IEP'!Q5</f>
        <v>1331648</v>
      </c>
      <c r="R73" s="191">
        <f>'5. IEP'!R5</f>
        <v>1791707</v>
      </c>
      <c r="S73" s="191">
        <f>'5. IEP'!S5</f>
        <v>3672219</v>
      </c>
      <c r="T73" s="191">
        <f>'5. IEP'!T5</f>
        <v>4297077.8057988677</v>
      </c>
      <c r="U73" s="191">
        <f>'5. IEP'!U5</f>
        <v>4259379</v>
      </c>
      <c r="V73" s="191">
        <f>'5. IEP'!V5</f>
        <v>2830309.989293688</v>
      </c>
      <c r="W73" s="191">
        <f>'5. IEP'!W5</f>
        <v>2797339.324</v>
      </c>
      <c r="X73" s="191">
        <f>'5. IEP'!X5</f>
        <v>2273564.7124805599</v>
      </c>
      <c r="Y73" s="191">
        <f>'5. IEP'!Y5</f>
        <v>1108393.9463064999</v>
      </c>
      <c r="Z73" s="191">
        <f>'5. IEP'!Z5</f>
        <v>1458588</v>
      </c>
      <c r="AA73" s="191">
        <f>'5. IEP'!AA5</f>
        <v>4834125</v>
      </c>
      <c r="AB73" s="191">
        <f>'5. IEP'!AB5</f>
        <v>5695320</v>
      </c>
      <c r="AD73" s="155">
        <f t="shared" si="115"/>
        <v>0.17814909626871467</v>
      </c>
      <c r="AE73" s="155">
        <f t="shared" si="116"/>
        <v>1.5050177673571268</v>
      </c>
      <c r="AG73" s="188"/>
    </row>
    <row r="74" spans="2:33" ht="13" customHeight="1">
      <c r="B74" s="564" t="str">
        <f>IF('Summary | Sumário'!D6=Names!B3,Names!V16,Names!W16)</f>
        <v>(-) Reverse repurchase agreements</v>
      </c>
      <c r="C74" s="190">
        <f>-C69</f>
        <v>-3020677</v>
      </c>
      <c r="D74" s="190">
        <f t="shared" ref="D74:Z74" si="122">-D69</f>
        <v>-1652697</v>
      </c>
      <c r="E74" s="190">
        <f t="shared" si="122"/>
        <v>-35591</v>
      </c>
      <c r="F74" s="190">
        <f t="shared" si="122"/>
        <v>-719498</v>
      </c>
      <c r="G74" s="190">
        <f t="shared" si="122"/>
        <v>-3092487</v>
      </c>
      <c r="H74" s="190">
        <f t="shared" si="122"/>
        <v>-125197.78051000001</v>
      </c>
      <c r="I74" s="175"/>
      <c r="J74" s="190">
        <f t="shared" si="122"/>
        <v>0</v>
      </c>
      <c r="K74" s="190">
        <f t="shared" si="122"/>
        <v>0</v>
      </c>
      <c r="L74" s="190">
        <f t="shared" si="122"/>
        <v>0</v>
      </c>
      <c r="M74" s="190">
        <f t="shared" si="122"/>
        <v>-35591</v>
      </c>
      <c r="N74" s="190">
        <f t="shared" si="122"/>
        <v>-441330</v>
      </c>
      <c r="O74" s="190">
        <f t="shared" si="122"/>
        <v>-820200</v>
      </c>
      <c r="P74" s="190">
        <f t="shared" si="122"/>
        <v>-287199</v>
      </c>
      <c r="Q74" s="190">
        <f t="shared" si="122"/>
        <v>-719498</v>
      </c>
      <c r="R74" s="190">
        <f t="shared" si="122"/>
        <v>-891267</v>
      </c>
      <c r="S74" s="190">
        <f t="shared" si="122"/>
        <v>-2847157</v>
      </c>
      <c r="T74" s="190">
        <f t="shared" si="122"/>
        <v>-3167962</v>
      </c>
      <c r="U74" s="190">
        <f t="shared" si="122"/>
        <v>-3092487</v>
      </c>
      <c r="V74" s="190">
        <f t="shared" si="122"/>
        <v>-1980840.3722699999</v>
      </c>
      <c r="W74" s="190">
        <f t="shared" si="122"/>
        <v>-1938841.2496699998</v>
      </c>
      <c r="X74" s="190">
        <f t="shared" si="122"/>
        <v>-1661510.6234800001</v>
      </c>
      <c r="Y74" s="190">
        <f t="shared" si="122"/>
        <v>-125197.78051000001</v>
      </c>
      <c r="Z74" s="190">
        <f t="shared" si="122"/>
        <v>-558039</v>
      </c>
      <c r="AA74" s="190">
        <f t="shared" ref="AA74:AB74" si="123">-AA69</f>
        <v>-4009200</v>
      </c>
      <c r="AB74" s="190">
        <f t="shared" si="123"/>
        <v>-4069312</v>
      </c>
      <c r="AD74" s="156">
        <f t="shared" si="115"/>
        <v>1.4993514915693895E-2</v>
      </c>
      <c r="AE74" s="156">
        <f t="shared" si="116"/>
        <v>1.4491639972044892</v>
      </c>
      <c r="AG74" s="188"/>
    </row>
    <row r="75" spans="2:33" ht="13" customHeight="1">
      <c r="B75" s="55" t="str">
        <f>IF('Summary | Sumário'!D6=Names!B3,Names!K5,Names!L5)</f>
        <v>Deposits at Central Bank of Brazil</v>
      </c>
      <c r="C75" s="191">
        <f>'5. IEP'!C9</f>
        <v>392280</v>
      </c>
      <c r="D75" s="191">
        <f>'5. IEP'!D9</f>
        <v>1709729</v>
      </c>
      <c r="E75" s="191">
        <f>'5. IEP'!E9</f>
        <v>2399488</v>
      </c>
      <c r="F75" s="191">
        <f>'5. IEP'!F9</f>
        <v>2854778</v>
      </c>
      <c r="G75" s="191">
        <f>'5. IEP'!G9</f>
        <v>2664415</v>
      </c>
      <c r="H75" s="191">
        <f>'5. IEP'!H9</f>
        <v>5285401.7280000001</v>
      </c>
      <c r="I75" s="175"/>
      <c r="J75" s="191">
        <f>'5. IEP'!J9</f>
        <v>1644359</v>
      </c>
      <c r="K75" s="191">
        <f>'5. IEP'!K9</f>
        <v>1593298</v>
      </c>
      <c r="L75" s="191">
        <f>'5. IEP'!L9</f>
        <v>2331697</v>
      </c>
      <c r="M75" s="191">
        <f>'5. IEP'!M9</f>
        <v>2399488</v>
      </c>
      <c r="N75" s="191">
        <f>'5. IEP'!N9</f>
        <v>2361774</v>
      </c>
      <c r="O75" s="191">
        <f>'5. IEP'!O9</f>
        <v>2580989</v>
      </c>
      <c r="P75" s="191">
        <f>'5. IEP'!P9</f>
        <v>2686243</v>
      </c>
      <c r="Q75" s="191">
        <f>'5. IEP'!Q9</f>
        <v>2854778</v>
      </c>
      <c r="R75" s="191">
        <f>'5. IEP'!R9</f>
        <v>2993616</v>
      </c>
      <c r="S75" s="191">
        <f>'5. IEP'!S9</f>
        <v>1703869</v>
      </c>
      <c r="T75" s="191">
        <f>'5. IEP'!T9</f>
        <v>2190872.3033499997</v>
      </c>
      <c r="U75" s="191">
        <f>'5. IEP'!U9</f>
        <v>2664415</v>
      </c>
      <c r="V75" s="191">
        <f>'5. IEP'!V9</f>
        <v>2925658.3690599999</v>
      </c>
      <c r="W75" s="191">
        <f>'5. IEP'!W9</f>
        <v>3725774.7710000002</v>
      </c>
      <c r="X75" s="191">
        <f>'5. IEP'!X9</f>
        <v>4185155.9511100003</v>
      </c>
      <c r="Y75" s="191">
        <f>'5. IEP'!Y9</f>
        <v>5285401.7280000001</v>
      </c>
      <c r="Z75" s="191">
        <f>'5. IEP'!Z9</f>
        <v>5648238</v>
      </c>
      <c r="AA75" s="191">
        <f>'5. IEP'!AA9</f>
        <v>6179662</v>
      </c>
      <c r="AB75" s="191">
        <f>'5. IEP'!AB9</f>
        <v>7072746</v>
      </c>
      <c r="AD75" s="155">
        <f t="shared" si="115"/>
        <v>0.14451987827165946</v>
      </c>
      <c r="AE75" s="155">
        <f t="shared" si="116"/>
        <v>0.68995996388716274</v>
      </c>
      <c r="AG75" s="188"/>
    </row>
    <row r="76" spans="2:33" ht="13" customHeight="1">
      <c r="B76" s="60" t="str">
        <f>IF('Summary | Sumário'!D6=Names!B3,Names!K7,Names!L7)</f>
        <v>Derivative financial assets</v>
      </c>
      <c r="C76" s="190">
        <f>'5. IEP'!C13</f>
        <v>0</v>
      </c>
      <c r="D76" s="190">
        <f>'5. IEP'!D13</f>
        <v>27513</v>
      </c>
      <c r="E76" s="190">
        <f>'5. IEP'!E13</f>
        <v>86948</v>
      </c>
      <c r="F76" s="190">
        <f>'5. IEP'!F13</f>
        <v>0</v>
      </c>
      <c r="G76" s="190">
        <f>'5. IEP'!G13</f>
        <v>4238</v>
      </c>
      <c r="H76" s="190">
        <f>'5. IEP'!H13</f>
        <v>562.80100000000004</v>
      </c>
      <c r="I76" s="175"/>
      <c r="J76" s="190">
        <f>'5. IEP'!J13</f>
        <v>18603</v>
      </c>
      <c r="K76" s="190">
        <f>'5. IEP'!K13</f>
        <v>11684</v>
      </c>
      <c r="L76" s="190">
        <f>'5. IEP'!L13</f>
        <v>7643</v>
      </c>
      <c r="M76" s="190">
        <f>'5. IEP'!M13</f>
        <v>86948</v>
      </c>
      <c r="N76" s="190">
        <f>'5. IEP'!N13</f>
        <v>10410</v>
      </c>
      <c r="O76" s="190">
        <f>'5. IEP'!O13</f>
        <v>3212</v>
      </c>
      <c r="P76" s="190">
        <f>'5. IEP'!P13</f>
        <v>581</v>
      </c>
      <c r="Q76" s="190">
        <f>'5. IEP'!Q13</f>
        <v>0</v>
      </c>
      <c r="R76" s="190">
        <f>'5. IEP'!R13</f>
        <v>1122</v>
      </c>
      <c r="S76" s="190">
        <f>'5. IEP'!S13</f>
        <v>3625</v>
      </c>
      <c r="T76" s="190">
        <f>'5. IEP'!T13</f>
        <v>9388.5369900000005</v>
      </c>
      <c r="U76" s="190">
        <f>'5. IEP'!U13</f>
        <v>4238</v>
      </c>
      <c r="V76" s="190">
        <f>'5. IEP'!V13</f>
        <v>7392.1129600000004</v>
      </c>
      <c r="W76" s="190">
        <f>'5. IEP'!W13</f>
        <v>7177.4260000000004</v>
      </c>
      <c r="X76" s="190">
        <f>'5. IEP'!X13</f>
        <v>18488.90812</v>
      </c>
      <c r="Y76" s="190">
        <f>'5. IEP'!Y13</f>
        <v>562.80100000000004</v>
      </c>
      <c r="Z76" s="190">
        <f>'5. IEP'!Z13</f>
        <v>8163</v>
      </c>
      <c r="AA76" s="190">
        <f>'5. IEP'!AA13</f>
        <v>690</v>
      </c>
      <c r="AB76" s="190">
        <f>'5. IEP'!AB13</f>
        <v>2493</v>
      </c>
      <c r="AD76" s="156">
        <f t="shared" si="115"/>
        <v>2.6130434782608694</v>
      </c>
      <c r="AE76" s="156">
        <f t="shared" si="116"/>
        <v>-0.86516239986593646</v>
      </c>
      <c r="AG76" s="188"/>
    </row>
    <row r="77" spans="2:33" ht="13" customHeight="1">
      <c r="B77" s="55" t="str">
        <f>IF('Summary | Sumário'!D$6=Names!B$3,Names!O8,Names!Z8)</f>
        <v>Agribusiness</v>
      </c>
      <c r="C77" s="191">
        <f>'5. IEP'!C21</f>
        <v>0</v>
      </c>
      <c r="D77" s="191">
        <f>'5. IEP'!D21</f>
        <v>177637</v>
      </c>
      <c r="E77" s="191">
        <f>'5. IEP'!E21</f>
        <v>700191</v>
      </c>
      <c r="F77" s="191">
        <f>'5. IEP'!F21</f>
        <v>719669</v>
      </c>
      <c r="G77" s="191">
        <f>'5. IEP'!G21</f>
        <v>744958</v>
      </c>
      <c r="H77" s="191">
        <f>'5. IEP'!H21</f>
        <v>340834</v>
      </c>
      <c r="I77" s="175"/>
      <c r="J77" s="191">
        <f>'5. IEP'!J21</f>
        <v>216360.92530999999</v>
      </c>
      <c r="K77" s="191">
        <f>'5. IEP'!K21</f>
        <v>424570</v>
      </c>
      <c r="L77" s="191">
        <f>'5. IEP'!L21</f>
        <v>545234</v>
      </c>
      <c r="M77" s="191">
        <f>'5. IEP'!M21</f>
        <v>700191</v>
      </c>
      <c r="N77" s="191">
        <f>'5. IEP'!N21</f>
        <v>643194</v>
      </c>
      <c r="O77" s="191">
        <f>'5. IEP'!O21</f>
        <v>490009</v>
      </c>
      <c r="P77" s="191">
        <f>'5. IEP'!P21</f>
        <v>627390</v>
      </c>
      <c r="Q77" s="191">
        <f>'5. IEP'!Q21</f>
        <v>719669</v>
      </c>
      <c r="R77" s="191">
        <f>'5. IEP'!R21</f>
        <v>750934</v>
      </c>
      <c r="S77" s="191">
        <f>'5. IEP'!S21</f>
        <v>724143</v>
      </c>
      <c r="T77" s="191">
        <f>'5. IEP'!T21</f>
        <v>764068</v>
      </c>
      <c r="U77" s="191">
        <f>'5. IEP'!U21</f>
        <v>744958</v>
      </c>
      <c r="V77" s="191">
        <f>'5. IEP'!V21</f>
        <v>807923.72771999997</v>
      </c>
      <c r="W77" s="191">
        <f>'5. IEP'!W21</f>
        <v>845105</v>
      </c>
      <c r="X77" s="191">
        <f>'5. IEP'!X21</f>
        <v>516852</v>
      </c>
      <c r="Y77" s="191">
        <f>'5. IEP'!Y21</f>
        <v>340834</v>
      </c>
      <c r="Z77" s="191">
        <f>'5. IEP'!Z21</f>
        <v>285462</v>
      </c>
      <c r="AA77" s="191">
        <f>'5. IEP'!AA21</f>
        <v>289642</v>
      </c>
      <c r="AB77" s="191">
        <f>'5. IEP'!AB21</f>
        <v>338943</v>
      </c>
      <c r="AD77" s="155">
        <f t="shared" si="115"/>
        <v>0.17021357399824621</v>
      </c>
      <c r="AE77" s="155">
        <f t="shared" si="116"/>
        <v>-0.34421652620092402</v>
      </c>
    </row>
    <row r="78" spans="2:33" ht="13" customHeight="1">
      <c r="B78" s="286" t="str">
        <f>IF('Summary | Sumário'!D$6=Names!B$3,Names!V14,Names!W14)</f>
        <v>Gross IEP</v>
      </c>
      <c r="C78" s="534">
        <f>C61+C67+C70+C71</f>
        <v>9601799.3870000001</v>
      </c>
      <c r="D78" s="534">
        <f t="shared" ref="D78:Z78" si="124">D61+D67+D70+D71</f>
        <v>17322525.824999999</v>
      </c>
      <c r="E78" s="534">
        <f t="shared" si="124"/>
        <v>30866398</v>
      </c>
      <c r="F78" s="534">
        <f t="shared" si="124"/>
        <v>38150712</v>
      </c>
      <c r="G78" s="534">
        <f t="shared" si="124"/>
        <v>49778706.397</v>
      </c>
      <c r="H78" s="534">
        <f t="shared" si="124"/>
        <v>62506407.208071604</v>
      </c>
      <c r="I78" s="184"/>
      <c r="J78" s="534">
        <f t="shared" si="124"/>
        <v>17931576.6263</v>
      </c>
      <c r="K78" s="534">
        <f t="shared" si="124"/>
        <v>26103676.061999999</v>
      </c>
      <c r="L78" s="534">
        <f t="shared" si="124"/>
        <v>29019605.298</v>
      </c>
      <c r="M78" s="534">
        <f t="shared" si="124"/>
        <v>30866398</v>
      </c>
      <c r="N78" s="534">
        <f t="shared" si="124"/>
        <v>31015721</v>
      </c>
      <c r="O78" s="534">
        <f t="shared" si="124"/>
        <v>32849483.400000002</v>
      </c>
      <c r="P78" s="534">
        <f t="shared" si="124"/>
        <v>36208152</v>
      </c>
      <c r="Q78" s="534">
        <f t="shared" si="124"/>
        <v>38150712</v>
      </c>
      <c r="R78" s="534">
        <f t="shared" si="124"/>
        <v>39216123.387827471</v>
      </c>
      <c r="S78" s="534">
        <f t="shared" si="124"/>
        <v>41328950.767574593</v>
      </c>
      <c r="T78" s="534">
        <f t="shared" si="124"/>
        <v>45022492.601138867</v>
      </c>
      <c r="U78" s="534">
        <f t="shared" si="124"/>
        <v>49778706.397</v>
      </c>
      <c r="V78" s="534">
        <f t="shared" si="124"/>
        <v>50748154.836713888</v>
      </c>
      <c r="W78" s="534">
        <f t="shared" si="124"/>
        <v>54640030.852650002</v>
      </c>
      <c r="X78" s="534">
        <f t="shared" si="124"/>
        <v>57124633.767493561</v>
      </c>
      <c r="Y78" s="534">
        <f t="shared" si="124"/>
        <v>62506407.208071604</v>
      </c>
      <c r="Z78" s="534">
        <f t="shared" si="124"/>
        <v>65344318.951030001</v>
      </c>
      <c r="AA78" s="534">
        <f t="shared" ref="AA78:AB78" si="125">AA61+AA67+AA70+AA71</f>
        <v>69050674.615950003</v>
      </c>
      <c r="AB78" s="534">
        <f t="shared" si="125"/>
        <v>76010553.557240009</v>
      </c>
      <c r="AC78" s="327"/>
      <c r="AD78" s="315">
        <f t="shared" si="115"/>
        <v>0.10079378630259384</v>
      </c>
      <c r="AE78" s="315">
        <f t="shared" si="116"/>
        <v>0.33060903053864954</v>
      </c>
    </row>
    <row r="79" spans="2:33" ht="13" customHeight="1">
      <c r="B79" s="51" t="str">
        <f>IF('Summary | Sumário'!D$6=Names!B$3,Names!P10,Names!Q11)</f>
        <v>(-) Provision for expected loss on loans on loans to customers</v>
      </c>
      <c r="C79" s="191">
        <f>'5. IEP'!C22</f>
        <v>-215563</v>
      </c>
      <c r="D79" s="191">
        <f>'5. IEP'!D22</f>
        <v>-282355</v>
      </c>
      <c r="E79" s="191">
        <f>'5. IEP'!E22</f>
        <v>-680932.27827000001</v>
      </c>
      <c r="F79" s="191">
        <f>'5. IEP'!F22</f>
        <v>-1318412</v>
      </c>
      <c r="G79" s="191">
        <f>'5. IEP'!G22</f>
        <v>-1883758</v>
      </c>
      <c r="H79" s="191">
        <f>'5. IEP'!H22</f>
        <v>-2268938</v>
      </c>
      <c r="I79" s="175"/>
      <c r="J79" s="191">
        <f>'5. IEP'!J22</f>
        <v>-334789</v>
      </c>
      <c r="K79" s="191">
        <f>'5. IEP'!K22</f>
        <v>-486763</v>
      </c>
      <c r="L79" s="191">
        <f>'5. IEP'!L22</f>
        <v>-558546</v>
      </c>
      <c r="M79" s="191">
        <f>'5. IEP'!M22</f>
        <v>-680932.27827000001</v>
      </c>
      <c r="N79" s="191">
        <f>'5. IEP'!N22</f>
        <v>-801672</v>
      </c>
      <c r="O79" s="191">
        <f>'5. IEP'!O22</f>
        <v>-974457</v>
      </c>
      <c r="P79" s="191">
        <f>'5. IEP'!P22</f>
        <v>-1184365</v>
      </c>
      <c r="Q79" s="191">
        <f>'5. IEP'!Q22</f>
        <v>-1318412</v>
      </c>
      <c r="R79" s="191">
        <f>'5. IEP'!R22</f>
        <v>-1461707</v>
      </c>
      <c r="S79" s="191">
        <f>'5. IEP'!S22</f>
        <v>-1617401</v>
      </c>
      <c r="T79" s="191">
        <f>'5. IEP'!T22</f>
        <v>-1746981</v>
      </c>
      <c r="U79" s="191">
        <f>'5. IEP'!U22</f>
        <v>-1883758</v>
      </c>
      <c r="V79" s="191">
        <f>'5. IEP'!V22</f>
        <v>-2031628</v>
      </c>
      <c r="W79" s="191">
        <f>'5. IEP'!W22</f>
        <v>-2164911.7689999999</v>
      </c>
      <c r="X79" s="191">
        <f>'5. IEP'!X22</f>
        <v>-2227466</v>
      </c>
      <c r="Y79" s="191">
        <f>'5. IEP'!Y22</f>
        <v>-2268938</v>
      </c>
      <c r="Z79" s="191">
        <f>'5. IEP'!Z22</f>
        <v>-2307044</v>
      </c>
      <c r="AA79" s="191">
        <f>'5. IEP'!AA22</f>
        <v>-2457260</v>
      </c>
      <c r="AB79" s="191">
        <f>'5. IEP'!AB22</f>
        <v>-2704536</v>
      </c>
      <c r="AD79" s="155">
        <f t="shared" si="115"/>
        <v>0.10063078388123348</v>
      </c>
      <c r="AE79" s="155">
        <f t="shared" si="116"/>
        <v>0.21417610863645065</v>
      </c>
    </row>
    <row r="80" spans="2:33" ht="13" customHeight="1">
      <c r="B80" s="53" t="str">
        <f>IF('Summary | Sumário'!D$6=Names!B$3,Names!P11,Names!Q12)</f>
        <v>(-) Provision for expected loss on loans on loans to financial institutions</v>
      </c>
      <c r="C80" s="190">
        <v>0</v>
      </c>
      <c r="D80" s="190">
        <v>0</v>
      </c>
      <c r="E80" s="190">
        <f>M80</f>
        <v>-1477</v>
      </c>
      <c r="F80" s="190">
        <f>Q80</f>
        <v>-2140</v>
      </c>
      <c r="G80" s="190">
        <f>U80</f>
        <v>-1253</v>
      </c>
      <c r="H80" s="190">
        <f>Y80</f>
        <v>-5199.8868000000002</v>
      </c>
      <c r="I80" s="175"/>
      <c r="J80" s="190">
        <v>0</v>
      </c>
      <c r="K80" s="190">
        <v>0</v>
      </c>
      <c r="L80" s="190">
        <v>0</v>
      </c>
      <c r="M80" s="190">
        <v>-1477</v>
      </c>
      <c r="N80" s="190">
        <v>0</v>
      </c>
      <c r="O80" s="190">
        <v>0</v>
      </c>
      <c r="P80" s="190">
        <v>-3493</v>
      </c>
      <c r="Q80" s="190">
        <v>-2140</v>
      </c>
      <c r="R80" s="190">
        <v>-996</v>
      </c>
      <c r="S80" s="190">
        <v>-2159</v>
      </c>
      <c r="T80" s="190">
        <v>-1431</v>
      </c>
      <c r="U80" s="190">
        <v>-1253</v>
      </c>
      <c r="V80" s="190">
        <v>-1313.22245</v>
      </c>
      <c r="W80" s="190">
        <v>-2742.3400499999998</v>
      </c>
      <c r="X80" s="190">
        <v>-3823.3108299999999</v>
      </c>
      <c r="Y80" s="190">
        <v>-5199.8868000000002</v>
      </c>
      <c r="Z80" s="190">
        <v>-5590</v>
      </c>
      <c r="AA80" s="190">
        <v>-3823</v>
      </c>
      <c r="AB80" s="190">
        <v>-925</v>
      </c>
      <c r="AD80" s="156">
        <f t="shared" si="115"/>
        <v>-0.7580434213968088</v>
      </c>
      <c r="AE80" s="156">
        <f t="shared" si="116"/>
        <v>-0.75806309213943768</v>
      </c>
    </row>
    <row r="81" spans="2:31" ht="13" customHeight="1">
      <c r="B81" s="287" t="str">
        <f>IF('Summary | Sumário'!D$6=Names!B$3,Names!V9,Names!W9)</f>
        <v>Total interest earning assets</v>
      </c>
      <c r="C81" s="563">
        <f t="shared" ref="C81:G81" si="126">C78+C79+C80</f>
        <v>9386236.3870000001</v>
      </c>
      <c r="D81" s="563">
        <f t="shared" si="126"/>
        <v>17040170.824999999</v>
      </c>
      <c r="E81" s="563">
        <f t="shared" si="126"/>
        <v>30183988.721730001</v>
      </c>
      <c r="F81" s="563">
        <f t="shared" si="126"/>
        <v>36830160</v>
      </c>
      <c r="G81" s="563">
        <f t="shared" si="126"/>
        <v>47893695.397</v>
      </c>
      <c r="H81" s="563">
        <f>H78+H79+H80</f>
        <v>60232269.321271606</v>
      </c>
      <c r="I81" s="184"/>
      <c r="J81" s="563">
        <f t="shared" ref="J81" si="127">J78+J79+J80</f>
        <v>17596787.6263</v>
      </c>
      <c r="K81" s="563">
        <f t="shared" ref="K81" si="128">K78+K79+K80</f>
        <v>25616913.061999999</v>
      </c>
      <c r="L81" s="563">
        <f t="shared" ref="L81" si="129">L78+L79+L80</f>
        <v>28461059.298</v>
      </c>
      <c r="M81" s="563">
        <f t="shared" ref="M81:N81" si="130">M78+M79+M80</f>
        <v>30183988.721730001</v>
      </c>
      <c r="N81" s="563">
        <f t="shared" si="130"/>
        <v>30214049</v>
      </c>
      <c r="O81" s="563">
        <f t="shared" ref="O81" si="131">O78+O79+O80</f>
        <v>31875026.400000002</v>
      </c>
      <c r="P81" s="563">
        <f t="shared" ref="P81" si="132">P78+P79+P80</f>
        <v>35020294</v>
      </c>
      <c r="Q81" s="563">
        <f t="shared" ref="Q81" si="133">Q78+Q79+Q80</f>
        <v>36830160</v>
      </c>
      <c r="R81" s="563">
        <f t="shared" ref="R81" si="134">R78+R79+R80</f>
        <v>37753420.387827471</v>
      </c>
      <c r="S81" s="563">
        <f t="shared" ref="S81:T81" si="135">S78+S79+S80</f>
        <v>39709390.767574593</v>
      </c>
      <c r="T81" s="563">
        <f t="shared" si="135"/>
        <v>43274080.601138867</v>
      </c>
      <c r="U81" s="563">
        <f t="shared" ref="U81" si="136">U78+U79+U80</f>
        <v>47893695.397</v>
      </c>
      <c r="V81" s="563">
        <f t="shared" ref="V81" si="137">V78+V79+V80</f>
        <v>48715213.614263885</v>
      </c>
      <c r="W81" s="563">
        <f t="shared" ref="W81" si="138">W78+W79+W80</f>
        <v>52472376.743600003</v>
      </c>
      <c r="X81" s="563">
        <f t="shared" ref="X81" si="139">X78+X79+X80</f>
        <v>54893344.456663564</v>
      </c>
      <c r="Y81" s="563">
        <f t="shared" ref="Y81:Z81" si="140">Y78+Y79+Y80</f>
        <v>60232269.321271606</v>
      </c>
      <c r="Z81" s="563">
        <f t="shared" si="140"/>
        <v>63031684.951030001</v>
      </c>
      <c r="AA81" s="563">
        <f t="shared" ref="AA81:AB81" si="141">AA78+AA79+AA80</f>
        <v>66589591.615950003</v>
      </c>
      <c r="AB81" s="563">
        <f t="shared" si="141"/>
        <v>73305092.557240009</v>
      </c>
      <c r="AC81" s="327"/>
      <c r="AD81" s="301">
        <f t="shared" si="115"/>
        <v>0.10084910837148708</v>
      </c>
      <c r="AE81" s="301">
        <f t="shared" si="116"/>
        <v>0.3354094796521625</v>
      </c>
    </row>
    <row r="82" spans="2:31" ht="13" customHeight="1">
      <c r="B82" s="60"/>
      <c r="C82" s="190"/>
      <c r="D82" s="190"/>
      <c r="E82" s="190"/>
      <c r="F82" s="190"/>
      <c r="G82" s="190"/>
      <c r="H82" s="190"/>
      <c r="I82" s="175"/>
      <c r="J82" s="190"/>
      <c r="K82" s="190"/>
      <c r="L82" s="190"/>
      <c r="M82" s="190"/>
      <c r="N82" s="190"/>
      <c r="O82" s="190"/>
      <c r="P82" s="190"/>
      <c r="Q82" s="190"/>
      <c r="R82" s="190"/>
      <c r="S82" s="190"/>
      <c r="T82" s="190"/>
      <c r="U82" s="190"/>
      <c r="V82" s="190"/>
      <c r="W82" s="190"/>
      <c r="X82" s="190"/>
      <c r="Y82" s="190"/>
      <c r="Z82" s="190"/>
      <c r="AA82" s="190"/>
      <c r="AB82" s="190"/>
      <c r="AD82" s="178"/>
      <c r="AE82" s="178"/>
    </row>
    <row r="83" spans="2:31" ht="13" customHeight="1">
      <c r="B83" s="3" t="str">
        <f>IF('Summary | Sumário'!D$6=Names!B$3,Names!O82,Names!Z82)</f>
        <v>Implied rates</v>
      </c>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row>
    <row r="84" spans="2:31" ht="13" customHeight="1">
      <c r="B84" s="662" t="str">
        <f>IF('Summary | Sumário'!D$6=Names!B$3,Names!O83,Names!Z83)</f>
        <v>All-in loan rate (%)</v>
      </c>
      <c r="C84" s="289">
        <v>0</v>
      </c>
      <c r="D84" s="337">
        <f t="shared" ref="D84:G84" si="142">D39/AVERAGE(C61:D61)</f>
        <v>0.12665962719869719</v>
      </c>
      <c r="E84" s="337">
        <f t="shared" si="142"/>
        <v>0.12933097581196046</v>
      </c>
      <c r="F84" s="337">
        <f t="shared" si="142"/>
        <v>0.16329189124669086</v>
      </c>
      <c r="G84" s="337">
        <f t="shared" si="142"/>
        <v>0.19126887649033739</v>
      </c>
      <c r="H84" s="337">
        <f>H39/AVERAGE(G61:H61)</f>
        <v>0.1899799354752747</v>
      </c>
      <c r="I84" s="204"/>
      <c r="J84" s="337">
        <f t="shared" ref="J84:Y84" si="143">J39*4/AVERAGE(I61:J61)</f>
        <v>0.12675788008668798</v>
      </c>
      <c r="K84" s="337">
        <f t="shared" si="143"/>
        <v>0.11817547481936849</v>
      </c>
      <c r="L84" s="337">
        <f t="shared" si="143"/>
        <v>0.12920472387532428</v>
      </c>
      <c r="M84" s="337">
        <f t="shared" si="143"/>
        <v>0.14189828264939897</v>
      </c>
      <c r="N84" s="337">
        <f t="shared" si="143"/>
        <v>0.14186302902338677</v>
      </c>
      <c r="O84" s="337">
        <f t="shared" si="143"/>
        <v>0.16937870419734233</v>
      </c>
      <c r="P84" s="337">
        <f t="shared" si="143"/>
        <v>0.18106345507083102</v>
      </c>
      <c r="Q84" s="337">
        <f t="shared" si="143"/>
        <v>0.1820092484958416</v>
      </c>
      <c r="R84" s="337">
        <f t="shared" si="143"/>
        <v>0.1910622197084986</v>
      </c>
      <c r="S84" s="337">
        <f t="shared" si="143"/>
        <v>0.20284193828859659</v>
      </c>
      <c r="T84" s="337">
        <f t="shared" si="143"/>
        <v>0.19790375062448623</v>
      </c>
      <c r="U84" s="337">
        <f t="shared" si="143"/>
        <v>0.19721834541709038</v>
      </c>
      <c r="V84" s="337">
        <f t="shared" si="143"/>
        <v>0.19909757773658693</v>
      </c>
      <c r="W84" s="337">
        <f t="shared" si="143"/>
        <v>0.19740244820586572</v>
      </c>
      <c r="X84" s="337">
        <f t="shared" si="143"/>
        <v>0.19001448758603251</v>
      </c>
      <c r="Y84" s="337">
        <f t="shared" si="143"/>
        <v>0.19036325064392215</v>
      </c>
      <c r="Z84" s="337">
        <f t="shared" ref="Z84:AB85" si="144">Z39*4/AVERAGE(Y61:Z61)</f>
        <v>0.20262524435566909</v>
      </c>
      <c r="AA84" s="337">
        <f t="shared" si="144"/>
        <v>0.22514203161739596</v>
      </c>
      <c r="AB84" s="337">
        <f>AB39*4/AVERAGE(AA61:AB61)</f>
        <v>0.23614270804706061</v>
      </c>
      <c r="AC84" s="179"/>
      <c r="AD84" s="661">
        <f t="shared" ref="AD84:AD92" si="145">(AB84-AA84)*100</f>
        <v>1.1000676429664651</v>
      </c>
      <c r="AE84" s="661">
        <f t="shared" ref="AE84:AE92" si="146">(AB84-X84)*100</f>
        <v>4.61282204610281</v>
      </c>
    </row>
    <row r="85" spans="2:31" ht="13" customHeight="1">
      <c r="B85" s="518" t="str">
        <f>IF('Summary | Sumário'!D$6=Names!B$3,Names!O84,Names!Z84)</f>
        <v>Real estate net of hedge accounting (%)</v>
      </c>
      <c r="C85" s="191">
        <v>0</v>
      </c>
      <c r="D85" s="155">
        <f t="shared" ref="D85:G85" si="147">D40/AVERAGE(C62:D62)</f>
        <v>0.12154134059748949</v>
      </c>
      <c r="E85" s="155">
        <f t="shared" si="147"/>
        <v>0.11780885551766969</v>
      </c>
      <c r="F85" s="155">
        <f t="shared" si="147"/>
        <v>0.12070913664410375</v>
      </c>
      <c r="G85" s="155">
        <f t="shared" si="147"/>
        <v>0.1235506089921115</v>
      </c>
      <c r="H85" s="155">
        <f>H40/AVERAGE(G62:H62)</f>
        <v>0.12998761806370887</v>
      </c>
      <c r="I85" s="342"/>
      <c r="J85" s="155">
        <f t="shared" ref="J85:Y85" si="148">J40*4/AVERAGE(I62:J62)</f>
        <v>0.12515782640451895</v>
      </c>
      <c r="K85" s="155">
        <f t="shared" si="148"/>
        <v>9.8230555573437142E-2</v>
      </c>
      <c r="L85" s="155">
        <f t="shared" si="148"/>
        <v>0.12417334388106607</v>
      </c>
      <c r="M85" s="155">
        <f t="shared" si="148"/>
        <v>0.11810808545132573</v>
      </c>
      <c r="N85" s="155">
        <f t="shared" si="148"/>
        <v>0.11853044383606641</v>
      </c>
      <c r="O85" s="155">
        <f t="shared" si="148"/>
        <v>0.14116299479961036</v>
      </c>
      <c r="P85" s="155">
        <f t="shared" si="148"/>
        <v>0.11064760141615976</v>
      </c>
      <c r="Q85" s="155">
        <f t="shared" si="148"/>
        <v>0.11627702804894775</v>
      </c>
      <c r="R85" s="155">
        <f t="shared" si="148"/>
        <v>0.13392922603092874</v>
      </c>
      <c r="S85" s="155">
        <f t="shared" si="148"/>
        <v>0.13857751854829811</v>
      </c>
      <c r="T85" s="155">
        <f t="shared" si="148"/>
        <v>0.11902038869710933</v>
      </c>
      <c r="U85" s="155">
        <f t="shared" si="148"/>
        <v>0.12331943666146991</v>
      </c>
      <c r="V85" s="155">
        <f t="shared" si="148"/>
        <v>0.13333628065288425</v>
      </c>
      <c r="W85" s="155">
        <f t="shared" si="148"/>
        <v>0.1416624817215999</v>
      </c>
      <c r="X85" s="155">
        <f t="shared" si="148"/>
        <v>0.11681907459261319</v>
      </c>
      <c r="Y85" s="155">
        <f t="shared" si="148"/>
        <v>0.13716717185086674</v>
      </c>
      <c r="Z85" s="155">
        <f t="shared" si="144"/>
        <v>0.1461115092534622</v>
      </c>
      <c r="AA85" s="155">
        <f t="shared" si="144"/>
        <v>0.15271044341704054</v>
      </c>
      <c r="AB85" s="155">
        <f t="shared" si="144"/>
        <v>0.14475677081237373</v>
      </c>
      <c r="AD85" s="498">
        <f t="shared" si="145"/>
        <v>-0.79536726046668116</v>
      </c>
      <c r="AE85" s="498">
        <f t="shared" si="146"/>
        <v>2.7937696219760539</v>
      </c>
    </row>
    <row r="86" spans="2:31" ht="13" customHeight="1">
      <c r="B86" s="559" t="str">
        <f>IF('Summary | Sumário'!D$6=Names!B$3,Names!O85,Names!Z85)</f>
        <v>Personal net of hedge accounting (%)</v>
      </c>
      <c r="C86" s="190">
        <v>0</v>
      </c>
      <c r="D86" s="156">
        <f t="shared" ref="D86:G86" si="149">D43/AVERAGE(C63:D63)</f>
        <v>0.14653129910314239</v>
      </c>
      <c r="E86" s="156">
        <f t="shared" si="149"/>
        <v>0.12209654992119955</v>
      </c>
      <c r="F86" s="156">
        <f t="shared" si="149"/>
        <v>0.12898232237436338</v>
      </c>
      <c r="G86" s="156">
        <f t="shared" si="149"/>
        <v>0.16070813208781576</v>
      </c>
      <c r="H86" s="156">
        <f>H43/AVERAGE(G63:H63)</f>
        <v>0.17999139862779409</v>
      </c>
      <c r="I86" s="342"/>
      <c r="J86" s="156">
        <f t="shared" ref="J86:Y86" si="150">J43*4/AVERAGE(I63:J63)</f>
        <v>0.12051237138311255</v>
      </c>
      <c r="K86" s="156">
        <f t="shared" si="150"/>
        <v>0.12339155332344186</v>
      </c>
      <c r="L86" s="156">
        <f t="shared" si="150"/>
        <v>0.11892404773024082</v>
      </c>
      <c r="M86" s="156">
        <f t="shared" si="150"/>
        <v>0.11645916158015596</v>
      </c>
      <c r="N86" s="156">
        <f t="shared" si="150"/>
        <v>0.11519136439704003</v>
      </c>
      <c r="O86" s="156">
        <f t="shared" si="150"/>
        <v>0.12714633755627652</v>
      </c>
      <c r="P86" s="156">
        <f t="shared" si="150"/>
        <v>0.13405691549731938</v>
      </c>
      <c r="Q86" s="156">
        <f t="shared" si="150"/>
        <v>0.13840310978997214</v>
      </c>
      <c r="R86" s="156">
        <f t="shared" si="150"/>
        <v>0.14496137135864409</v>
      </c>
      <c r="S86" s="156">
        <f t="shared" si="150"/>
        <v>0.16139794350323075</v>
      </c>
      <c r="T86" s="156">
        <f t="shared" si="150"/>
        <v>0.15879361772799988</v>
      </c>
      <c r="U86" s="156">
        <f t="shared" si="150"/>
        <v>0.16713566914233374</v>
      </c>
      <c r="V86" s="156">
        <f t="shared" si="150"/>
        <v>0.17431424858235814</v>
      </c>
      <c r="W86" s="156">
        <f t="shared" si="150"/>
        <v>0.17346569657258659</v>
      </c>
      <c r="X86" s="156">
        <f t="shared" si="150"/>
        <v>0.18811769123654262</v>
      </c>
      <c r="Y86" s="156">
        <f t="shared" si="150"/>
        <v>0.18480053871802402</v>
      </c>
      <c r="Z86" s="156">
        <f>Z43*4/AVERAGE(Y63:Z63)</f>
        <v>0.19622520971332555</v>
      </c>
      <c r="AA86" s="156">
        <f>AA43*4/AVERAGE(Z63:AA63)</f>
        <v>0.2306261357530362</v>
      </c>
      <c r="AB86" s="156">
        <f>AB43*4/AVERAGE(AA63:AB63)</f>
        <v>0.25730773895117476</v>
      </c>
      <c r="AD86" s="501">
        <f t="shared" si="145"/>
        <v>2.6681603198138557</v>
      </c>
      <c r="AE86" s="501">
        <f t="shared" si="146"/>
        <v>6.9190047714632135</v>
      </c>
    </row>
    <row r="87" spans="2:31" ht="13" customHeight="1">
      <c r="B87" s="518" t="str">
        <f>IF('Summary | Sumário'!D$6=Names!B$3,Names!O86,Names!Z86)</f>
        <v>SME (%)</v>
      </c>
      <c r="C87" s="191">
        <v>0</v>
      </c>
      <c r="D87" s="155">
        <f t="shared" ref="D87:G87" si="151">D46/AVERAGE(C64:D64)</f>
        <v>5.8380248193217799E-2</v>
      </c>
      <c r="E87" s="155">
        <f t="shared" si="151"/>
        <v>8.092640175233716E-2</v>
      </c>
      <c r="F87" s="155">
        <f t="shared" si="151"/>
        <v>0.14061598035090478</v>
      </c>
      <c r="G87" s="155">
        <f t="shared" si="151"/>
        <v>0.14401509660119527</v>
      </c>
      <c r="H87" s="155">
        <f>H46/AVERAGE(G64:H64)</f>
        <v>0.14495468374056281</v>
      </c>
      <c r="I87" s="342"/>
      <c r="J87" s="155">
        <f t="shared" ref="J87:Y87" si="152">J46*4/AVERAGE(I64:J64)</f>
        <v>5.203379286033951E-2</v>
      </c>
      <c r="K87" s="155">
        <f t="shared" si="152"/>
        <v>8.1034335656949508E-2</v>
      </c>
      <c r="L87" s="155">
        <f t="shared" si="152"/>
        <v>7.0447063270514837E-2</v>
      </c>
      <c r="M87" s="155">
        <f t="shared" si="152"/>
        <v>0.1190963175869917</v>
      </c>
      <c r="N87" s="155">
        <f t="shared" si="152"/>
        <v>0.11383144918068072</v>
      </c>
      <c r="O87" s="155">
        <f t="shared" si="152"/>
        <v>0.14689712768691526</v>
      </c>
      <c r="P87" s="155">
        <f t="shared" si="152"/>
        <v>0.15282372761319249</v>
      </c>
      <c r="Q87" s="155">
        <f t="shared" si="152"/>
        <v>0.18395296652547083</v>
      </c>
      <c r="R87" s="155">
        <f t="shared" si="152"/>
        <v>0.15286406800198052</v>
      </c>
      <c r="S87" s="155">
        <f t="shared" si="152"/>
        <v>0.15269936435332926</v>
      </c>
      <c r="T87" s="155">
        <f t="shared" si="152"/>
        <v>0.15844966760557283</v>
      </c>
      <c r="U87" s="155">
        <f t="shared" si="152"/>
        <v>0.15916662628799555</v>
      </c>
      <c r="V87" s="155">
        <f t="shared" si="152"/>
        <v>0.1378665739732168</v>
      </c>
      <c r="W87" s="155">
        <f t="shared" si="152"/>
        <v>0.15741581017571746</v>
      </c>
      <c r="X87" s="155">
        <f t="shared" si="152"/>
        <v>0.13690180264153606</v>
      </c>
      <c r="Y87" s="155">
        <f t="shared" si="152"/>
        <v>0.14252202148905641</v>
      </c>
      <c r="Z87" s="155">
        <f t="shared" ref="Z87:AB90" si="153">Z46*4/AVERAGE(Y64:Z64)</f>
        <v>0.13189618060082259</v>
      </c>
      <c r="AA87" s="155">
        <f t="shared" si="153"/>
        <v>0.14699383937206567</v>
      </c>
      <c r="AB87" s="155">
        <f t="shared" si="153"/>
        <v>0.15090123221252214</v>
      </c>
      <c r="AD87" s="498">
        <f t="shared" si="145"/>
        <v>0.3907392840456464</v>
      </c>
      <c r="AE87" s="498">
        <f t="shared" si="146"/>
        <v>1.3999429570986073</v>
      </c>
    </row>
    <row r="88" spans="2:31" ht="13" customHeight="1">
      <c r="B88" s="559" t="str">
        <f>IF('Summary | Sumário'!D$6=Names!B$3,Names!O87,Names!Z87)</f>
        <v>Credit cards (%)</v>
      </c>
      <c r="C88" s="190">
        <v>0</v>
      </c>
      <c r="D88" s="156">
        <f t="shared" ref="D88:G88" si="154">D47/AVERAGE(C65:D65)</f>
        <v>0.24981881890219562</v>
      </c>
      <c r="E88" s="156">
        <f t="shared" si="154"/>
        <v>0.54093104484128296</v>
      </c>
      <c r="F88" s="156">
        <f t="shared" si="154"/>
        <v>0.67227515902400814</v>
      </c>
      <c r="G88" s="156">
        <f t="shared" si="154"/>
        <v>0.72680866669707223</v>
      </c>
      <c r="H88" s="156">
        <f>H47/AVERAGE(G65:H65)</f>
        <v>0.70039897455828304</v>
      </c>
      <c r="I88" s="342"/>
      <c r="J88" s="156">
        <f t="shared" ref="J88:Y88" si="155">J47*4/AVERAGE(I65:J65)</f>
        <v>0.56992236845347521</v>
      </c>
      <c r="K88" s="156">
        <f t="shared" si="155"/>
        <v>0.4687272493771088</v>
      </c>
      <c r="L88" s="156">
        <f t="shared" si="155"/>
        <v>0.53217245871666763</v>
      </c>
      <c r="M88" s="156">
        <f t="shared" si="155"/>
        <v>0.59344103018622585</v>
      </c>
      <c r="N88" s="156">
        <f t="shared" si="155"/>
        <v>0.57893090375890244</v>
      </c>
      <c r="O88" s="156">
        <f t="shared" si="155"/>
        <v>0.57417187234470979</v>
      </c>
      <c r="P88" s="156">
        <f t="shared" si="155"/>
        <v>0.77458262934943811</v>
      </c>
      <c r="Q88" s="156">
        <f t="shared" si="155"/>
        <v>0.68908620557722866</v>
      </c>
      <c r="R88" s="156">
        <f t="shared" si="155"/>
        <v>0.71465505874008561</v>
      </c>
      <c r="S88" s="156">
        <f t="shared" si="155"/>
        <v>0.7276700945389164</v>
      </c>
      <c r="T88" s="156">
        <f t="shared" si="155"/>
        <v>0.72975536090869786</v>
      </c>
      <c r="U88" s="156">
        <f t="shared" si="155"/>
        <v>0.69252999175534213</v>
      </c>
      <c r="V88" s="156">
        <f t="shared" si="155"/>
        <v>0.67964787730003418</v>
      </c>
      <c r="W88" s="156">
        <f t="shared" si="155"/>
        <v>0.66481922171007568</v>
      </c>
      <c r="X88" s="156">
        <f t="shared" si="155"/>
        <v>0.67951298855656717</v>
      </c>
      <c r="Y88" s="156">
        <f t="shared" si="155"/>
        <v>0.67675315969254435</v>
      </c>
      <c r="Z88" s="156">
        <f t="shared" si="153"/>
        <v>0.66188312461732368</v>
      </c>
      <c r="AA88" s="156">
        <f t="shared" si="153"/>
        <v>0.65017144574131724</v>
      </c>
      <c r="AB88" s="156">
        <f t="shared" si="153"/>
        <v>0.72234723084000019</v>
      </c>
      <c r="AD88" s="501">
        <f t="shared" si="145"/>
        <v>7.2175785098682947</v>
      </c>
      <c r="AE88" s="501">
        <f t="shared" si="146"/>
        <v>4.2834242283433017</v>
      </c>
    </row>
    <row r="89" spans="2:31" ht="13" customHeight="1">
      <c r="B89" s="518" t="str">
        <f>IF('Summary | Sumário'!D$6=Names!B$3,Names!O89,Names!Z89)</f>
        <v>Prepayment of receivables (%)</v>
      </c>
      <c r="C89" s="191">
        <v>0</v>
      </c>
      <c r="D89" s="191">
        <v>0</v>
      </c>
      <c r="E89" s="155">
        <f t="shared" ref="E89:G89" si="156">E48/AVERAGE(D66:E66)</f>
        <v>8.4135187719721977E-2</v>
      </c>
      <c r="F89" s="155">
        <f t="shared" si="156"/>
        <v>9.4883616658324663E-2</v>
      </c>
      <c r="G89" s="155">
        <f t="shared" si="156"/>
        <v>0.157318098332977</v>
      </c>
      <c r="H89" s="155">
        <f>H48/AVERAGE(G66:H66)</f>
        <v>0.12273804797516791</v>
      </c>
      <c r="I89" s="342"/>
      <c r="J89" s="155">
        <f t="shared" ref="J89:Y89" si="157">J48*4/AVERAGE(I66:J66)</f>
        <v>0.11912645036305024</v>
      </c>
      <c r="K89" s="155">
        <f t="shared" si="157"/>
        <v>0.14028464363738061</v>
      </c>
      <c r="L89" s="155">
        <f t="shared" si="157"/>
        <v>6.3082281654310721E-2</v>
      </c>
      <c r="M89" s="155">
        <f t="shared" si="157"/>
        <v>0.11918505814230389</v>
      </c>
      <c r="N89" s="155">
        <f t="shared" si="157"/>
        <v>6.4981286005057495E-2</v>
      </c>
      <c r="O89" s="155">
        <f t="shared" si="157"/>
        <v>0.19489923255491204</v>
      </c>
      <c r="P89" s="155">
        <f t="shared" si="157"/>
        <v>0.18672866042491307</v>
      </c>
      <c r="Q89" s="155">
        <f t="shared" si="157"/>
        <v>0.12753305411916255</v>
      </c>
      <c r="R89" s="155">
        <f t="shared" si="157"/>
        <v>0.16500155406164499</v>
      </c>
      <c r="S89" s="155">
        <f t="shared" si="157"/>
        <v>0.18248110501213013</v>
      </c>
      <c r="T89" s="155">
        <f t="shared" si="157"/>
        <v>0.1895767034428141</v>
      </c>
      <c r="U89" s="155">
        <f t="shared" si="157"/>
        <v>0.18689829251639084</v>
      </c>
      <c r="V89" s="155">
        <f t="shared" si="157"/>
        <v>0.18928805059780301</v>
      </c>
      <c r="W89" s="155">
        <f t="shared" si="157"/>
        <v>0.10761871278469066</v>
      </c>
      <c r="X89" s="155">
        <f t="shared" si="157"/>
        <v>0.15523431126973775</v>
      </c>
      <c r="Y89" s="155">
        <f t="shared" si="157"/>
        <v>0.13559397509600613</v>
      </c>
      <c r="Z89" s="155">
        <f t="shared" si="153"/>
        <v>0.1785232234229783</v>
      </c>
      <c r="AA89" s="155">
        <f t="shared" si="153"/>
        <v>0.22399734984289116</v>
      </c>
      <c r="AB89" s="155">
        <f t="shared" si="153"/>
        <v>0.20170951266062417</v>
      </c>
      <c r="AD89" s="498">
        <f t="shared" si="145"/>
        <v>-2.2287837182266985</v>
      </c>
      <c r="AE89" s="498">
        <f t="shared" si="146"/>
        <v>4.6475201390886429</v>
      </c>
    </row>
    <row r="90" spans="2:31" ht="13" customHeight="1">
      <c r="B90" s="78" t="str">
        <f>IF('Summary | Sumário'!D$6=Names!B$3,Names!O90,Names!Z90)</f>
        <v>Amounts due from financial institutions (%)</v>
      </c>
      <c r="C90" s="190"/>
      <c r="D90" s="156">
        <f t="shared" ref="D90:G90" si="158">D49/AVERAGE(C67:D67)</f>
        <v>4.685419965811928E-2</v>
      </c>
      <c r="E90" s="156">
        <f t="shared" si="158"/>
        <v>3.6275916885165488E-2</v>
      </c>
      <c r="F90" s="156">
        <f t="shared" si="158"/>
        <v>9.0847666665776552E-2</v>
      </c>
      <c r="G90" s="156">
        <f t="shared" si="158"/>
        <v>0.11496236894817506</v>
      </c>
      <c r="H90" s="156">
        <f>H49/AVERAGE(G67:H67)</f>
        <v>0.10848052609728547</v>
      </c>
      <c r="I90" s="342"/>
      <c r="J90" s="156">
        <f t="shared" ref="J90:Y90" si="159">J49*4/AVERAGE(I67:J67)</f>
        <v>0.11353803598304134</v>
      </c>
      <c r="K90" s="156">
        <f t="shared" si="159"/>
        <v>5.7956451781994531E-2</v>
      </c>
      <c r="L90" s="156">
        <f t="shared" si="159"/>
        <v>0.10375171233310548</v>
      </c>
      <c r="M90" s="156">
        <f t="shared" si="159"/>
        <v>6.2681477234800526E-2</v>
      </c>
      <c r="N90" s="156">
        <f t="shared" si="159"/>
        <v>7.3090820658033656E-2</v>
      </c>
      <c r="O90" s="156">
        <f t="shared" si="159"/>
        <v>7.502856956126791E-2</v>
      </c>
      <c r="P90" s="156">
        <f t="shared" si="159"/>
        <v>0.13868509962345141</v>
      </c>
      <c r="Q90" s="156">
        <f t="shared" si="159"/>
        <v>0.11207007451972639</v>
      </c>
      <c r="R90" s="156">
        <f t="shared" si="159"/>
        <v>0.12108658363134667</v>
      </c>
      <c r="S90" s="156">
        <f t="shared" si="159"/>
        <v>0.12417467843367047</v>
      </c>
      <c r="T90" s="156">
        <f t="shared" si="159"/>
        <v>0.126190333592861</v>
      </c>
      <c r="U90" s="156">
        <f t="shared" si="159"/>
        <v>0.1013778047932541</v>
      </c>
      <c r="V90" s="156">
        <f t="shared" si="159"/>
        <v>9.2699627803453477E-2</v>
      </c>
      <c r="W90" s="156">
        <f t="shared" si="159"/>
        <v>8.9033552561674972E-2</v>
      </c>
      <c r="X90" s="156">
        <f t="shared" si="159"/>
        <v>8.7239158601395098E-2</v>
      </c>
      <c r="Y90" s="156">
        <f t="shared" si="159"/>
        <v>0.13788776934122529</v>
      </c>
      <c r="Z90" s="156">
        <f t="shared" si="153"/>
        <v>0.13973741423099537</v>
      </c>
      <c r="AA90" s="156">
        <f t="shared" si="153"/>
        <v>9.3978329954527942E-2</v>
      </c>
      <c r="AB90" s="156">
        <f t="shared" si="153"/>
        <v>0.15637941290836041</v>
      </c>
      <c r="AD90" s="501">
        <f t="shared" si="145"/>
        <v>6.240108295383247</v>
      </c>
      <c r="AE90" s="501">
        <f t="shared" si="146"/>
        <v>6.9140254306965314</v>
      </c>
    </row>
    <row r="91" spans="2:31" ht="13" customHeight="1">
      <c r="B91" s="27" t="str">
        <f>IF('Summary | Sumário'!D$6=Names!B$3,Names!O91,Names!Z91)</f>
        <v>All-in securities rate (%)</v>
      </c>
      <c r="C91" s="191">
        <v>0</v>
      </c>
      <c r="D91" s="155">
        <f t="shared" ref="D91:G91" si="160">D50/AVERAGE(C70:D70)</f>
        <v>3.4616795518072206E-3</v>
      </c>
      <c r="E91" s="155">
        <f t="shared" si="160"/>
        <v>8.0301625567996748E-2</v>
      </c>
      <c r="F91" s="155">
        <f t="shared" si="160"/>
        <v>0.11677555235105957</v>
      </c>
      <c r="G91" s="155">
        <f t="shared" si="160"/>
        <v>0.11018356548390529</v>
      </c>
      <c r="H91" s="155">
        <f>H50/AVERAGE(G70:H70)</f>
        <v>9.8503044885109942E-2</v>
      </c>
      <c r="I91" s="342"/>
      <c r="J91" s="155">
        <f t="shared" ref="J91:Y91" si="161">J50*4/AVERAGE(I70:J70)</f>
        <v>5.3215495626254015E-2</v>
      </c>
      <c r="K91" s="155">
        <f t="shared" si="161"/>
        <v>5.7460209140519053E-2</v>
      </c>
      <c r="L91" s="155">
        <f t="shared" si="161"/>
        <v>8.5105665556102064E-2</v>
      </c>
      <c r="M91" s="155">
        <f t="shared" si="161"/>
        <v>9.922370847929643E-2</v>
      </c>
      <c r="N91" s="155">
        <f t="shared" si="161"/>
        <v>0.1109510316147618</v>
      </c>
      <c r="O91" s="155">
        <f t="shared" si="161"/>
        <v>0.12995445240916395</v>
      </c>
      <c r="P91" s="155">
        <f t="shared" si="161"/>
        <v>0.10458160625277665</v>
      </c>
      <c r="Q91" s="155">
        <f t="shared" si="161"/>
        <v>0.11645745899915692</v>
      </c>
      <c r="R91" s="155">
        <f t="shared" si="161"/>
        <v>0.11877209321389008</v>
      </c>
      <c r="S91" s="155">
        <f t="shared" si="161"/>
        <v>0.12043811213877832</v>
      </c>
      <c r="T91" s="155">
        <f t="shared" si="161"/>
        <v>0.11497001803529619</v>
      </c>
      <c r="U91" s="155">
        <f t="shared" si="161"/>
        <v>0.1068110622569089</v>
      </c>
      <c r="V91" s="155">
        <f t="shared" si="161"/>
        <v>0.102004137933436</v>
      </c>
      <c r="W91" s="155">
        <f t="shared" si="161"/>
        <v>0.10022816949454769</v>
      </c>
      <c r="X91" s="155">
        <f t="shared" si="161"/>
        <v>0.10575280452752429</v>
      </c>
      <c r="Y91" s="155">
        <f t="shared" si="161"/>
        <v>0.10625101810654368</v>
      </c>
      <c r="Z91" s="155">
        <f t="shared" ref="Z91:AB92" si="162">Z50*4/AVERAGE(Y70:Z70)</f>
        <v>0.1213839091156228</v>
      </c>
      <c r="AA91" s="155">
        <f t="shared" si="162"/>
        <v>0.13225512382784294</v>
      </c>
      <c r="AB91" s="155">
        <f t="shared" si="162"/>
        <v>0.13082274854639012</v>
      </c>
      <c r="AD91" s="498">
        <f t="shared" si="145"/>
        <v>-0.1432375281452819</v>
      </c>
      <c r="AE91" s="498">
        <f t="shared" si="146"/>
        <v>2.5069944018865824</v>
      </c>
    </row>
    <row r="92" spans="2:31" ht="13" customHeight="1">
      <c r="B92" s="78" t="str">
        <f>IF('Summary | Sumário'!D$6=Names!B$3,Names!Q6,Names!R6)</f>
        <v>Other IEP rate (%)</v>
      </c>
      <c r="C92" s="190">
        <v>0</v>
      </c>
      <c r="D92" s="156">
        <f t="shared" ref="D92:G92" si="163">D51/AVERAGE(C71:D71)</f>
        <v>2.8407420606922338E-2</v>
      </c>
      <c r="E92" s="156">
        <f t="shared" si="163"/>
        <v>2.3491389011611227E-2</v>
      </c>
      <c r="F92" s="156">
        <f t="shared" si="163"/>
        <v>4.4814656782612178E-2</v>
      </c>
      <c r="G92" s="156">
        <f t="shared" si="163"/>
        <v>3.0163382473109693E-2</v>
      </c>
      <c r="H92" s="156">
        <f>H51/AVERAGE(G71:H71)</f>
        <v>5.0883925389555829E-2</v>
      </c>
      <c r="I92" s="342"/>
      <c r="J92" s="156">
        <f t="shared" ref="J92:Y92" si="164">J51*4/AVERAGE(I71:J71)</f>
        <v>9.2351288410444012E-3</v>
      </c>
      <c r="K92" s="156">
        <f t="shared" si="164"/>
        <v>1.6313878212855928E-2</v>
      </c>
      <c r="L92" s="156">
        <f t="shared" si="164"/>
        <v>3.6757888392629713E-3</v>
      </c>
      <c r="M92" s="156">
        <f t="shared" si="164"/>
        <v>4.3780677399615921E-2</v>
      </c>
      <c r="N92" s="156">
        <f t="shared" si="164"/>
        <v>6.095009527950096E-2</v>
      </c>
      <c r="O92" s="156">
        <f t="shared" si="164"/>
        <v>2.4136353229026332E-2</v>
      </c>
      <c r="P92" s="156">
        <f t="shared" si="164"/>
        <v>5.2482252259994255E-2</v>
      </c>
      <c r="Q92" s="156">
        <f t="shared" si="164"/>
        <v>4.5892425982268586E-2</v>
      </c>
      <c r="R92" s="156">
        <f t="shared" si="164"/>
        <v>4.035448953203373E-2</v>
      </c>
      <c r="S92" s="156">
        <f t="shared" si="164"/>
        <v>2.6706054177431333E-2</v>
      </c>
      <c r="T92" s="156">
        <f t="shared" si="164"/>
        <v>5.0658634759553248E-2</v>
      </c>
      <c r="U92" s="156">
        <f t="shared" si="164"/>
        <v>1.3597148925898823E-2</v>
      </c>
      <c r="V92" s="156">
        <f t="shared" si="164"/>
        <v>3.5823913253512765E-2</v>
      </c>
      <c r="W92" s="156">
        <f t="shared" si="164"/>
        <v>2.0028912784682152E-2</v>
      </c>
      <c r="X92" s="156">
        <f t="shared" si="164"/>
        <v>7.0453101448342756E-2</v>
      </c>
      <c r="Y92" s="156">
        <f t="shared" si="164"/>
        <v>8.2861711537760022E-2</v>
      </c>
      <c r="Z92" s="156">
        <f t="shared" si="162"/>
        <v>9.0372753930362121E-2</v>
      </c>
      <c r="AA92" s="156">
        <f t="shared" si="162"/>
        <v>9.3125274070473413E-2</v>
      </c>
      <c r="AB92" s="156">
        <f t="shared" si="162"/>
        <v>0.11486539645618526</v>
      </c>
      <c r="AD92" s="501">
        <f t="shared" si="145"/>
        <v>2.1740122385711853</v>
      </c>
      <c r="AE92" s="501">
        <f t="shared" si="146"/>
        <v>4.4412295007842513</v>
      </c>
    </row>
    <row r="93" spans="2:31" ht="13" customHeight="1">
      <c r="C93" s="191"/>
      <c r="D93" s="155"/>
      <c r="E93" s="155"/>
      <c r="F93" s="155"/>
      <c r="G93" s="155"/>
      <c r="H93" s="155"/>
      <c r="I93" s="342"/>
      <c r="J93" s="155"/>
      <c r="K93" s="155"/>
      <c r="L93" s="155"/>
      <c r="M93" s="155"/>
      <c r="N93" s="155"/>
      <c r="O93" s="155"/>
      <c r="P93" s="155"/>
      <c r="Q93" s="155"/>
      <c r="R93" s="155"/>
      <c r="S93" s="155"/>
      <c r="T93" s="155"/>
      <c r="U93" s="155"/>
      <c r="V93" s="155"/>
      <c r="W93" s="155"/>
      <c r="X93" s="155"/>
      <c r="Y93" s="155"/>
      <c r="Z93" s="155"/>
      <c r="AA93" s="155"/>
      <c r="AB93" s="155"/>
      <c r="AD93" s="498"/>
      <c r="AE93" s="498"/>
    </row>
    <row r="94" spans="2:31" ht="13" customHeight="1">
      <c r="E94" s="155"/>
      <c r="F94" s="155"/>
      <c r="G94" s="155"/>
      <c r="H94" s="155"/>
      <c r="I94" s="155"/>
      <c r="J94" s="155"/>
      <c r="K94" s="155"/>
      <c r="L94" s="155"/>
      <c r="M94" s="155"/>
      <c r="N94" s="155"/>
      <c r="O94" s="155"/>
      <c r="P94" s="155"/>
      <c r="Q94" s="155"/>
      <c r="R94" s="155"/>
      <c r="S94" s="155"/>
      <c r="T94" s="155"/>
      <c r="U94" s="155"/>
      <c r="V94" s="155"/>
      <c r="W94" s="155"/>
      <c r="X94" s="155"/>
      <c r="Y94" s="155"/>
      <c r="Z94" s="155"/>
      <c r="AA94" s="155"/>
      <c r="AB94" s="155"/>
    </row>
    <row r="95" spans="2:31" ht="13" customHeight="1">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155"/>
      <c r="AC95" s="193"/>
    </row>
    <row r="96" spans="2:31" ht="13" customHeight="1">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93"/>
    </row>
    <row r="97" spans="2:29" ht="13" customHeight="1">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c r="AA97" s="155"/>
      <c r="AB97" s="155"/>
      <c r="AC97" s="193"/>
    </row>
    <row r="98" spans="2:29" ht="13" customHeight="1">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c r="AA98" s="155"/>
      <c r="AB98" s="155"/>
      <c r="AC98" s="193"/>
    </row>
    <row r="99" spans="2:29" ht="13" customHeight="1">
      <c r="B99" s="116"/>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c r="AA99" s="155"/>
      <c r="AB99" s="155"/>
      <c r="AC99" s="193"/>
    </row>
    <row r="100" spans="2:29" ht="13" customHeight="1">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c r="AA100" s="155"/>
      <c r="AB100" s="155"/>
      <c r="AC100" s="193"/>
    </row>
    <row r="101" spans="2:29" ht="13" customHeight="1">
      <c r="B101" s="116"/>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193"/>
    </row>
    <row r="102" spans="2:29" ht="13" customHeight="1">
      <c r="B102" s="116"/>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c r="AA102" s="155"/>
      <c r="AB102" s="155"/>
      <c r="AC102" s="193"/>
    </row>
    <row r="103" spans="2:29" ht="13" customHeight="1">
      <c r="B103" s="116"/>
      <c r="Y103" s="562"/>
      <c r="Z103" s="562"/>
      <c r="AA103" s="562"/>
      <c r="AB103" s="562"/>
      <c r="AC103" s="193"/>
    </row>
    <row r="104" spans="2:29" ht="13" customHeight="1">
      <c r="X104" s="562"/>
      <c r="Y104" s="193"/>
      <c r="Z104" s="193"/>
      <c r="AA104" s="193"/>
      <c r="AB104" s="193"/>
    </row>
    <row r="105" spans="2:29" ht="13" customHeight="1">
      <c r="Y105" s="193"/>
      <c r="Z105" s="193"/>
      <c r="AA105" s="193"/>
      <c r="AB105" s="193"/>
    </row>
    <row r="106" spans="2:29" ht="13" customHeight="1">
      <c r="Y106" s="193"/>
      <c r="Z106" s="193"/>
      <c r="AA106" s="193"/>
      <c r="AB106" s="193"/>
    </row>
  </sheetData>
  <sheetProtection algorithmName="SHA-512" hashValue="/CNhgkUGaJgp9YTGXCALEjAqOW6kxS6jo/oG2QuoRlAJoP2+5R+AhLU30KPyahTVwjefWj9oyDqdkc2+iXGDNA==" saltValue="c8EF+YQwVwRtQqIBmwn+ug=="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89F3E-F76C-2E45-8B90-0DD16311510F}">
  <sheetPr codeName="Sheet15">
    <tabColor rgb="FFF7CAB0"/>
  </sheetPr>
  <dimension ref="B1:AI14"/>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8" width="10.83203125" style="116"/>
    <col min="9" max="9" width="2.83203125" style="116" customWidth="1"/>
    <col min="10" max="28" width="10.83203125" style="116"/>
    <col min="29" max="29" width="5.83203125" style="116" customWidth="1"/>
    <col min="30" max="16384" width="10.83203125" style="116"/>
  </cols>
  <sheetData>
    <row r="1" spans="2:35"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row>
    <row r="2" spans="2:35" s="10" customFormat="1" ht="13" customHeight="1">
      <c r="B2" s="267" t="str">
        <f>IF('Summary | Sumário'!D$6=Names!B$3,Names!AC1,Names!AD1)</f>
        <v>Fee Revenues (IFRS,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322"/>
      <c r="J2" s="20" t="str">
        <f>IF('Summary | Sumário'!D6=Names!B3,Names!C6,Names!D6)</f>
        <v>1Q21</v>
      </c>
      <c r="K2" s="21" t="str">
        <f>IF('Summary | Sumário'!D6=Names!B3,Names!C7,Names!D7)</f>
        <v>2Q21</v>
      </c>
      <c r="L2" s="21" t="str">
        <f>IF('Summary | Sumário'!D6=Names!B3,Names!C8,Names!D8)</f>
        <v>3Q21</v>
      </c>
      <c r="M2" s="21" t="str">
        <f>IF('Summary | Sumário'!D6=Names!B3,Names!C9,Names!D9)</f>
        <v>4Q21</v>
      </c>
      <c r="N2" s="21" t="str">
        <f>IF('Summary | Sumário'!D6=Names!B3,Names!C10,Names!D10)</f>
        <v>1Q22</v>
      </c>
      <c r="O2" s="21" t="str">
        <f>IF('Summary | Sumário'!D6=Names!B3,Names!C11,Names!D11)</f>
        <v>2Q22</v>
      </c>
      <c r="P2" s="21" t="str">
        <f>IF('Summary | Sumário'!D6=Names!B3,Names!C12,Names!D12)</f>
        <v>3Q22</v>
      </c>
      <c r="Q2" s="21" t="str">
        <f>IF('Summary | Sumário'!D6=Names!B3,Names!C13,Names!D13)</f>
        <v>4Q22</v>
      </c>
      <c r="R2" s="21" t="str">
        <f>IF('Summary | Sumário'!D6=Names!B3,Names!C14,Names!D14)</f>
        <v>1Q23</v>
      </c>
      <c r="S2" s="21" t="str">
        <f>IF('Summary | Sumário'!D6=Names!B3,Names!C15,Names!D15)</f>
        <v>2Q23</v>
      </c>
      <c r="T2" s="21" t="str">
        <f>IF('Summary | Sumário'!D6=Names!B3,Names!C16,Names!D16)</f>
        <v>3Q23</v>
      </c>
      <c r="U2" s="21" t="str">
        <f>IF('Summary | Sumário'!D6=Names!B3,Names!C17,Names!D17)</f>
        <v>4Q23</v>
      </c>
      <c r="V2" s="21" t="str">
        <f>IF('Summary | Sumário'!D6=Names!B3,Names!C19,Names!D19)</f>
        <v>1Q24</v>
      </c>
      <c r="W2" s="21" t="str">
        <f>IF('Summary | Sumário'!D6=Names!B3,Names!C20,Names!D20)</f>
        <v>2Q24</v>
      </c>
      <c r="X2" s="21" t="str">
        <f>IF('Summary | Sumário'!D6=Names!B3,Names!C21,Names!D21)</f>
        <v>3Q24</v>
      </c>
      <c r="Y2" s="21" t="str">
        <f>IF('Summary | Sumário'!D6=Names!B3,Names!C22,Names!D22)</f>
        <v>4Q24</v>
      </c>
      <c r="Z2" s="21" t="str">
        <f>IF('Summary | Sumário'!D6=Names!B3,Names!C24,Names!D24)</f>
        <v>1Q25</v>
      </c>
      <c r="AA2" s="21" t="str">
        <f>IF('Summary | Sumário'!D6=Names!B3,Names!C25,Names!D25)</f>
        <v>2Q25</v>
      </c>
      <c r="AB2" s="269" t="str">
        <f>IF('Summary | Sumário'!D6=Names!B3,Names!C26,Names!D26)</f>
        <v>3Q25</v>
      </c>
      <c r="AC2" s="321"/>
      <c r="AD2" s="104" t="str">
        <f>IF('Summary | Sumário'!$D$6=Names!$B$3,Names!$I$24,Names!$J$24)</f>
        <v>QoQ Variation</v>
      </c>
      <c r="AE2" s="104" t="str">
        <f>IF('Summary | Sumário'!$D$6=Names!$B$3,Names!$I$25,Names!$J$25)</f>
        <v>YoY Variation</v>
      </c>
      <c r="AF2" s="11"/>
      <c r="AH2" s="12"/>
      <c r="AI2" s="13"/>
    </row>
    <row r="3" spans="2:35" ht="13" customHeight="1">
      <c r="B3" s="14"/>
      <c r="C3" s="126"/>
      <c r="D3" s="126"/>
      <c r="E3" s="126"/>
      <c r="F3" s="126"/>
      <c r="G3" s="126"/>
      <c r="H3" s="126"/>
      <c r="I3" s="127"/>
      <c r="J3" s="127"/>
      <c r="K3" s="127"/>
      <c r="L3" s="127"/>
      <c r="M3" s="127"/>
      <c r="N3" s="127"/>
      <c r="O3" s="127"/>
      <c r="P3" s="127"/>
      <c r="Q3" s="127"/>
      <c r="R3" s="127"/>
      <c r="S3" s="127"/>
      <c r="T3" s="127"/>
      <c r="U3" s="127"/>
      <c r="V3" s="127"/>
      <c r="W3" s="127"/>
      <c r="X3" s="127"/>
      <c r="Y3" s="127"/>
      <c r="Z3" s="127"/>
      <c r="AA3" s="127"/>
      <c r="AB3" s="127"/>
      <c r="AC3" s="127"/>
      <c r="AD3" s="127"/>
      <c r="AE3" s="127"/>
    </row>
    <row r="4" spans="2:35" ht="13" customHeight="1">
      <c r="B4" s="270" t="str">
        <f>IF('Summary | Sumário'!D$6=Names!B$3,Names!AC28,Names!AD28)</f>
        <v>Fee income ratio</v>
      </c>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row>
    <row r="5" spans="2:35" ht="13" customHeight="1">
      <c r="B5" s="565" t="str">
        <f>IF('Summary | Sumário'!D$6=Names!B$3,Names!AC29,Names!AD29)</f>
        <v>Net fee revenues</v>
      </c>
      <c r="C5" s="566">
        <f>C8</f>
        <v>120696.66099999999</v>
      </c>
      <c r="D5" s="566">
        <f t="shared" ref="D5:Z5" si="0">D8</f>
        <v>278098</v>
      </c>
      <c r="E5" s="566">
        <f t="shared" si="0"/>
        <v>607687</v>
      </c>
      <c r="F5" s="566">
        <f t="shared" si="0"/>
        <v>1127488</v>
      </c>
      <c r="G5" s="566">
        <f t="shared" si="0"/>
        <v>1455780.6</v>
      </c>
      <c r="H5" s="566">
        <f t="shared" si="0"/>
        <v>1943420.8032693998</v>
      </c>
      <c r="I5" s="188"/>
      <c r="J5" s="566">
        <f t="shared" si="0"/>
        <v>119309</v>
      </c>
      <c r="K5" s="566">
        <f t="shared" si="0"/>
        <v>158429</v>
      </c>
      <c r="L5" s="566">
        <f t="shared" si="0"/>
        <v>153349</v>
      </c>
      <c r="M5" s="566">
        <f t="shared" si="0"/>
        <v>176600</v>
      </c>
      <c r="N5" s="566">
        <f t="shared" si="0"/>
        <v>273077</v>
      </c>
      <c r="O5" s="566">
        <f t="shared" si="0"/>
        <v>290370</v>
      </c>
      <c r="P5" s="566">
        <f t="shared" si="0"/>
        <v>263579</v>
      </c>
      <c r="Q5" s="566">
        <f t="shared" si="0"/>
        <v>300462</v>
      </c>
      <c r="R5" s="566">
        <f t="shared" si="0"/>
        <v>297633</v>
      </c>
      <c r="S5" s="566">
        <f t="shared" si="0"/>
        <v>321768</v>
      </c>
      <c r="T5" s="566">
        <f t="shared" si="0"/>
        <v>420279.50028000004</v>
      </c>
      <c r="U5" s="566">
        <f t="shared" si="0"/>
        <v>416100.09971999994</v>
      </c>
      <c r="V5" s="566">
        <f t="shared" si="0"/>
        <v>408518.39485153224</v>
      </c>
      <c r="W5" s="566">
        <f t="shared" si="0"/>
        <v>436732.08523867995</v>
      </c>
      <c r="X5" s="566">
        <f t="shared" si="0"/>
        <v>511793.11297993874</v>
      </c>
      <c r="Y5" s="566">
        <f t="shared" si="0"/>
        <v>586377.21019924898</v>
      </c>
      <c r="Z5" s="566">
        <f t="shared" si="0"/>
        <v>475206.80000000005</v>
      </c>
      <c r="AA5" s="566">
        <f t="shared" ref="AA5:AB5" si="1">AA8</f>
        <v>533575.4</v>
      </c>
      <c r="AB5" s="566">
        <f t="shared" si="1"/>
        <v>539473</v>
      </c>
      <c r="AC5" s="188"/>
      <c r="AD5" s="643">
        <f>AB5/AA5-1</f>
        <v>1.1052983327192401E-2</v>
      </c>
      <c r="AE5" s="643">
        <f>AB5/X5-1</f>
        <v>5.408413344777907E-2</v>
      </c>
    </row>
    <row r="6" spans="2:35" ht="13" customHeight="1">
      <c r="B6" s="27" t="str">
        <f>IF('Summary | Sumário'!D$6=Names!B$3,Names!AC30,Names!AD30)</f>
        <v>(÷) Total net revenues</v>
      </c>
      <c r="C6" s="188">
        <f>C7+C8</f>
        <v>712223.66099999996</v>
      </c>
      <c r="D6" s="188">
        <f t="shared" ref="D6:Z6" si="2">D7+D8</f>
        <v>1011378.89518</v>
      </c>
      <c r="E6" s="188">
        <f t="shared" si="2"/>
        <v>2221821.912</v>
      </c>
      <c r="F6" s="188">
        <f t="shared" si="2"/>
        <v>3562697.1850000001</v>
      </c>
      <c r="G6" s="188">
        <f t="shared" si="2"/>
        <v>4752577.5950000007</v>
      </c>
      <c r="H6" s="188">
        <f t="shared" si="2"/>
        <v>6400165.737558065</v>
      </c>
      <c r="I6" s="188"/>
      <c r="J6" s="188">
        <f t="shared" si="2"/>
        <v>416766.33899999998</v>
      </c>
      <c r="K6" s="188">
        <f t="shared" si="2"/>
        <v>467413.34700000007</v>
      </c>
      <c r="L6" s="188">
        <f t="shared" si="2"/>
        <v>606509.88</v>
      </c>
      <c r="M6" s="188">
        <f t="shared" si="2"/>
        <v>731132.3459999999</v>
      </c>
      <c r="N6" s="188">
        <f t="shared" si="2"/>
        <v>833521.01500000001</v>
      </c>
      <c r="O6" s="188">
        <f t="shared" si="2"/>
        <v>877020.3110000001</v>
      </c>
      <c r="P6" s="188">
        <f t="shared" si="2"/>
        <v>850303.46700000006</v>
      </c>
      <c r="Q6" s="188">
        <f t="shared" si="2"/>
        <v>1001852.392</v>
      </c>
      <c r="R6" s="188">
        <f t="shared" si="2"/>
        <v>1024114.1240000001</v>
      </c>
      <c r="S6" s="188">
        <f t="shared" si="2"/>
        <v>1150034</v>
      </c>
      <c r="T6" s="188">
        <f t="shared" si="2"/>
        <v>1265495.60824</v>
      </c>
      <c r="U6" s="188">
        <f t="shared" si="2"/>
        <v>1312933.8627599999</v>
      </c>
      <c r="V6" s="188">
        <f t="shared" si="2"/>
        <v>1400939.115371532</v>
      </c>
      <c r="W6" s="188">
        <f t="shared" si="2"/>
        <v>1478597.81104253</v>
      </c>
      <c r="X6" s="188">
        <f t="shared" si="2"/>
        <v>1676143.2445535718</v>
      </c>
      <c r="Y6" s="188">
        <f t="shared" si="2"/>
        <v>1844485.5665904321</v>
      </c>
      <c r="Z6" s="188">
        <f t="shared" si="2"/>
        <v>1837801.1</v>
      </c>
      <c r="AA6" s="188">
        <f t="shared" ref="AA6:AB6" si="3">AA7+AA8</f>
        <v>2003082.4</v>
      </c>
      <c r="AB6" s="188">
        <f t="shared" si="3"/>
        <v>2162164</v>
      </c>
      <c r="AC6" s="188"/>
      <c r="AD6" s="185">
        <f t="shared" ref="AD6:AD8" si="4">AB6/AA6-1</f>
        <v>7.9418400361363162E-2</v>
      </c>
      <c r="AE6" s="185">
        <f t="shared" ref="AE6:AE8" si="5">AB6/X6-1</f>
        <v>0.28996373491686644</v>
      </c>
    </row>
    <row r="7" spans="2:35" ht="13" customHeight="1">
      <c r="B7" s="59" t="str">
        <f>IF('Summary | Sumário'!D$6=Names!B$3,Names!AC31,Names!AD31)</f>
        <v>NII</v>
      </c>
      <c r="C7" s="174">
        <f>'6. NII'!C41</f>
        <v>591527</v>
      </c>
      <c r="D7" s="174">
        <f>'6. NII'!D41</f>
        <v>733280.89517999999</v>
      </c>
      <c r="E7" s="174">
        <f>'6. NII'!E41</f>
        <v>1614134.912</v>
      </c>
      <c r="F7" s="174">
        <f>'6. NII'!F41</f>
        <v>2435209.1850000001</v>
      </c>
      <c r="G7" s="174">
        <f>'6. NII'!G41</f>
        <v>3296796.9950000001</v>
      </c>
      <c r="H7" s="174">
        <f>'6. NII'!H41</f>
        <v>4456744.9342886657</v>
      </c>
      <c r="I7" s="179"/>
      <c r="J7" s="174">
        <f>'6. NII'!J41</f>
        <v>297457.33899999998</v>
      </c>
      <c r="K7" s="174">
        <f>'6. NII'!K41</f>
        <v>308984.34700000007</v>
      </c>
      <c r="L7" s="174">
        <f>'6. NII'!L41</f>
        <v>453160.88</v>
      </c>
      <c r="M7" s="174">
        <f>'6. NII'!M41</f>
        <v>554532.3459999999</v>
      </c>
      <c r="N7" s="174">
        <f>'6. NII'!N41</f>
        <v>560444.01500000001</v>
      </c>
      <c r="O7" s="174">
        <f>'6. NII'!O41</f>
        <v>586650.3110000001</v>
      </c>
      <c r="P7" s="174">
        <f>'6. NII'!P41</f>
        <v>586724.46700000006</v>
      </c>
      <c r="Q7" s="174">
        <f>'6. NII'!Q41</f>
        <v>701390.39199999999</v>
      </c>
      <c r="R7" s="174">
        <f>'6. NII'!R41</f>
        <v>726481.12400000007</v>
      </c>
      <c r="S7" s="174">
        <f>'6. NII'!S41</f>
        <v>828266</v>
      </c>
      <c r="T7" s="174">
        <f>'6. NII'!T41</f>
        <v>845216.10796000005</v>
      </c>
      <c r="U7" s="174">
        <f>'6. NII'!U41</f>
        <v>896833.76303999987</v>
      </c>
      <c r="V7" s="174">
        <f>'6. NII'!V41</f>
        <v>992420.72051999974</v>
      </c>
      <c r="W7" s="174">
        <f>'6. NII'!W41</f>
        <v>1041865.72580385</v>
      </c>
      <c r="X7" s="174">
        <f>'6. NII'!X41</f>
        <v>1164350.1315736331</v>
      </c>
      <c r="Y7" s="174">
        <f>'6. NII'!Y41</f>
        <v>1258108.3563911831</v>
      </c>
      <c r="Z7" s="174">
        <f>'6. NII'!Z41</f>
        <v>1362594.3</v>
      </c>
      <c r="AA7" s="174">
        <f>'6. NII'!AA41</f>
        <v>1469507</v>
      </c>
      <c r="AB7" s="174">
        <f>'6. NII'!AB41</f>
        <v>1622691</v>
      </c>
      <c r="AC7" s="179"/>
      <c r="AD7" s="350">
        <f t="shared" si="4"/>
        <v>0.10424176271361763</v>
      </c>
      <c r="AE7" s="350">
        <f t="shared" si="5"/>
        <v>0.39364522405894675</v>
      </c>
    </row>
    <row r="8" spans="2:35" ht="13" customHeight="1">
      <c r="B8" s="54" t="str">
        <f>IF('Summary | Sumário'!D$6=Names!B$3,Names!AC34,Names!AD34)</f>
        <v>Net fee revenues</v>
      </c>
      <c r="C8" s="188">
        <f>'7. Fee Revenue | R. de Serv '!C19</f>
        <v>120696.66099999999</v>
      </c>
      <c r="D8" s="188">
        <f>'7. Fee Revenue | R. de Serv '!D19</f>
        <v>278098</v>
      </c>
      <c r="E8" s="188">
        <f>'7. Fee Revenue | R. de Serv '!E19</f>
        <v>607687</v>
      </c>
      <c r="F8" s="188">
        <f>'7. Fee Revenue | R. de Serv '!F19</f>
        <v>1127488</v>
      </c>
      <c r="G8" s="188">
        <f>'7. Fee Revenue | R. de Serv '!G19</f>
        <v>1455780.6</v>
      </c>
      <c r="H8" s="188">
        <f>'7. Fee Revenue | R. de Serv '!H19</f>
        <v>1943420.8032693998</v>
      </c>
      <c r="I8" s="188"/>
      <c r="J8" s="188">
        <f>'7. Fee Revenue | R. de Serv '!J19</f>
        <v>119309</v>
      </c>
      <c r="K8" s="188">
        <f>'7. Fee Revenue | R. de Serv '!K19</f>
        <v>158429</v>
      </c>
      <c r="L8" s="188">
        <f>'7. Fee Revenue | R. de Serv '!L19</f>
        <v>153349</v>
      </c>
      <c r="M8" s="188">
        <f>'7. Fee Revenue | R. de Serv '!M19</f>
        <v>176600</v>
      </c>
      <c r="N8" s="188">
        <f>'7. Fee Revenue | R. de Serv '!N19</f>
        <v>273077</v>
      </c>
      <c r="O8" s="188">
        <f>'7. Fee Revenue | R. de Serv '!O19</f>
        <v>290370</v>
      </c>
      <c r="P8" s="188">
        <f>'7. Fee Revenue | R. de Serv '!P19</f>
        <v>263579</v>
      </c>
      <c r="Q8" s="188">
        <f>'7. Fee Revenue | R. de Serv '!Q19</f>
        <v>300462</v>
      </c>
      <c r="R8" s="188">
        <f>'7. Fee Revenue | R. de Serv '!R19</f>
        <v>297633</v>
      </c>
      <c r="S8" s="188">
        <f>'7. Fee Revenue | R. de Serv '!S19</f>
        <v>321768</v>
      </c>
      <c r="T8" s="188">
        <f>'7. Fee Revenue | R. de Serv '!T19</f>
        <v>420279.50028000004</v>
      </c>
      <c r="U8" s="188">
        <f>'7. Fee Revenue | R. de Serv '!U19</f>
        <v>416100.09971999994</v>
      </c>
      <c r="V8" s="188">
        <f>'7. Fee Revenue | R. de Serv '!V19</f>
        <v>408518.39485153224</v>
      </c>
      <c r="W8" s="188">
        <f>'7. Fee Revenue | R. de Serv '!W19</f>
        <v>436732.08523867995</v>
      </c>
      <c r="X8" s="188">
        <f>'7. Fee Revenue | R. de Serv '!X19</f>
        <v>511793.11297993874</v>
      </c>
      <c r="Y8" s="188">
        <f>'7. Fee Revenue | R. de Serv '!Y19</f>
        <v>586377.21019924898</v>
      </c>
      <c r="Z8" s="188">
        <f>'7. Fee Revenue | R. de Serv '!Z19</f>
        <v>475206.80000000005</v>
      </c>
      <c r="AA8" s="188">
        <f>'7. Fee Revenue | R. de Serv '!AA19</f>
        <v>533575.4</v>
      </c>
      <c r="AB8" s="188">
        <f>'7. Fee Revenue | R. de Serv '!AB19</f>
        <v>539473</v>
      </c>
      <c r="AC8" s="188"/>
      <c r="AD8" s="185">
        <f t="shared" si="4"/>
        <v>1.1052983327192401E-2</v>
      </c>
      <c r="AE8" s="185">
        <f t="shared" si="5"/>
        <v>5.408413344777907E-2</v>
      </c>
    </row>
    <row r="9" spans="2:35" ht="13" customHeight="1">
      <c r="B9" s="298" t="str">
        <f>IF('Summary | Sumário'!D$6=Names!B$3,Names!AC35,Names!AD35)</f>
        <v>Fee income ratio (%)</v>
      </c>
      <c r="C9" s="317">
        <f>C5/C6</f>
        <v>0.169464548300088</v>
      </c>
      <c r="D9" s="317">
        <f t="shared" ref="D9:Z9" si="6">D5/D6</f>
        <v>0.27496915480968737</v>
      </c>
      <c r="E9" s="317">
        <f t="shared" si="6"/>
        <v>0.27350841969732093</v>
      </c>
      <c r="F9" s="317">
        <f t="shared" si="6"/>
        <v>0.31647034296011883</v>
      </c>
      <c r="G9" s="317">
        <f t="shared" si="6"/>
        <v>0.30631390459180918</v>
      </c>
      <c r="H9" s="317">
        <f t="shared" si="6"/>
        <v>0.30365163699821585</v>
      </c>
      <c r="I9" s="330"/>
      <c r="J9" s="317">
        <f t="shared" si="6"/>
        <v>0.28627311957648288</v>
      </c>
      <c r="K9" s="317">
        <f t="shared" si="6"/>
        <v>0.33894838694026419</v>
      </c>
      <c r="L9" s="317">
        <f t="shared" si="6"/>
        <v>0.25283842037330045</v>
      </c>
      <c r="M9" s="317">
        <f t="shared" si="6"/>
        <v>0.24154313643237449</v>
      </c>
      <c r="N9" s="317">
        <f t="shared" si="6"/>
        <v>0.32761861439090412</v>
      </c>
      <c r="O9" s="317">
        <f t="shared" si="6"/>
        <v>0.33108697296749373</v>
      </c>
      <c r="P9" s="317">
        <f t="shared" si="6"/>
        <v>0.30998227130596889</v>
      </c>
      <c r="Q9" s="317">
        <f t="shared" si="6"/>
        <v>0.29990645568074864</v>
      </c>
      <c r="R9" s="317">
        <f t="shared" si="6"/>
        <v>0.29062483665150585</v>
      </c>
      <c r="S9" s="317">
        <f t="shared" si="6"/>
        <v>0.27978998881772194</v>
      </c>
      <c r="T9" s="317">
        <f t="shared" si="6"/>
        <v>0.33210664465640283</v>
      </c>
      <c r="U9" s="317">
        <f t="shared" si="6"/>
        <v>0.31692388438004793</v>
      </c>
      <c r="V9" s="317">
        <f t="shared" si="6"/>
        <v>0.29160324697136625</v>
      </c>
      <c r="W9" s="317">
        <f t="shared" si="6"/>
        <v>0.29536908683149532</v>
      </c>
      <c r="X9" s="317">
        <f t="shared" si="6"/>
        <v>0.3053397223912393</v>
      </c>
      <c r="Y9" s="317">
        <f t="shared" si="6"/>
        <v>0.31790826711817477</v>
      </c>
      <c r="Z9" s="317">
        <f t="shared" si="6"/>
        <v>0.25857357469205999</v>
      </c>
      <c r="AA9" s="317">
        <f t="shared" ref="AA9:AB9" si="7">AA5/AA6</f>
        <v>0.26637715952174512</v>
      </c>
      <c r="AB9" s="317">
        <f t="shared" si="7"/>
        <v>0.24950605041985716</v>
      </c>
      <c r="AC9" s="330"/>
      <c r="AD9" s="644">
        <f>(AB9-AA9)*100</f>
        <v>-1.6871109101887964</v>
      </c>
      <c r="AE9" s="644">
        <f>(AB9-X9)*100</f>
        <v>-5.5833671971382142</v>
      </c>
    </row>
    <row r="10" spans="2:35" ht="13" customHeight="1">
      <c r="AD10" s="179"/>
      <c r="AE10" s="179"/>
    </row>
    <row r="11" spans="2:35" ht="13" customHeight="1">
      <c r="C11" s="116" t="s">
        <v>1047</v>
      </c>
    </row>
    <row r="14" spans="2:35" ht="13" customHeight="1">
      <c r="E14" s="185"/>
    </row>
  </sheetData>
  <sheetProtection algorithmName="SHA-512" hashValue="FLnMs+g7dVq0NxVunL+4eljgv642koZuK1YksGS33dZ3TpzIrGjWF0XnXrK+Le0E33882PwCsorEesBYDKiO1w==" saltValue="SM9Q6vc8kuXjEXrQix9VoQ=="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5BD91-04FC-D944-845B-73B5F43E5F1F}">
  <sheetPr codeName="Sheet16">
    <tabColor rgb="FFF7CAB0"/>
  </sheetPr>
  <dimension ref="B1:AI26"/>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8" width="10.83203125" style="117" customWidth="1"/>
    <col min="9" max="9" width="2.83203125" style="117" customWidth="1"/>
    <col min="10" max="28" width="10.83203125" style="117" customWidth="1"/>
    <col min="29" max="29" width="5.83203125" style="117" customWidth="1"/>
    <col min="30" max="31" width="10.83203125" style="117" customWidth="1"/>
    <col min="32" max="16384" width="10.83203125" style="116"/>
  </cols>
  <sheetData>
    <row r="1" spans="2:35" ht="13" customHeight="1">
      <c r="AF1" s="117"/>
    </row>
    <row r="2" spans="2:35" s="10" customFormat="1" ht="13" customHeight="1">
      <c r="B2" s="267" t="str">
        <f>IF('Summary | Sumário'!D$6=Names!B$3,Names!BF1,Names!BG1)</f>
        <v> Efficiency Ratio (R$ Thousands)</v>
      </c>
      <c r="C2" s="567">
        <f>IF('Summary | Sumário'!D6=Names!B3,Names!C2,Names!D2)</f>
        <v>2019</v>
      </c>
      <c r="D2" s="567">
        <f>IF('Summary | Sumário'!D6=Names!B3,Names!C3,Names!D3)</f>
        <v>2020</v>
      </c>
      <c r="E2" s="567">
        <f>IF('Summary | Sumário'!D6=Names!B3,Names!C4,Names!D4)</f>
        <v>2021</v>
      </c>
      <c r="F2" s="567">
        <f>IF('Summary | Sumário'!D6=Names!B3,Names!C5,Names!D5)</f>
        <v>2022</v>
      </c>
      <c r="G2" s="567">
        <f>IF('Summary | Sumário'!D6=Names!B3,Names!C18,Names!D18)</f>
        <v>2023</v>
      </c>
      <c r="H2" s="567">
        <f>IF('Summary | Sumário'!D6=Names!B3,Names!C23,Names!D23)</f>
        <v>2024</v>
      </c>
      <c r="I2" s="322"/>
      <c r="J2" s="20" t="str">
        <f>IF('Summary | Sumário'!D6=Names!B3,Names!C6,Names!D6)</f>
        <v>1Q21</v>
      </c>
      <c r="K2" s="21" t="str">
        <f>IF('Summary | Sumário'!D6=Names!B3,Names!C7,Names!D7)</f>
        <v>2Q21</v>
      </c>
      <c r="L2" s="21" t="str">
        <f>IF('Summary | Sumário'!D6=Names!B3,Names!C8,Names!D8)</f>
        <v>3Q21</v>
      </c>
      <c r="M2" s="21" t="str">
        <f>IF('Summary | Sumário'!D6=Names!B3,Names!C9,Names!D9)</f>
        <v>4Q21</v>
      </c>
      <c r="N2" s="21" t="str">
        <f>IF('Summary | Sumário'!D6=Names!B3,Names!C10,Names!D10)</f>
        <v>1Q22</v>
      </c>
      <c r="O2" s="21" t="str">
        <f>IF('Summary | Sumário'!D6=Names!B3,Names!C11,Names!D11)</f>
        <v>2Q22</v>
      </c>
      <c r="P2" s="21" t="str">
        <f>IF('Summary | Sumário'!D6=Names!B3,Names!C12,Names!D12)</f>
        <v>3Q22</v>
      </c>
      <c r="Q2" s="21" t="str">
        <f>IF('Summary | Sumário'!D6=Names!B3,Names!C13,Names!D13)</f>
        <v>4Q22</v>
      </c>
      <c r="R2" s="21" t="str">
        <f>IF('Summary | Sumário'!D6=Names!B3,Names!C14,Names!D14)</f>
        <v>1Q23</v>
      </c>
      <c r="S2" s="21" t="str">
        <f>IF('Summary | Sumário'!D6=Names!B3,Names!C15,Names!D15)</f>
        <v>2Q23</v>
      </c>
      <c r="T2" s="21" t="str">
        <f>IF('Summary | Sumário'!D6=Names!B3,Names!C16,Names!D16)</f>
        <v>3Q23</v>
      </c>
      <c r="U2" s="21" t="str">
        <f>IF('Summary | Sumário'!D6=Names!B3,Names!C17,Names!D17)</f>
        <v>4Q23</v>
      </c>
      <c r="V2" s="21" t="str">
        <f>IF('Summary | Sumário'!D6=Names!B3,Names!C19,Names!D19)</f>
        <v>1Q24</v>
      </c>
      <c r="W2" s="21" t="str">
        <f>IF('Summary | Sumário'!D6=Names!B3,Names!C20,Names!D20)</f>
        <v>2Q24</v>
      </c>
      <c r="X2" s="21" t="str">
        <f>IF('Summary | Sumário'!D6=Names!B3,Names!C21,Names!D21)</f>
        <v>3Q24</v>
      </c>
      <c r="Y2" s="21" t="str">
        <f>IF('Summary | Sumário'!D6=Names!B3,Names!C22,Names!D22)</f>
        <v>4Q24</v>
      </c>
      <c r="Z2" s="21" t="str">
        <f>IF('Summary | Sumário'!D6=Names!B3,Names!C24,Names!D24)</f>
        <v>1Q25</v>
      </c>
      <c r="AA2" s="21" t="str">
        <f>IF('Summary | Sumário'!D6=Names!B3,Names!C25,Names!D25)</f>
        <v>2Q25</v>
      </c>
      <c r="AB2" s="269" t="str">
        <f>IF('Summary | Sumário'!D6=Names!B3,Names!C26,Names!D26)</f>
        <v>3Q25</v>
      </c>
      <c r="AC2" s="321"/>
      <c r="AD2" s="104" t="str">
        <f>IF('Summary | Sumário'!$D$6=Names!$B$3,Names!$I$24,Names!$J$24)</f>
        <v>QoQ Variation</v>
      </c>
      <c r="AE2" s="104" t="str">
        <f>IF('Summary | Sumário'!$D$6=Names!$B$3,Names!$I$25,Names!$J$25)</f>
        <v>YoY Variation</v>
      </c>
      <c r="AF2" s="11"/>
      <c r="AH2" s="12"/>
      <c r="AI2" s="13"/>
    </row>
    <row r="3" spans="2:35" ht="13" customHeight="1">
      <c r="B3" s="47"/>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27"/>
    </row>
    <row r="4" spans="2:35" ht="13" customHeight="1">
      <c r="B4" s="3" t="str">
        <f>IF('Summary | Sumário'!D$6=Names!B$3,Names!BF3,Names!BG3)</f>
        <v>Efficiency ratio </v>
      </c>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row>
    <row r="5" spans="2:35" ht="13" customHeight="1">
      <c r="B5" s="288" t="str">
        <f>IF('Summary | Sumário'!D$6=Names!B$3,Names!BF4,Names!BG4)</f>
        <v>Total operational expenses</v>
      </c>
      <c r="C5" s="289">
        <f>C18</f>
        <v>572970</v>
      </c>
      <c r="D5" s="289">
        <f t="shared" ref="D5:H5" si="0">D18</f>
        <v>914082</v>
      </c>
      <c r="E5" s="289">
        <f t="shared" si="0"/>
        <v>1701818.2949999999</v>
      </c>
      <c r="F5" s="289">
        <f t="shared" si="0"/>
        <v>2392061</v>
      </c>
      <c r="G5" s="289">
        <f t="shared" si="0"/>
        <v>2412527</v>
      </c>
      <c r="H5" s="289">
        <f t="shared" si="0"/>
        <v>2915645.6869999999</v>
      </c>
      <c r="I5" s="179"/>
      <c r="J5" s="289">
        <f t="shared" ref="J5:AA5" si="1">J18</f>
        <v>320122.31299999997</v>
      </c>
      <c r="K5" s="289">
        <f t="shared" si="1"/>
        <v>391145</v>
      </c>
      <c r="L5" s="289">
        <f t="shared" si="1"/>
        <v>387488.18799999997</v>
      </c>
      <c r="M5" s="289">
        <f t="shared" si="1"/>
        <v>603062.79399999999</v>
      </c>
      <c r="N5" s="289">
        <f t="shared" si="1"/>
        <v>558404</v>
      </c>
      <c r="O5" s="289">
        <f t="shared" si="1"/>
        <v>556595</v>
      </c>
      <c r="P5" s="289">
        <f t="shared" si="1"/>
        <v>591798</v>
      </c>
      <c r="Q5" s="289">
        <f t="shared" si="1"/>
        <v>685264</v>
      </c>
      <c r="R5" s="289">
        <f t="shared" si="1"/>
        <v>595604</v>
      </c>
      <c r="S5" s="289">
        <f t="shared" si="1"/>
        <v>575247</v>
      </c>
      <c r="T5" s="289">
        <f t="shared" si="1"/>
        <v>614129</v>
      </c>
      <c r="U5" s="289">
        <f t="shared" si="1"/>
        <v>627547</v>
      </c>
      <c r="V5" s="289">
        <f t="shared" si="1"/>
        <v>627607</v>
      </c>
      <c r="W5" s="289">
        <f t="shared" si="1"/>
        <v>660068.69851999998</v>
      </c>
      <c r="X5" s="289">
        <f t="shared" si="1"/>
        <v>787129.60447999998</v>
      </c>
      <c r="Y5" s="289">
        <f t="shared" si="1"/>
        <v>840840.38400000008</v>
      </c>
      <c r="Z5" s="289">
        <f t="shared" si="1"/>
        <v>830517.8</v>
      </c>
      <c r="AA5" s="289">
        <f t="shared" si="1"/>
        <v>873425.6</v>
      </c>
      <c r="AB5" s="289">
        <f t="shared" ref="AB5" si="2">AB18</f>
        <v>913115</v>
      </c>
      <c r="AD5" s="684">
        <f>AB5/AA5-1</f>
        <v>4.5441077064835245E-2</v>
      </c>
      <c r="AE5" s="684">
        <f>AB5/X5-1</f>
        <v>0.1600567362769052</v>
      </c>
    </row>
    <row r="6" spans="2:35" ht="13" customHeight="1">
      <c r="B6" s="62" t="str">
        <f>IF('Summary | Sumário'!D$6=Names!B$3,Names!BF5,Names!BG5)</f>
        <v>Personnel expenses</v>
      </c>
      <c r="C6" s="179">
        <f>C19</f>
        <v>169198</v>
      </c>
      <c r="D6" s="179">
        <f t="shared" ref="D6:H6" si="3">D19</f>
        <v>229096</v>
      </c>
      <c r="E6" s="179">
        <f t="shared" si="3"/>
        <v>443328</v>
      </c>
      <c r="F6" s="179">
        <f t="shared" si="3"/>
        <v>733605</v>
      </c>
      <c r="G6" s="179">
        <f t="shared" si="3"/>
        <v>790739</v>
      </c>
      <c r="H6" s="179">
        <f t="shared" si="3"/>
        <v>937761.13</v>
      </c>
      <c r="I6" s="179"/>
      <c r="J6" s="179">
        <f t="shared" ref="J6:AA6" si="4">J19</f>
        <v>81861</v>
      </c>
      <c r="K6" s="179">
        <f t="shared" si="4"/>
        <v>93046</v>
      </c>
      <c r="L6" s="179">
        <f t="shared" si="4"/>
        <v>121250</v>
      </c>
      <c r="M6" s="179">
        <f t="shared" si="4"/>
        <v>147171</v>
      </c>
      <c r="N6" s="179">
        <f t="shared" si="4"/>
        <v>145120</v>
      </c>
      <c r="O6" s="179">
        <f t="shared" si="4"/>
        <v>172466</v>
      </c>
      <c r="P6" s="179">
        <f t="shared" si="4"/>
        <v>176232</v>
      </c>
      <c r="Q6" s="179">
        <f t="shared" si="4"/>
        <v>239787</v>
      </c>
      <c r="R6" s="179">
        <f t="shared" si="4"/>
        <v>172412</v>
      </c>
      <c r="S6" s="179">
        <f t="shared" si="4"/>
        <v>186249</v>
      </c>
      <c r="T6" s="179">
        <f t="shared" si="4"/>
        <v>210661</v>
      </c>
      <c r="U6" s="179">
        <f t="shared" si="4"/>
        <v>221417</v>
      </c>
      <c r="V6" s="179">
        <f t="shared" si="4"/>
        <v>190463</v>
      </c>
      <c r="W6" s="179">
        <f t="shared" si="4"/>
        <v>204206.56551999997</v>
      </c>
      <c r="X6" s="179">
        <f t="shared" si="4"/>
        <v>258954.60447999998</v>
      </c>
      <c r="Y6" s="179">
        <f t="shared" si="4"/>
        <v>284136.96000000008</v>
      </c>
      <c r="Z6" s="179">
        <f t="shared" si="4"/>
        <v>234873.2</v>
      </c>
      <c r="AA6" s="179">
        <f t="shared" si="4"/>
        <v>256765</v>
      </c>
      <c r="AB6" s="179">
        <f t="shared" ref="AB6" si="5">AB19</f>
        <v>285248</v>
      </c>
      <c r="AD6" s="210">
        <f t="shared" ref="AD6:AD14" si="6">AB6/AA6-1</f>
        <v>0.11093022802952124</v>
      </c>
      <c r="AE6" s="210">
        <f t="shared" ref="AE6:AE14" si="7">AB6/X6-1</f>
        <v>0.10153669819001321</v>
      </c>
    </row>
    <row r="7" spans="2:35" ht="13" customHeight="1">
      <c r="B7" s="67" t="str">
        <f>IF('Summary | Sumário'!D$6=Names!B$3,Names!BF6,Names!BG6)</f>
        <v>Administrative expenses</v>
      </c>
      <c r="C7" s="174">
        <f>C20</f>
        <v>386309</v>
      </c>
      <c r="D7" s="174">
        <f t="shared" ref="D7:H7" si="8">D20</f>
        <v>641327</v>
      </c>
      <c r="E7" s="174">
        <f t="shared" si="8"/>
        <v>1164239.7749999999</v>
      </c>
      <c r="F7" s="174">
        <f t="shared" si="8"/>
        <v>1494484</v>
      </c>
      <c r="G7" s="174">
        <f t="shared" si="8"/>
        <v>1461348</v>
      </c>
      <c r="H7" s="174">
        <f t="shared" si="8"/>
        <v>1769055.128</v>
      </c>
      <c r="I7" s="179"/>
      <c r="J7" s="174">
        <f t="shared" ref="J7:AA7" si="9">J20</f>
        <v>219095.31299999999</v>
      </c>
      <c r="K7" s="174">
        <f t="shared" si="9"/>
        <v>272761</v>
      </c>
      <c r="L7" s="174">
        <f t="shared" si="9"/>
        <v>235355.18799999999</v>
      </c>
      <c r="M7" s="174">
        <f t="shared" si="9"/>
        <v>437028.27399999998</v>
      </c>
      <c r="N7" s="174">
        <f t="shared" si="9"/>
        <v>376806</v>
      </c>
      <c r="O7" s="174">
        <f t="shared" si="9"/>
        <v>348618</v>
      </c>
      <c r="P7" s="174">
        <f t="shared" si="9"/>
        <v>379946</v>
      </c>
      <c r="Q7" s="174">
        <f t="shared" si="9"/>
        <v>389114</v>
      </c>
      <c r="R7" s="174">
        <f t="shared" si="9"/>
        <v>385615</v>
      </c>
      <c r="S7" s="174">
        <f t="shared" si="9"/>
        <v>347868</v>
      </c>
      <c r="T7" s="174">
        <f t="shared" si="9"/>
        <v>362877</v>
      </c>
      <c r="U7" s="174">
        <f t="shared" si="9"/>
        <v>364988</v>
      </c>
      <c r="V7" s="174">
        <f t="shared" si="9"/>
        <v>395244</v>
      </c>
      <c r="W7" s="174">
        <f t="shared" si="9"/>
        <v>402827.25400000002</v>
      </c>
      <c r="X7" s="174">
        <f t="shared" si="9"/>
        <v>474826</v>
      </c>
      <c r="Y7" s="174">
        <f t="shared" si="9"/>
        <v>496157.87400000007</v>
      </c>
      <c r="Z7" s="174">
        <f t="shared" si="9"/>
        <v>528199.6</v>
      </c>
      <c r="AA7" s="174">
        <f t="shared" si="9"/>
        <v>540029.6</v>
      </c>
      <c r="AB7" s="174">
        <f t="shared" ref="AB7" si="10">AB20</f>
        <v>543343</v>
      </c>
      <c r="AD7" s="156">
        <f t="shared" si="6"/>
        <v>6.1355896047179392E-3</v>
      </c>
      <c r="AE7" s="156">
        <f t="shared" si="7"/>
        <v>0.14429917485563126</v>
      </c>
    </row>
    <row r="8" spans="2:35" ht="13" customHeight="1">
      <c r="B8" s="62" t="str">
        <f>IF('Summary | Sumário'!D$6=Names!B$3,Names!BF7,Names!BG7)</f>
        <v>Depreciation and amortization</v>
      </c>
      <c r="C8" s="179">
        <f>C21</f>
        <v>17463</v>
      </c>
      <c r="D8" s="179">
        <f t="shared" ref="D8:H8" si="11">D21</f>
        <v>43659</v>
      </c>
      <c r="E8" s="179">
        <f t="shared" si="11"/>
        <v>94250.52</v>
      </c>
      <c r="F8" s="179">
        <f t="shared" si="11"/>
        <v>163972</v>
      </c>
      <c r="G8" s="179">
        <f t="shared" si="11"/>
        <v>160440</v>
      </c>
      <c r="H8" s="179">
        <f t="shared" si="11"/>
        <v>208829.429</v>
      </c>
      <c r="I8" s="179"/>
      <c r="J8" s="179">
        <f t="shared" ref="J8:AA8" si="12">J21</f>
        <v>19166</v>
      </c>
      <c r="K8" s="179">
        <f t="shared" si="12"/>
        <v>25338</v>
      </c>
      <c r="L8" s="179">
        <f t="shared" si="12"/>
        <v>30883</v>
      </c>
      <c r="M8" s="179">
        <f t="shared" si="12"/>
        <v>18863.520000000004</v>
      </c>
      <c r="N8" s="179">
        <f t="shared" si="12"/>
        <v>36478</v>
      </c>
      <c r="O8" s="179">
        <f t="shared" si="12"/>
        <v>35511</v>
      </c>
      <c r="P8" s="179">
        <f t="shared" si="12"/>
        <v>35620</v>
      </c>
      <c r="Q8" s="179">
        <f t="shared" si="12"/>
        <v>56363</v>
      </c>
      <c r="R8" s="179">
        <f t="shared" si="12"/>
        <v>37577</v>
      </c>
      <c r="S8" s="179">
        <f t="shared" si="12"/>
        <v>41130</v>
      </c>
      <c r="T8" s="179">
        <f t="shared" si="12"/>
        <v>40591</v>
      </c>
      <c r="U8" s="179">
        <f t="shared" si="12"/>
        <v>41142</v>
      </c>
      <c r="V8" s="179">
        <f t="shared" si="12"/>
        <v>41900</v>
      </c>
      <c r="W8" s="179">
        <f t="shared" si="12"/>
        <v>53034.879000000001</v>
      </c>
      <c r="X8" s="179">
        <f t="shared" si="12"/>
        <v>53349</v>
      </c>
      <c r="Y8" s="179">
        <f t="shared" si="12"/>
        <v>60545.549999999988</v>
      </c>
      <c r="Z8" s="179">
        <f t="shared" si="12"/>
        <v>67445</v>
      </c>
      <c r="AA8" s="179">
        <f t="shared" si="12"/>
        <v>76631</v>
      </c>
      <c r="AB8" s="179">
        <f t="shared" ref="AB8" si="13">AB21</f>
        <v>84524</v>
      </c>
      <c r="AD8" s="210">
        <f t="shared" si="6"/>
        <v>0.10300009134684407</v>
      </c>
      <c r="AE8" s="210">
        <f t="shared" si="7"/>
        <v>0.58435959436915397</v>
      </c>
    </row>
    <row r="9" spans="2:35" ht="13" customHeight="1">
      <c r="B9" s="53" t="str">
        <f>IF('Summary | Sumário'!D$6=Names!B$3,Names!BF8,Names!BG8)</f>
        <v>(÷) Total net revenues excluding tax expenses</v>
      </c>
      <c r="C9" s="174">
        <f t="shared" ref="C9:Z9" si="14">C10+C11+C12</f>
        <v>712223.66099999996</v>
      </c>
      <c r="D9" s="174">
        <f t="shared" si="14"/>
        <v>1011378.89518</v>
      </c>
      <c r="E9" s="174">
        <f t="shared" si="14"/>
        <v>2075100.6869999999</v>
      </c>
      <c r="F9" s="174">
        <f t="shared" si="14"/>
        <v>3314109.1850000001</v>
      </c>
      <c r="G9" s="174">
        <f t="shared" si="14"/>
        <v>4441962.5950000007</v>
      </c>
      <c r="H9" s="174">
        <f t="shared" si="14"/>
        <v>6007898.3415580653</v>
      </c>
      <c r="I9" s="179"/>
      <c r="J9" s="174">
        <f t="shared" si="14"/>
        <v>389231.652</v>
      </c>
      <c r="K9" s="174">
        <f t="shared" si="14"/>
        <v>437040.34700000007</v>
      </c>
      <c r="L9" s="174">
        <f t="shared" si="14"/>
        <v>565864.06799999997</v>
      </c>
      <c r="M9" s="174">
        <f t="shared" si="14"/>
        <v>682964.61999999988</v>
      </c>
      <c r="N9" s="174">
        <f t="shared" si="14"/>
        <v>776828.01500000001</v>
      </c>
      <c r="O9" s="174">
        <f t="shared" si="14"/>
        <v>815420.3110000001</v>
      </c>
      <c r="P9" s="174">
        <f t="shared" si="14"/>
        <v>788759.46700000006</v>
      </c>
      <c r="Q9" s="174">
        <f t="shared" si="14"/>
        <v>933101.39199999999</v>
      </c>
      <c r="R9" s="174">
        <f t="shared" si="14"/>
        <v>955243.12400000007</v>
      </c>
      <c r="S9" s="174">
        <f t="shared" si="14"/>
        <v>1077571</v>
      </c>
      <c r="T9" s="174">
        <f t="shared" si="14"/>
        <v>1187392.60824</v>
      </c>
      <c r="U9" s="174">
        <f t="shared" si="14"/>
        <v>1221755.8627599999</v>
      </c>
      <c r="V9" s="174">
        <f t="shared" si="14"/>
        <v>1314608.115371532</v>
      </c>
      <c r="W9" s="174">
        <f t="shared" si="14"/>
        <v>1387767.54004253</v>
      </c>
      <c r="X9" s="174">
        <f t="shared" si="14"/>
        <v>1567625.3355535718</v>
      </c>
      <c r="Y9" s="174">
        <f t="shared" si="14"/>
        <v>1737897.3505904321</v>
      </c>
      <c r="Z9" s="174">
        <f t="shared" si="14"/>
        <v>1720152.1</v>
      </c>
      <c r="AA9" s="174">
        <f>AA10+AA11+AA12</f>
        <v>1852523.7999999998</v>
      </c>
      <c r="AB9" s="174">
        <f>AB10+AB11+AB12</f>
        <v>2021390.4</v>
      </c>
      <c r="AD9" s="156">
        <f t="shared" si="6"/>
        <v>9.115488826648277E-2</v>
      </c>
      <c r="AE9" s="156">
        <f t="shared" si="7"/>
        <v>0.28946014979158985</v>
      </c>
    </row>
    <row r="10" spans="2:35" ht="13" customHeight="1">
      <c r="B10" s="55" t="str">
        <f>IF('Summary | Sumário'!D$6=Names!B$3,Names!AC31,Names!AD31)</f>
        <v>NII</v>
      </c>
      <c r="C10" s="179">
        <f>C23</f>
        <v>591527</v>
      </c>
      <c r="D10" s="179">
        <f t="shared" ref="D10:H10" si="15">D23</f>
        <v>733280.89517999999</v>
      </c>
      <c r="E10" s="179">
        <f t="shared" si="15"/>
        <v>1614134.912</v>
      </c>
      <c r="F10" s="179">
        <f t="shared" si="15"/>
        <v>2435209.1850000001</v>
      </c>
      <c r="G10" s="179">
        <f t="shared" si="15"/>
        <v>3296796.9950000001</v>
      </c>
      <c r="H10" s="179">
        <f t="shared" si="15"/>
        <v>4456744.9342886657</v>
      </c>
      <c r="I10" s="179"/>
      <c r="J10" s="179">
        <f t="shared" ref="J10:AA10" si="16">J23</f>
        <v>297457.33899999998</v>
      </c>
      <c r="K10" s="179">
        <f t="shared" si="16"/>
        <v>308984.34700000007</v>
      </c>
      <c r="L10" s="179">
        <f t="shared" si="16"/>
        <v>453160.88</v>
      </c>
      <c r="M10" s="179">
        <f t="shared" si="16"/>
        <v>554532.3459999999</v>
      </c>
      <c r="N10" s="179">
        <f t="shared" si="16"/>
        <v>560444.01500000001</v>
      </c>
      <c r="O10" s="179">
        <f t="shared" si="16"/>
        <v>586650.3110000001</v>
      </c>
      <c r="P10" s="179">
        <f t="shared" si="16"/>
        <v>586724.46700000006</v>
      </c>
      <c r="Q10" s="179">
        <f t="shared" si="16"/>
        <v>701390.39199999999</v>
      </c>
      <c r="R10" s="179">
        <f t="shared" si="16"/>
        <v>726481.12400000007</v>
      </c>
      <c r="S10" s="179">
        <f t="shared" si="16"/>
        <v>828266</v>
      </c>
      <c r="T10" s="179">
        <f t="shared" si="16"/>
        <v>845216.10796000005</v>
      </c>
      <c r="U10" s="179">
        <f t="shared" si="16"/>
        <v>896833.76303999987</v>
      </c>
      <c r="V10" s="179">
        <f t="shared" si="16"/>
        <v>992420.72051999974</v>
      </c>
      <c r="W10" s="179">
        <f t="shared" si="16"/>
        <v>1041865.72580385</v>
      </c>
      <c r="X10" s="179">
        <f t="shared" si="16"/>
        <v>1164350.1315736331</v>
      </c>
      <c r="Y10" s="179">
        <f t="shared" si="16"/>
        <v>1258108.3563911831</v>
      </c>
      <c r="Z10" s="179">
        <f t="shared" si="16"/>
        <v>1362594.3</v>
      </c>
      <c r="AA10" s="179">
        <f t="shared" si="16"/>
        <v>1469507</v>
      </c>
      <c r="AB10" s="179">
        <f t="shared" ref="AB10" si="17">AB23</f>
        <v>1622691</v>
      </c>
      <c r="AD10" s="210">
        <f t="shared" si="6"/>
        <v>0.10424176271361763</v>
      </c>
      <c r="AE10" s="210">
        <f t="shared" si="7"/>
        <v>0.39364522405894675</v>
      </c>
    </row>
    <row r="11" spans="2:35" ht="13" customHeight="1">
      <c r="B11" s="68" t="str">
        <f>IF('Summary | Sumário'!D$6=Names!B$3,Names!BF10,Names!BG10)</f>
        <v>Net result from services and commissions</v>
      </c>
      <c r="C11" s="174">
        <f>C24</f>
        <v>120696.66099999999</v>
      </c>
      <c r="D11" s="174">
        <f t="shared" ref="D11:H11" si="18">D24</f>
        <v>278098</v>
      </c>
      <c r="E11" s="174">
        <f t="shared" si="18"/>
        <v>607687</v>
      </c>
      <c r="F11" s="174">
        <f t="shared" si="18"/>
        <v>1127488</v>
      </c>
      <c r="G11" s="174">
        <f t="shared" si="18"/>
        <v>1455780.6</v>
      </c>
      <c r="H11" s="174">
        <f t="shared" si="18"/>
        <v>1943420.8032693998</v>
      </c>
      <c r="I11" s="179"/>
      <c r="J11" s="174">
        <f t="shared" ref="J11:AA11" si="19">J24</f>
        <v>119309</v>
      </c>
      <c r="K11" s="174">
        <f t="shared" si="19"/>
        <v>158429</v>
      </c>
      <c r="L11" s="174">
        <f t="shared" si="19"/>
        <v>153349</v>
      </c>
      <c r="M11" s="174">
        <f t="shared" si="19"/>
        <v>176600</v>
      </c>
      <c r="N11" s="174">
        <f t="shared" si="19"/>
        <v>273077</v>
      </c>
      <c r="O11" s="174">
        <f t="shared" si="19"/>
        <v>290370</v>
      </c>
      <c r="P11" s="174">
        <f t="shared" si="19"/>
        <v>263579</v>
      </c>
      <c r="Q11" s="174">
        <f t="shared" si="19"/>
        <v>300462</v>
      </c>
      <c r="R11" s="174">
        <f t="shared" si="19"/>
        <v>297633</v>
      </c>
      <c r="S11" s="174">
        <f t="shared" si="19"/>
        <v>321768</v>
      </c>
      <c r="T11" s="174">
        <f t="shared" si="19"/>
        <v>420279.50028000004</v>
      </c>
      <c r="U11" s="174">
        <f t="shared" si="19"/>
        <v>416100.09971999994</v>
      </c>
      <c r="V11" s="174">
        <f t="shared" si="19"/>
        <v>408518.39485153224</v>
      </c>
      <c r="W11" s="174">
        <f t="shared" si="19"/>
        <v>436732.08523867995</v>
      </c>
      <c r="X11" s="174">
        <f t="shared" si="19"/>
        <v>511793.11297993874</v>
      </c>
      <c r="Y11" s="174">
        <f t="shared" si="19"/>
        <v>586377.21019924898</v>
      </c>
      <c r="Z11" s="174">
        <f t="shared" si="19"/>
        <v>475206.80000000005</v>
      </c>
      <c r="AA11" s="174">
        <f t="shared" si="19"/>
        <v>533575.4</v>
      </c>
      <c r="AB11" s="174">
        <f t="shared" ref="AB11" si="20">AB24</f>
        <v>539473</v>
      </c>
      <c r="AD11" s="156">
        <f t="shared" si="6"/>
        <v>1.1052983327192401E-2</v>
      </c>
      <c r="AE11" s="156">
        <f t="shared" si="7"/>
        <v>5.408413344777907E-2</v>
      </c>
    </row>
    <row r="12" spans="2:35" ht="13" customHeight="1">
      <c r="B12" s="64" t="str">
        <f>IF('Summary | Sumário'!D$6=Names!B$3,Names!BF52,Names!BG52)</f>
        <v>Tax expenses excluding tax expenses from interest on own capital (IOC)</v>
      </c>
      <c r="C12" s="179">
        <f>C13+C14</f>
        <v>0</v>
      </c>
      <c r="D12" s="179">
        <f t="shared" ref="D12" si="21">D13+D14</f>
        <v>0</v>
      </c>
      <c r="E12" s="179">
        <f t="shared" ref="E12:Z12" si="22">E13-E14</f>
        <v>-146721.22500000001</v>
      </c>
      <c r="F12" s="179">
        <f t="shared" si="22"/>
        <v>-248588</v>
      </c>
      <c r="G12" s="179">
        <f t="shared" si="22"/>
        <v>-310615</v>
      </c>
      <c r="H12" s="179">
        <f t="shared" si="22"/>
        <v>-392267.39600000001</v>
      </c>
      <c r="I12" s="179"/>
      <c r="J12" s="179">
        <f t="shared" si="22"/>
        <v>-27534.687000000002</v>
      </c>
      <c r="K12" s="179">
        <f t="shared" si="22"/>
        <v>-30373</v>
      </c>
      <c r="L12" s="179">
        <f t="shared" si="22"/>
        <v>-40645.811999999998</v>
      </c>
      <c r="M12" s="179">
        <f t="shared" si="22"/>
        <v>-48167.726000000002</v>
      </c>
      <c r="N12" s="179">
        <f t="shared" si="22"/>
        <v>-56693</v>
      </c>
      <c r="O12" s="179">
        <f t="shared" si="22"/>
        <v>-61600</v>
      </c>
      <c r="P12" s="179">
        <f t="shared" si="22"/>
        <v>-61544</v>
      </c>
      <c r="Q12" s="179">
        <f t="shared" si="22"/>
        <v>-68751</v>
      </c>
      <c r="R12" s="179">
        <f t="shared" si="22"/>
        <v>-68871</v>
      </c>
      <c r="S12" s="179">
        <f t="shared" si="22"/>
        <v>-72463</v>
      </c>
      <c r="T12" s="179">
        <f t="shared" si="22"/>
        <v>-78103</v>
      </c>
      <c r="U12" s="179">
        <f t="shared" si="22"/>
        <v>-91178</v>
      </c>
      <c r="V12" s="179">
        <f t="shared" si="22"/>
        <v>-86331</v>
      </c>
      <c r="W12" s="179">
        <f t="shared" si="22"/>
        <v>-90830.270999999993</v>
      </c>
      <c r="X12" s="179">
        <f t="shared" si="22"/>
        <v>-108517.909</v>
      </c>
      <c r="Y12" s="179">
        <f t="shared" si="22"/>
        <v>-106588.21600000001</v>
      </c>
      <c r="Z12" s="179">
        <f t="shared" si="22"/>
        <v>-117649</v>
      </c>
      <c r="AA12" s="179">
        <f>AA13-AA14</f>
        <v>-150558.6</v>
      </c>
      <c r="AB12" s="179">
        <f>AB13-AB14</f>
        <v>-140773.6</v>
      </c>
      <c r="AD12" s="210">
        <f t="shared" si="6"/>
        <v>-6.4991305710866087E-2</v>
      </c>
      <c r="AE12" s="210">
        <f t="shared" si="7"/>
        <v>0.2972384125094043</v>
      </c>
    </row>
    <row r="13" spans="2:35" ht="13" customHeight="1">
      <c r="B13" s="682" t="str">
        <f>IF('Summary | Sumário'!D$6=Names!B$3,Names!M16,Names!N16)</f>
        <v>Tax expenses</v>
      </c>
      <c r="C13" s="174">
        <f>C25</f>
        <v>0</v>
      </c>
      <c r="D13" s="174">
        <f t="shared" ref="D13:H13" si="23">D25</f>
        <v>0</v>
      </c>
      <c r="E13" s="174">
        <f t="shared" si="23"/>
        <v>-146721.22500000001</v>
      </c>
      <c r="F13" s="174">
        <f t="shared" si="23"/>
        <v>-248588</v>
      </c>
      <c r="G13" s="174">
        <f t="shared" si="23"/>
        <v>-326584</v>
      </c>
      <c r="H13" s="174">
        <f t="shared" si="23"/>
        <v>-477037.39600000001</v>
      </c>
      <c r="I13" s="327"/>
      <c r="J13" s="174">
        <f t="shared" ref="J13:AA13" si="24">J25</f>
        <v>-27534.687000000002</v>
      </c>
      <c r="K13" s="174">
        <f t="shared" si="24"/>
        <v>-30373</v>
      </c>
      <c r="L13" s="174">
        <f t="shared" si="24"/>
        <v>-40645.811999999998</v>
      </c>
      <c r="M13" s="174">
        <f t="shared" si="24"/>
        <v>-48167.726000000002</v>
      </c>
      <c r="N13" s="174">
        <f t="shared" si="24"/>
        <v>-56693</v>
      </c>
      <c r="O13" s="174">
        <f t="shared" si="24"/>
        <v>-61600</v>
      </c>
      <c r="P13" s="174">
        <f t="shared" si="24"/>
        <v>-61544</v>
      </c>
      <c r="Q13" s="174">
        <f t="shared" si="24"/>
        <v>-68751</v>
      </c>
      <c r="R13" s="174">
        <f t="shared" si="24"/>
        <v>-68871</v>
      </c>
      <c r="S13" s="174">
        <f t="shared" si="24"/>
        <v>-72463</v>
      </c>
      <c r="T13" s="174">
        <f t="shared" si="24"/>
        <v>-94072</v>
      </c>
      <c r="U13" s="174">
        <f t="shared" si="24"/>
        <v>-91178</v>
      </c>
      <c r="V13" s="174">
        <f t="shared" si="24"/>
        <v>-86331</v>
      </c>
      <c r="W13" s="174">
        <f t="shared" si="24"/>
        <v>-99417.270999999993</v>
      </c>
      <c r="X13" s="174">
        <f t="shared" si="24"/>
        <v>-123632.909</v>
      </c>
      <c r="Y13" s="174">
        <f t="shared" si="24"/>
        <v>-167656.21600000001</v>
      </c>
      <c r="Z13" s="174">
        <f t="shared" si="24"/>
        <v>-136055</v>
      </c>
      <c r="AA13" s="174">
        <f t="shared" si="24"/>
        <v>-176879.6</v>
      </c>
      <c r="AB13" s="174">
        <f t="shared" ref="AB13" si="25">AB25</f>
        <v>-190327.6</v>
      </c>
      <c r="AD13" s="156">
        <f t="shared" si="6"/>
        <v>7.6029118111981209E-2</v>
      </c>
      <c r="AE13" s="156">
        <f t="shared" si="7"/>
        <v>0.53945742714830081</v>
      </c>
    </row>
    <row r="14" spans="2:35" ht="13" customHeight="1">
      <c r="B14" s="681" t="str">
        <f>IF('Summary | Sumário'!D$6=Names!B$3,Names!BF51,Names!BG51)</f>
        <v>(-) Tax expenses from interest on own capital (IOC)</v>
      </c>
      <c r="C14" s="179">
        <v>0</v>
      </c>
      <c r="D14" s="179">
        <v>0</v>
      </c>
      <c r="E14" s="179">
        <v>0</v>
      </c>
      <c r="F14" s="179">
        <v>0</v>
      </c>
      <c r="G14" s="179">
        <v>-15969</v>
      </c>
      <c r="H14" s="179">
        <v>-84770</v>
      </c>
      <c r="J14" s="179">
        <v>0</v>
      </c>
      <c r="K14" s="179">
        <v>0</v>
      </c>
      <c r="L14" s="179">
        <v>0</v>
      </c>
      <c r="M14" s="179">
        <v>0</v>
      </c>
      <c r="N14" s="179">
        <v>0</v>
      </c>
      <c r="O14" s="179">
        <v>0</v>
      </c>
      <c r="P14" s="179">
        <v>0</v>
      </c>
      <c r="Q14" s="179">
        <v>0</v>
      </c>
      <c r="R14" s="179">
        <v>0</v>
      </c>
      <c r="S14" s="179">
        <v>0</v>
      </c>
      <c r="T14" s="179">
        <v>-15969</v>
      </c>
      <c r="U14" s="179">
        <v>0</v>
      </c>
      <c r="V14" s="179">
        <v>0</v>
      </c>
      <c r="W14" s="179">
        <v>-8587</v>
      </c>
      <c r="X14" s="179">
        <v>-15115</v>
      </c>
      <c r="Y14" s="179">
        <v>-61068</v>
      </c>
      <c r="Z14" s="179">
        <v>-18406</v>
      </c>
      <c r="AA14" s="179">
        <v>-26321</v>
      </c>
      <c r="AB14" s="179">
        <v>-49554</v>
      </c>
      <c r="AD14" s="210">
        <f t="shared" si="6"/>
        <v>0.88267922951255651</v>
      </c>
      <c r="AE14" s="210">
        <f t="shared" si="7"/>
        <v>2.2784651008931527</v>
      </c>
    </row>
    <row r="15" spans="2:35" ht="13" customHeight="1">
      <c r="B15" s="286" t="str">
        <f>IF('Summary | Sumário'!D$6=Names!B$3,Names!BF14,Names!BG14)</f>
        <v>Efficiency ratio (%)</v>
      </c>
      <c r="C15" s="315">
        <f>C5/C9</f>
        <v>0.80448043413149117</v>
      </c>
      <c r="D15" s="315">
        <f t="shared" ref="D15:AA15" si="26">D5/D9</f>
        <v>0.90379777979974207</v>
      </c>
      <c r="E15" s="315">
        <f t="shared" si="26"/>
        <v>0.82011360010696199</v>
      </c>
      <c r="F15" s="315">
        <f t="shared" si="26"/>
        <v>0.72178098742996</v>
      </c>
      <c r="G15" s="315">
        <f t="shared" si="26"/>
        <v>0.54312186300614262</v>
      </c>
      <c r="H15" s="315">
        <f t="shared" si="26"/>
        <v>0.48530210087474074</v>
      </c>
      <c r="I15" s="327"/>
      <c r="J15" s="315">
        <f t="shared" si="26"/>
        <v>0.8224467649408943</v>
      </c>
      <c r="K15" s="315">
        <f t="shared" si="26"/>
        <v>0.8949860183046211</v>
      </c>
      <c r="L15" s="315">
        <f t="shared" si="26"/>
        <v>0.68477256272790943</v>
      </c>
      <c r="M15" s="315">
        <f t="shared" si="26"/>
        <v>0.88300737159708231</v>
      </c>
      <c r="N15" s="315">
        <f t="shared" si="26"/>
        <v>0.71882577509772227</v>
      </c>
      <c r="O15" s="315">
        <f t="shared" si="26"/>
        <v>0.68258662740128873</v>
      </c>
      <c r="P15" s="315">
        <f t="shared" si="26"/>
        <v>0.75028956831525417</v>
      </c>
      <c r="Q15" s="315">
        <f t="shared" si="26"/>
        <v>0.73439393175827561</v>
      </c>
      <c r="R15" s="315">
        <f t="shared" si="26"/>
        <v>0.62351037661067732</v>
      </c>
      <c r="S15" s="315">
        <f t="shared" si="26"/>
        <v>0.53383674950420901</v>
      </c>
      <c r="T15" s="315">
        <f t="shared" si="26"/>
        <v>0.51720803695273643</v>
      </c>
      <c r="U15" s="315">
        <f t="shared" si="26"/>
        <v>0.51364353479126668</v>
      </c>
      <c r="V15" s="315">
        <f t="shared" si="26"/>
        <v>0.47740995408553893</v>
      </c>
      <c r="W15" s="315">
        <f t="shared" si="26"/>
        <v>0.47563347568986319</v>
      </c>
      <c r="X15" s="315">
        <f t="shared" si="26"/>
        <v>0.50211589888730823</v>
      </c>
      <c r="Y15" s="315">
        <f t="shared" si="26"/>
        <v>0.48382626494846404</v>
      </c>
      <c r="Z15" s="315">
        <f t="shared" si="26"/>
        <v>0.48281649047197628</v>
      </c>
      <c r="AA15" s="315">
        <f t="shared" si="26"/>
        <v>0.47147874699369585</v>
      </c>
      <c r="AB15" s="315">
        <f t="shared" ref="AB15" si="27">AB5/AB9</f>
        <v>0.45172619796749802</v>
      </c>
      <c r="AD15" s="683">
        <f>(AB15-AA15)*100</f>
        <v>-1.975254902619783</v>
      </c>
      <c r="AE15" s="683">
        <f>(AB15-X15)*100</f>
        <v>-5.038970091981021</v>
      </c>
    </row>
    <row r="16" spans="2:35" ht="13" customHeight="1">
      <c r="B16" s="63"/>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D16" s="116"/>
      <c r="AE16" s="116"/>
    </row>
    <row r="17" spans="2:31" ht="13" customHeight="1">
      <c r="B17" s="24" t="str">
        <f>IF('Summary | Sumário'!D$6=Names!B$3,Names!BF50,Names!BG50)</f>
        <v>Efficiency ratio - including tax expenses from interest on own capital (IOC)</v>
      </c>
      <c r="C17" s="316"/>
      <c r="D17" s="316"/>
      <c r="E17" s="316"/>
      <c r="F17" s="316"/>
      <c r="G17" s="316"/>
      <c r="H17" s="316"/>
      <c r="I17" s="182"/>
      <c r="J17" s="316"/>
      <c r="K17" s="316"/>
      <c r="L17" s="316"/>
      <c r="M17" s="316"/>
      <c r="N17" s="316"/>
      <c r="O17" s="316"/>
      <c r="P17" s="316"/>
      <c r="Q17" s="316"/>
      <c r="R17" s="316"/>
      <c r="S17" s="316"/>
      <c r="T17" s="316"/>
      <c r="U17" s="316"/>
      <c r="V17" s="316"/>
      <c r="W17" s="316"/>
      <c r="X17" s="316"/>
      <c r="Y17" s="316"/>
      <c r="Z17" s="316"/>
      <c r="AA17" s="316"/>
      <c r="AB17" s="316"/>
      <c r="AD17" s="178"/>
      <c r="AE17" s="178"/>
    </row>
    <row r="18" spans="2:31" ht="13" customHeight="1">
      <c r="B18" s="291" t="str">
        <f>IF('Summary | Sumário'!D$6=Names!B$3,Names!BF4,Names!BG4)</f>
        <v>Total operational expenses</v>
      </c>
      <c r="C18" s="292">
        <f t="shared" ref="C18" si="28">SUM(C19:C21)</f>
        <v>572970</v>
      </c>
      <c r="D18" s="292">
        <f t="shared" ref="D18" si="29">SUM(D19:D21)</f>
        <v>914082</v>
      </c>
      <c r="E18" s="292">
        <f t="shared" ref="E18" si="30">SUM(E19:E21)</f>
        <v>1701818.2949999999</v>
      </c>
      <c r="F18" s="292">
        <f t="shared" ref="F18" si="31">SUM(F19:F21)</f>
        <v>2392061</v>
      </c>
      <c r="G18" s="292">
        <f t="shared" ref="G18" si="32">SUM(G19:G21)</f>
        <v>2412527</v>
      </c>
      <c r="H18" s="292">
        <f t="shared" ref="H18" si="33">SUM(H19:H21)</f>
        <v>2915645.6869999999</v>
      </c>
      <c r="I18" s="179"/>
      <c r="J18" s="292">
        <f t="shared" ref="J18" si="34">SUM(J19:J21)</f>
        <v>320122.31299999997</v>
      </c>
      <c r="K18" s="292">
        <f t="shared" ref="K18" si="35">SUM(K19:K21)</f>
        <v>391145</v>
      </c>
      <c r="L18" s="292">
        <f t="shared" ref="L18" si="36">SUM(L19:L21)</f>
        <v>387488.18799999997</v>
      </c>
      <c r="M18" s="292">
        <f t="shared" ref="M18" si="37">SUM(M19:M21)</f>
        <v>603062.79399999999</v>
      </c>
      <c r="N18" s="292">
        <f t="shared" ref="N18" si="38">SUM(N19:N21)</f>
        <v>558404</v>
      </c>
      <c r="O18" s="292">
        <f t="shared" ref="O18" si="39">SUM(O19:O21)</f>
        <v>556595</v>
      </c>
      <c r="P18" s="292">
        <f t="shared" ref="P18" si="40">SUM(P19:P21)</f>
        <v>591798</v>
      </c>
      <c r="Q18" s="292">
        <f t="shared" ref="Q18" si="41">SUM(Q19:Q21)</f>
        <v>685264</v>
      </c>
      <c r="R18" s="292">
        <f t="shared" ref="R18" si="42">SUM(R19:R21)</f>
        <v>595604</v>
      </c>
      <c r="S18" s="292">
        <f t="shared" ref="S18" si="43">SUM(S19:S21)</f>
        <v>575247</v>
      </c>
      <c r="T18" s="292">
        <f t="shared" ref="T18" si="44">SUM(T19:T21)</f>
        <v>614129</v>
      </c>
      <c r="U18" s="292">
        <f t="shared" ref="U18" si="45">SUM(U19:U21)</f>
        <v>627547</v>
      </c>
      <c r="V18" s="292">
        <f t="shared" ref="V18" si="46">SUM(V19:V21)</f>
        <v>627607</v>
      </c>
      <c r="W18" s="292">
        <f t="shared" ref="W18" si="47">SUM(W19:W21)</f>
        <v>660068.69851999998</v>
      </c>
      <c r="X18" s="292">
        <f t="shared" ref="X18" si="48">SUM(X19:X21)</f>
        <v>787129.60447999998</v>
      </c>
      <c r="Y18" s="292">
        <f t="shared" ref="Y18" si="49">SUM(Y19:Y21)</f>
        <v>840840.38400000008</v>
      </c>
      <c r="Z18" s="292">
        <f t="shared" ref="Z18:AA18" si="50">SUM(Z19:Z21)</f>
        <v>830517.8</v>
      </c>
      <c r="AA18" s="292">
        <f t="shared" si="50"/>
        <v>873425.6</v>
      </c>
      <c r="AB18" s="292">
        <f t="shared" ref="AB18" si="51">SUM(AB19:AB21)</f>
        <v>913115</v>
      </c>
      <c r="AD18" s="685">
        <f>AB18/AA18-1</f>
        <v>4.5441077064835245E-2</v>
      </c>
      <c r="AE18" s="685">
        <f>AB18/X18-1</f>
        <v>0.1600567362769052</v>
      </c>
    </row>
    <row r="19" spans="2:31" ht="13" customHeight="1">
      <c r="B19" s="67" t="str">
        <f>IF('Summary | Sumário'!D$6=Names!B$3,Names!BF5,Names!BG5)</f>
        <v>Personnel expenses</v>
      </c>
      <c r="C19" s="174">
        <f>-'8. Expenses'!C7</f>
        <v>169198</v>
      </c>
      <c r="D19" s="174">
        <f>-'8. Expenses'!D7</f>
        <v>229096</v>
      </c>
      <c r="E19" s="174">
        <f>-'8. Expenses'!E7</f>
        <v>443328</v>
      </c>
      <c r="F19" s="174">
        <f>-'8. Expenses'!F7</f>
        <v>733605</v>
      </c>
      <c r="G19" s="174">
        <f>-'8. Expenses'!G7</f>
        <v>790739</v>
      </c>
      <c r="H19" s="174">
        <f>-'8. Expenses'!H7</f>
        <v>937761.13</v>
      </c>
      <c r="I19" s="179"/>
      <c r="J19" s="174">
        <f>-'8. Expenses'!J7</f>
        <v>81861</v>
      </c>
      <c r="K19" s="174">
        <f>-'8. Expenses'!K7</f>
        <v>93046</v>
      </c>
      <c r="L19" s="174">
        <f>-'8. Expenses'!L7</f>
        <v>121250</v>
      </c>
      <c r="M19" s="174">
        <f>-'8. Expenses'!M7</f>
        <v>147171</v>
      </c>
      <c r="N19" s="174">
        <f>-'8. Expenses'!N7</f>
        <v>145120</v>
      </c>
      <c r="O19" s="174">
        <f>-'8. Expenses'!O7</f>
        <v>172466</v>
      </c>
      <c r="P19" s="174">
        <f>-'8. Expenses'!P7</f>
        <v>176232</v>
      </c>
      <c r="Q19" s="174">
        <f>-'8. Expenses'!Q7</f>
        <v>239787</v>
      </c>
      <c r="R19" s="174">
        <f>-'8. Expenses'!R7</f>
        <v>172412</v>
      </c>
      <c r="S19" s="174">
        <f>-'8. Expenses'!S7</f>
        <v>186249</v>
      </c>
      <c r="T19" s="174">
        <f>-'8. Expenses'!T7</f>
        <v>210661</v>
      </c>
      <c r="U19" s="174">
        <f>-'8. Expenses'!U7</f>
        <v>221417</v>
      </c>
      <c r="V19" s="174">
        <f>-'8. Expenses'!V7</f>
        <v>190463</v>
      </c>
      <c r="W19" s="174">
        <f>-'8. Expenses'!W7</f>
        <v>204206.56551999997</v>
      </c>
      <c r="X19" s="174">
        <f>-'8. Expenses'!X7</f>
        <v>258954.60447999998</v>
      </c>
      <c r="Y19" s="174">
        <f>-'8. Expenses'!Y7</f>
        <v>284136.96000000008</v>
      </c>
      <c r="Z19" s="174">
        <f>-'8. Expenses'!Z7</f>
        <v>234873.2</v>
      </c>
      <c r="AA19" s="174">
        <f>-'8. Expenses'!AA7</f>
        <v>256765</v>
      </c>
      <c r="AB19" s="174">
        <f>-'8. Expenses'!AB7</f>
        <v>285248</v>
      </c>
      <c r="AD19" s="156">
        <f t="shared" ref="AD19:AD25" si="52">AB19/AA19-1</f>
        <v>0.11093022802952124</v>
      </c>
      <c r="AE19" s="156">
        <f t="shared" ref="AE19:AE25" si="53">AB19/X19-1</f>
        <v>0.10153669819001321</v>
      </c>
    </row>
    <row r="20" spans="2:31" ht="13" customHeight="1">
      <c r="B20" s="62" t="str">
        <f>IF('Summary | Sumário'!D$6=Names!B$3,Names!BF6,Names!BG6)</f>
        <v>Administrative expenses</v>
      </c>
      <c r="C20" s="179">
        <f>-'8. Expenses'!C8</f>
        <v>386309</v>
      </c>
      <c r="D20" s="179">
        <f>-'8. Expenses'!D8</f>
        <v>641327</v>
      </c>
      <c r="E20" s="179">
        <f>-'8. Expenses'!E8</f>
        <v>1164239.7749999999</v>
      </c>
      <c r="F20" s="179">
        <f>-'8. Expenses'!F8</f>
        <v>1494484</v>
      </c>
      <c r="G20" s="179">
        <f>-'8. Expenses'!G8</f>
        <v>1461348</v>
      </c>
      <c r="H20" s="179">
        <f>-'8. Expenses'!H8</f>
        <v>1769055.128</v>
      </c>
      <c r="I20" s="179"/>
      <c r="J20" s="179">
        <f>-'8. Expenses'!J8</f>
        <v>219095.31299999999</v>
      </c>
      <c r="K20" s="179">
        <f>-'8. Expenses'!K8</f>
        <v>272761</v>
      </c>
      <c r="L20" s="179">
        <f>-'8. Expenses'!L8</f>
        <v>235355.18799999999</v>
      </c>
      <c r="M20" s="179">
        <f>-'8. Expenses'!M8</f>
        <v>437028.27399999998</v>
      </c>
      <c r="N20" s="179">
        <f>-'8. Expenses'!N8</f>
        <v>376806</v>
      </c>
      <c r="O20" s="179">
        <f>-'8. Expenses'!O8</f>
        <v>348618</v>
      </c>
      <c r="P20" s="179">
        <f>-'8. Expenses'!P8</f>
        <v>379946</v>
      </c>
      <c r="Q20" s="179">
        <f>-'8. Expenses'!Q8</f>
        <v>389114</v>
      </c>
      <c r="R20" s="179">
        <f>-'8. Expenses'!R8</f>
        <v>385615</v>
      </c>
      <c r="S20" s="179">
        <f>-'8. Expenses'!S8</f>
        <v>347868</v>
      </c>
      <c r="T20" s="179">
        <f>-'8. Expenses'!T8</f>
        <v>362877</v>
      </c>
      <c r="U20" s="179">
        <f>-'8. Expenses'!U8</f>
        <v>364988</v>
      </c>
      <c r="V20" s="179">
        <f>-'8. Expenses'!V8</f>
        <v>395244</v>
      </c>
      <c r="W20" s="179">
        <f>-'8. Expenses'!W8</f>
        <v>402827.25400000002</v>
      </c>
      <c r="X20" s="179">
        <f>-'8. Expenses'!X8</f>
        <v>474826</v>
      </c>
      <c r="Y20" s="179">
        <f>-'8. Expenses'!Y8</f>
        <v>496157.87400000007</v>
      </c>
      <c r="Z20" s="179">
        <f>-'8. Expenses'!Z8</f>
        <v>528199.6</v>
      </c>
      <c r="AA20" s="179">
        <f>-'8. Expenses'!AA8</f>
        <v>540029.6</v>
      </c>
      <c r="AB20" s="179">
        <f>-'8. Expenses'!AB8</f>
        <v>543343</v>
      </c>
      <c r="AD20" s="155">
        <f t="shared" si="52"/>
        <v>6.1355896047179392E-3</v>
      </c>
      <c r="AE20" s="155">
        <f t="shared" si="53"/>
        <v>0.14429917485563126</v>
      </c>
    </row>
    <row r="21" spans="2:31" ht="13" customHeight="1">
      <c r="B21" s="67" t="str">
        <f>IF('Summary | Sumário'!D$6=Names!B$3,Names!BF7,Names!BG7)</f>
        <v>Depreciation and amortization</v>
      </c>
      <c r="C21" s="174">
        <f>-'8. Expenses'!C9</f>
        <v>17463</v>
      </c>
      <c r="D21" s="174">
        <f>-'8. Expenses'!D9</f>
        <v>43659</v>
      </c>
      <c r="E21" s="174">
        <f>-'8. Expenses'!E9</f>
        <v>94250.52</v>
      </c>
      <c r="F21" s="174">
        <f>-'8. Expenses'!F9</f>
        <v>163972</v>
      </c>
      <c r="G21" s="174">
        <f>-'8. Expenses'!G9</f>
        <v>160440</v>
      </c>
      <c r="H21" s="174">
        <f>-'8. Expenses'!H9</f>
        <v>208829.429</v>
      </c>
      <c r="I21" s="179"/>
      <c r="J21" s="174">
        <f>-'8. Expenses'!J9</f>
        <v>19166</v>
      </c>
      <c r="K21" s="174">
        <f>-'8. Expenses'!K9</f>
        <v>25338</v>
      </c>
      <c r="L21" s="174">
        <f>-'8. Expenses'!L9</f>
        <v>30883</v>
      </c>
      <c r="M21" s="174">
        <f>-'8. Expenses'!M9</f>
        <v>18863.520000000004</v>
      </c>
      <c r="N21" s="174">
        <f>-'8. Expenses'!N9</f>
        <v>36478</v>
      </c>
      <c r="O21" s="174">
        <f>-'8. Expenses'!O9</f>
        <v>35511</v>
      </c>
      <c r="P21" s="174">
        <f>-'8. Expenses'!P9</f>
        <v>35620</v>
      </c>
      <c r="Q21" s="174">
        <f>-'8. Expenses'!Q9</f>
        <v>56363</v>
      </c>
      <c r="R21" s="174">
        <f>-'8. Expenses'!R9</f>
        <v>37577</v>
      </c>
      <c r="S21" s="174">
        <f>-'8. Expenses'!S9</f>
        <v>41130</v>
      </c>
      <c r="T21" s="174">
        <f>-'8. Expenses'!T9</f>
        <v>40591</v>
      </c>
      <c r="U21" s="174">
        <f>-'8. Expenses'!U9</f>
        <v>41142</v>
      </c>
      <c r="V21" s="174">
        <f>-'8. Expenses'!V9</f>
        <v>41900</v>
      </c>
      <c r="W21" s="174">
        <f>-'8. Expenses'!W9</f>
        <v>53034.879000000001</v>
      </c>
      <c r="X21" s="174">
        <f>-'8. Expenses'!X9</f>
        <v>53349</v>
      </c>
      <c r="Y21" s="174">
        <f>-'8. Expenses'!Y9</f>
        <v>60545.549999999988</v>
      </c>
      <c r="Z21" s="174">
        <f>-'8. Expenses'!Z9</f>
        <v>67445</v>
      </c>
      <c r="AA21" s="174">
        <f>-'8. Expenses'!AA9</f>
        <v>76631</v>
      </c>
      <c r="AB21" s="174">
        <f>-'8. Expenses'!AB9</f>
        <v>84524</v>
      </c>
      <c r="AD21" s="156">
        <f t="shared" si="52"/>
        <v>0.10300009134684407</v>
      </c>
      <c r="AE21" s="156">
        <f t="shared" si="53"/>
        <v>0.58435959436915397</v>
      </c>
    </row>
    <row r="22" spans="2:31" ht="13" customHeight="1">
      <c r="B22" s="51" t="str">
        <f>IF('Summary | Sumário'!D$6=Names!B$3,Names!BF8,Names!BG8)</f>
        <v>(÷) Total net revenues excluding tax expenses</v>
      </c>
      <c r="C22" s="179">
        <f t="shared" ref="C22" si="54">C23+C24+C25</f>
        <v>712223.66099999996</v>
      </c>
      <c r="D22" s="179">
        <f t="shared" ref="D22" si="55">D23+D24+D25</f>
        <v>1011378.89518</v>
      </c>
      <c r="E22" s="179">
        <f t="shared" ref="E22" si="56">E23+E24+E25</f>
        <v>2075100.6869999999</v>
      </c>
      <c r="F22" s="179">
        <f t="shared" ref="F22" si="57">F23+F24+F25</f>
        <v>3314109.1850000001</v>
      </c>
      <c r="G22" s="179">
        <f t="shared" ref="G22" si="58">G23+G24+G25</f>
        <v>4425993.5950000007</v>
      </c>
      <c r="H22" s="179">
        <f t="shared" ref="H22" si="59">H23+H24+H25</f>
        <v>5923128.3415580653</v>
      </c>
      <c r="I22" s="179"/>
      <c r="J22" s="179">
        <f t="shared" ref="J22:Y22" si="60">J23+J24+J25</f>
        <v>389231.652</v>
      </c>
      <c r="K22" s="179">
        <f t="shared" si="60"/>
        <v>437040.34700000007</v>
      </c>
      <c r="L22" s="179">
        <f t="shared" si="60"/>
        <v>565864.06799999997</v>
      </c>
      <c r="M22" s="179">
        <f t="shared" si="60"/>
        <v>682964.61999999988</v>
      </c>
      <c r="N22" s="179">
        <f t="shared" si="60"/>
        <v>776828.01500000001</v>
      </c>
      <c r="O22" s="179">
        <f t="shared" si="60"/>
        <v>815420.3110000001</v>
      </c>
      <c r="P22" s="179">
        <f t="shared" si="60"/>
        <v>788759.46700000006</v>
      </c>
      <c r="Q22" s="179">
        <f t="shared" si="60"/>
        <v>933101.39199999999</v>
      </c>
      <c r="R22" s="179">
        <f t="shared" si="60"/>
        <v>955243.12400000007</v>
      </c>
      <c r="S22" s="179">
        <f t="shared" si="60"/>
        <v>1077571</v>
      </c>
      <c r="T22" s="179">
        <f t="shared" si="60"/>
        <v>1171423.60824</v>
      </c>
      <c r="U22" s="179">
        <f t="shared" si="60"/>
        <v>1221755.8627599999</v>
      </c>
      <c r="V22" s="179">
        <f t="shared" si="60"/>
        <v>1314608.115371532</v>
      </c>
      <c r="W22" s="179">
        <f t="shared" si="60"/>
        <v>1379180.54004253</v>
      </c>
      <c r="X22" s="179">
        <f t="shared" si="60"/>
        <v>1552510.3355535718</v>
      </c>
      <c r="Y22" s="179">
        <f t="shared" si="60"/>
        <v>1676829.3505904321</v>
      </c>
      <c r="Z22" s="179">
        <f>Z23+Z24+Z25</f>
        <v>1701746.1</v>
      </c>
      <c r="AA22" s="179">
        <f>AA23+AA24+AA25</f>
        <v>1826202.7999999998</v>
      </c>
      <c r="AB22" s="179">
        <f>AB23+AB24+AB25</f>
        <v>1971836.4</v>
      </c>
      <c r="AD22" s="155">
        <f>AB22/AA22-1</f>
        <v>7.9746674356210745E-2</v>
      </c>
      <c r="AE22" s="155">
        <f t="shared" si="53"/>
        <v>0.27009550586786335</v>
      </c>
    </row>
    <row r="23" spans="2:31" ht="13" customHeight="1">
      <c r="B23" s="60" t="str">
        <f>IF('Summary | Sumário'!D$6=Names!B$3,Names!AC31,Names!AD31)</f>
        <v>NII</v>
      </c>
      <c r="C23" s="174">
        <f>'6. NII'!C41</f>
        <v>591527</v>
      </c>
      <c r="D23" s="174">
        <f>'6. NII'!D41</f>
        <v>733280.89517999999</v>
      </c>
      <c r="E23" s="174">
        <f>'6. NII'!E41</f>
        <v>1614134.912</v>
      </c>
      <c r="F23" s="174">
        <f>'6. NII'!F41</f>
        <v>2435209.1850000001</v>
      </c>
      <c r="G23" s="174">
        <f>'6. NII'!G41</f>
        <v>3296796.9950000001</v>
      </c>
      <c r="H23" s="174">
        <f>'6. NII'!H41</f>
        <v>4456744.9342886657</v>
      </c>
      <c r="I23" s="179"/>
      <c r="J23" s="174">
        <f>'6. NII'!J41</f>
        <v>297457.33899999998</v>
      </c>
      <c r="K23" s="174">
        <f>'6. NII'!K41</f>
        <v>308984.34700000007</v>
      </c>
      <c r="L23" s="174">
        <f>'6. NII'!L41</f>
        <v>453160.88</v>
      </c>
      <c r="M23" s="174">
        <f>'6. NII'!M41</f>
        <v>554532.3459999999</v>
      </c>
      <c r="N23" s="174">
        <f>'6. NII'!N41</f>
        <v>560444.01500000001</v>
      </c>
      <c r="O23" s="174">
        <f>'6. NII'!O41</f>
        <v>586650.3110000001</v>
      </c>
      <c r="P23" s="174">
        <f>'6. NII'!P41</f>
        <v>586724.46700000006</v>
      </c>
      <c r="Q23" s="174">
        <f>'6. NII'!Q41</f>
        <v>701390.39199999999</v>
      </c>
      <c r="R23" s="174">
        <f>'6. NII'!R41</f>
        <v>726481.12400000007</v>
      </c>
      <c r="S23" s="174">
        <f>'6. NII'!S41</f>
        <v>828266</v>
      </c>
      <c r="T23" s="174">
        <f>'6. NII'!T41</f>
        <v>845216.10796000005</v>
      </c>
      <c r="U23" s="174">
        <f>'6. NII'!U41</f>
        <v>896833.76303999987</v>
      </c>
      <c r="V23" s="174">
        <f>'6. NII'!V41</f>
        <v>992420.72051999974</v>
      </c>
      <c r="W23" s="174">
        <f>'6. NII'!W41</f>
        <v>1041865.72580385</v>
      </c>
      <c r="X23" s="174">
        <f>'6. NII'!X41</f>
        <v>1164350.1315736331</v>
      </c>
      <c r="Y23" s="174">
        <f>'6. NII'!Y41</f>
        <v>1258108.3563911831</v>
      </c>
      <c r="Z23" s="174">
        <f>'6. NII'!Z41</f>
        <v>1362594.3</v>
      </c>
      <c r="AA23" s="174">
        <f>'6. NII'!AA41</f>
        <v>1469507</v>
      </c>
      <c r="AB23" s="174">
        <f>'6. NII'!AB41</f>
        <v>1622691</v>
      </c>
      <c r="AD23" s="156">
        <f t="shared" si="52"/>
        <v>0.10424176271361763</v>
      </c>
      <c r="AE23" s="156">
        <f t="shared" si="53"/>
        <v>0.39364522405894675</v>
      </c>
    </row>
    <row r="24" spans="2:31" ht="13" customHeight="1">
      <c r="B24" s="64" t="str">
        <f>IF('Summary | Sumário'!D$6=Names!B$3,Names!BF10,Names!BG10)</f>
        <v>Net result from services and commissions</v>
      </c>
      <c r="C24" s="179">
        <f>'7. Fee Revenue | R. de Serv '!C19</f>
        <v>120696.66099999999</v>
      </c>
      <c r="D24" s="179">
        <f>'7. Fee Revenue | R. de Serv '!D19</f>
        <v>278098</v>
      </c>
      <c r="E24" s="179">
        <f>'7. Fee Revenue | R. de Serv '!E19</f>
        <v>607687</v>
      </c>
      <c r="F24" s="179">
        <f>'7. Fee Revenue | R. de Serv '!F19</f>
        <v>1127488</v>
      </c>
      <c r="G24" s="179">
        <f>'7. Fee Revenue | R. de Serv '!G19</f>
        <v>1455780.6</v>
      </c>
      <c r="H24" s="179">
        <f>'7. Fee Revenue | R. de Serv '!H19</f>
        <v>1943420.8032693998</v>
      </c>
      <c r="I24" s="179"/>
      <c r="J24" s="179">
        <f>'7. Fee Revenue | R. de Serv '!J19</f>
        <v>119309</v>
      </c>
      <c r="K24" s="179">
        <f>'7. Fee Revenue | R. de Serv '!K19</f>
        <v>158429</v>
      </c>
      <c r="L24" s="179">
        <f>'7. Fee Revenue | R. de Serv '!L19</f>
        <v>153349</v>
      </c>
      <c r="M24" s="179">
        <f>'7. Fee Revenue | R. de Serv '!M19</f>
        <v>176600</v>
      </c>
      <c r="N24" s="179">
        <f>'7. Fee Revenue | R. de Serv '!N19</f>
        <v>273077</v>
      </c>
      <c r="O24" s="179">
        <f>'7. Fee Revenue | R. de Serv '!O19</f>
        <v>290370</v>
      </c>
      <c r="P24" s="179">
        <f>'7. Fee Revenue | R. de Serv '!P19</f>
        <v>263579</v>
      </c>
      <c r="Q24" s="179">
        <f>'7. Fee Revenue | R. de Serv '!Q19</f>
        <v>300462</v>
      </c>
      <c r="R24" s="179">
        <f>'7. Fee Revenue | R. de Serv '!R19</f>
        <v>297633</v>
      </c>
      <c r="S24" s="179">
        <f>'7. Fee Revenue | R. de Serv '!S19</f>
        <v>321768</v>
      </c>
      <c r="T24" s="179">
        <f>'7. Fee Revenue | R. de Serv '!T19</f>
        <v>420279.50028000004</v>
      </c>
      <c r="U24" s="179">
        <f>'7. Fee Revenue | R. de Serv '!U19</f>
        <v>416100.09971999994</v>
      </c>
      <c r="V24" s="179">
        <f>'7. Fee Revenue | R. de Serv '!V19</f>
        <v>408518.39485153224</v>
      </c>
      <c r="W24" s="179">
        <f>'7. Fee Revenue | R. de Serv '!W19</f>
        <v>436732.08523867995</v>
      </c>
      <c r="X24" s="179">
        <f>'7. Fee Revenue | R. de Serv '!X19</f>
        <v>511793.11297993874</v>
      </c>
      <c r="Y24" s="179">
        <f>'7. Fee Revenue | R. de Serv '!Y19</f>
        <v>586377.21019924898</v>
      </c>
      <c r="Z24" s="179">
        <f>'7. Fee Revenue | R. de Serv '!Z19</f>
        <v>475206.80000000005</v>
      </c>
      <c r="AA24" s="179">
        <f>'7. Fee Revenue | R. de Serv '!AA19</f>
        <v>533575.4</v>
      </c>
      <c r="AB24" s="179">
        <f>'7. Fee Revenue | R. de Serv '!AB19</f>
        <v>539473</v>
      </c>
      <c r="AD24" s="155">
        <f t="shared" si="52"/>
        <v>1.1052983327192401E-2</v>
      </c>
      <c r="AE24" s="155">
        <f t="shared" si="53"/>
        <v>5.408413344777907E-2</v>
      </c>
    </row>
    <row r="25" spans="2:31" ht="13" customHeight="1">
      <c r="B25" s="68" t="str">
        <f>IF('Summary | Sumário'!D$6=Names!B$3,Names!M16,Names!N16)</f>
        <v>Tax expenses</v>
      </c>
      <c r="C25" s="174">
        <f>'3. IS | DRE'!C20</f>
        <v>0</v>
      </c>
      <c r="D25" s="174">
        <f>'3. IS | DRE'!D20</f>
        <v>0</v>
      </c>
      <c r="E25" s="174">
        <f>'3. IS | DRE'!E20</f>
        <v>-146721.22500000001</v>
      </c>
      <c r="F25" s="174">
        <f>'3. IS | DRE'!F20</f>
        <v>-248588</v>
      </c>
      <c r="G25" s="174">
        <f>'3. IS | DRE'!G20</f>
        <v>-326584</v>
      </c>
      <c r="H25" s="174">
        <f>'3. IS | DRE'!H20</f>
        <v>-477037.39600000001</v>
      </c>
      <c r="I25" s="179"/>
      <c r="J25" s="174">
        <f>'3. IS | DRE'!J20</f>
        <v>-27534.687000000002</v>
      </c>
      <c r="K25" s="174">
        <f>'3. IS | DRE'!K20</f>
        <v>-30373</v>
      </c>
      <c r="L25" s="174">
        <f>'3. IS | DRE'!L20</f>
        <v>-40645.811999999998</v>
      </c>
      <c r="M25" s="174">
        <f>'3. IS | DRE'!M20</f>
        <v>-48167.726000000002</v>
      </c>
      <c r="N25" s="174">
        <f>'3. IS | DRE'!N20</f>
        <v>-56693</v>
      </c>
      <c r="O25" s="174">
        <f>'3. IS | DRE'!O20</f>
        <v>-61600</v>
      </c>
      <c r="P25" s="174">
        <f>'3. IS | DRE'!P20</f>
        <v>-61544</v>
      </c>
      <c r="Q25" s="174">
        <f>'3. IS | DRE'!Q20</f>
        <v>-68751</v>
      </c>
      <c r="R25" s="174">
        <f>'3. IS | DRE'!R20</f>
        <v>-68871</v>
      </c>
      <c r="S25" s="174">
        <f>'3. IS | DRE'!S20</f>
        <v>-72463</v>
      </c>
      <c r="T25" s="174">
        <f>'3. IS | DRE'!T20</f>
        <v>-94072</v>
      </c>
      <c r="U25" s="174">
        <f>'3. IS | DRE'!U20</f>
        <v>-91178</v>
      </c>
      <c r="V25" s="174">
        <f>'3. IS | DRE'!V20</f>
        <v>-86331</v>
      </c>
      <c r="W25" s="174">
        <f>'3. IS | DRE'!W20</f>
        <v>-99417.270999999993</v>
      </c>
      <c r="X25" s="174">
        <f>'3. IS | DRE'!X20</f>
        <v>-123632.909</v>
      </c>
      <c r="Y25" s="174">
        <f>'3. IS | DRE'!Y20</f>
        <v>-167656.21600000001</v>
      </c>
      <c r="Z25" s="174">
        <f>'3. IS | DRE'!Z20</f>
        <v>-136055</v>
      </c>
      <c r="AA25" s="174">
        <f>'3. IS | DRE'!AA20</f>
        <v>-176879.6</v>
      </c>
      <c r="AB25" s="174">
        <f>'3. IS | DRE'!AB20</f>
        <v>-190327.6</v>
      </c>
      <c r="AD25" s="341">
        <f t="shared" si="52"/>
        <v>7.6029118111981209E-2</v>
      </c>
      <c r="AE25" s="341">
        <f t="shared" si="53"/>
        <v>0.53945742714830081</v>
      </c>
    </row>
    <row r="26" spans="2:31" ht="13" customHeight="1">
      <c r="B26" s="287" t="str">
        <f>IF('Summary | Sumário'!D$6=Names!B$3,Names!BF53,Names!BG53)</f>
        <v>Efficiency ratio - including tax expenses from interest on own capital (%)</v>
      </c>
      <c r="C26" s="301">
        <f t="shared" ref="C26:H26" si="61">C18/C22</f>
        <v>0.80448043413149117</v>
      </c>
      <c r="D26" s="301">
        <f t="shared" si="61"/>
        <v>0.90379777979974207</v>
      </c>
      <c r="E26" s="301">
        <f t="shared" si="61"/>
        <v>0.82011360010696199</v>
      </c>
      <c r="F26" s="301">
        <f t="shared" si="61"/>
        <v>0.72178098742996</v>
      </c>
      <c r="G26" s="301">
        <f t="shared" si="61"/>
        <v>0.54508144854195151</v>
      </c>
      <c r="H26" s="301">
        <f t="shared" si="61"/>
        <v>0.49224759601157758</v>
      </c>
      <c r="I26" s="327"/>
      <c r="J26" s="301">
        <f t="shared" ref="J26:Y26" si="62">J18/J22</f>
        <v>0.8224467649408943</v>
      </c>
      <c r="K26" s="301">
        <f t="shared" si="62"/>
        <v>0.8949860183046211</v>
      </c>
      <c r="L26" s="301">
        <f t="shared" si="62"/>
        <v>0.68477256272790943</v>
      </c>
      <c r="M26" s="301">
        <f t="shared" si="62"/>
        <v>0.88300737159708231</v>
      </c>
      <c r="N26" s="301">
        <f t="shared" si="62"/>
        <v>0.71882577509772227</v>
      </c>
      <c r="O26" s="301">
        <f t="shared" si="62"/>
        <v>0.68258662740128873</v>
      </c>
      <c r="P26" s="301">
        <f t="shared" si="62"/>
        <v>0.75028956831525417</v>
      </c>
      <c r="Q26" s="301">
        <f t="shared" si="62"/>
        <v>0.73439393175827561</v>
      </c>
      <c r="R26" s="301">
        <f t="shared" si="62"/>
        <v>0.62351037661067732</v>
      </c>
      <c r="S26" s="301">
        <f t="shared" si="62"/>
        <v>0.53383674950420901</v>
      </c>
      <c r="T26" s="301">
        <f t="shared" si="62"/>
        <v>0.52425868462963221</v>
      </c>
      <c r="U26" s="301">
        <f t="shared" si="62"/>
        <v>0.51364353479126668</v>
      </c>
      <c r="V26" s="301">
        <f t="shared" si="62"/>
        <v>0.47740995408553893</v>
      </c>
      <c r="W26" s="301">
        <f t="shared" si="62"/>
        <v>0.47859484625533166</v>
      </c>
      <c r="X26" s="301">
        <f t="shared" si="62"/>
        <v>0.50700442145484115</v>
      </c>
      <c r="Y26" s="301">
        <f t="shared" si="62"/>
        <v>0.50144660439294553</v>
      </c>
      <c r="Z26" s="301">
        <f t="shared" ref="Z26:AA26" si="63">Z18/Z22</f>
        <v>0.48803860928489862</v>
      </c>
      <c r="AA26" s="301">
        <f t="shared" si="63"/>
        <v>0.47827415443673621</v>
      </c>
      <c r="AB26" s="301">
        <f t="shared" ref="AB26" si="64">AB18/AB22</f>
        <v>0.46307847851880612</v>
      </c>
      <c r="AD26" s="686">
        <f>(AB26-AA26)*100</f>
        <v>-1.5195675917930085</v>
      </c>
      <c r="AE26" s="686">
        <f>(AB26-X26)*100</f>
        <v>-4.3925942936035023</v>
      </c>
    </row>
  </sheetData>
  <sheetProtection algorithmName="SHA-512" hashValue="hcFdWnbZHbqI5lrzheOeLNE+nY2uXiYVXHlxidpUWllBIP2OUogdpnatubFfcA8nzPphTTE21T3XIIOyvDI/CQ==" saltValue="kn4L40++Lm5ZBApZOdhUwg=="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22580-4A49-9F41-9F25-BAA2BA64A1E3}">
  <sheetPr codeName="Sheet17">
    <tabColor rgb="FFF7CAB0"/>
  </sheetPr>
  <dimension ref="A1:AJ31"/>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6" width="10.83203125" style="117" customWidth="1"/>
    <col min="7" max="8" width="10.83203125" style="117"/>
    <col min="9" max="9" width="3.83203125" style="116" customWidth="1"/>
    <col min="10" max="18" width="10.83203125" style="117" customWidth="1"/>
    <col min="19" max="25" width="10.83203125" style="117"/>
    <col min="26" max="28" width="10.83203125" style="116"/>
    <col min="29" max="29" width="5.83203125" style="116" customWidth="1"/>
    <col min="30" max="16384" width="10.83203125" style="116"/>
  </cols>
  <sheetData>
    <row r="1" spans="2:35" ht="13" customHeight="1">
      <c r="I1" s="117"/>
      <c r="Z1" s="117"/>
      <c r="AA1" s="117"/>
      <c r="AB1" s="117"/>
      <c r="AC1" s="117"/>
      <c r="AD1" s="117"/>
      <c r="AE1" s="117"/>
      <c r="AF1" s="117"/>
    </row>
    <row r="2" spans="2:35" s="10" customFormat="1" ht="13" customHeight="1">
      <c r="B2" s="267" t="str">
        <f>IF('Summary | Sumário'!D$6=Names!B$3,Names!AP1,Names!AQ1)</f>
        <v>Monthly Cost-to-serve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322"/>
      <c r="J2" s="20" t="str">
        <f>IF('Summary | Sumário'!D6=Names!B3,Names!C6,Names!D6)</f>
        <v>1Q21</v>
      </c>
      <c r="K2" s="21" t="str">
        <f>IF('Summary | Sumário'!D6=Names!B3,Names!C7,Names!D7)</f>
        <v>2Q21</v>
      </c>
      <c r="L2" s="21" t="str">
        <f>IF('Summary | Sumário'!D6=Names!B3,Names!C8,Names!D8)</f>
        <v>3Q21</v>
      </c>
      <c r="M2" s="21" t="str">
        <f>IF('Summary | Sumário'!D6=Names!B3,Names!C9,Names!D9)</f>
        <v>4Q21</v>
      </c>
      <c r="N2" s="21" t="str">
        <f>IF('Summary | Sumário'!D6=Names!B3,Names!C10,Names!D10)</f>
        <v>1Q22</v>
      </c>
      <c r="O2" s="21" t="str">
        <f>IF('Summary | Sumário'!D6=Names!B3,Names!C11,Names!D11)</f>
        <v>2Q22</v>
      </c>
      <c r="P2" s="21" t="str">
        <f>IF('Summary | Sumário'!D6=Names!B3,Names!C12,Names!D12)</f>
        <v>3Q22</v>
      </c>
      <c r="Q2" s="21" t="str">
        <f>IF('Summary | Sumário'!D6=Names!B3,Names!C13,Names!D13)</f>
        <v>4Q22</v>
      </c>
      <c r="R2" s="21" t="str">
        <f>IF('Summary | Sumário'!D6=Names!B3,Names!C14,Names!D14)</f>
        <v>1Q23</v>
      </c>
      <c r="S2" s="21" t="str">
        <f>IF('Summary | Sumário'!D6=Names!B3,Names!C15,Names!D15)</f>
        <v>2Q23</v>
      </c>
      <c r="T2" s="21" t="str">
        <f>IF('Summary | Sumário'!D6=Names!B3,Names!C16,Names!D16)</f>
        <v>3Q23</v>
      </c>
      <c r="U2" s="21" t="str">
        <f>IF('Summary | Sumário'!D6=Names!B3,Names!C17,Names!D17)</f>
        <v>4Q23</v>
      </c>
      <c r="V2" s="21" t="str">
        <f>IF('Summary | Sumário'!D6=Names!B3,Names!C19,Names!D19)</f>
        <v>1Q24</v>
      </c>
      <c r="W2" s="21" t="str">
        <f>IF('Summary | Sumário'!D6=Names!B3,Names!C20,Names!D20)</f>
        <v>2Q24</v>
      </c>
      <c r="X2" s="21" t="str">
        <f>IF('Summary | Sumário'!D6=Names!B3,Names!C21,Names!D21)</f>
        <v>3Q24</v>
      </c>
      <c r="Y2" s="21" t="str">
        <f>IF('Summary | Sumário'!D6=Names!B3,Names!C22,Names!D22)</f>
        <v>4Q24</v>
      </c>
      <c r="Z2" s="21" t="str">
        <f>IF('Summary | Sumário'!D6=Names!B3,Names!C24,Names!D24)</f>
        <v>1Q25</v>
      </c>
      <c r="AA2" s="21" t="str">
        <f>IF('Summary | Sumário'!D6=Names!B3,Names!C25,Names!D25)</f>
        <v>2Q25</v>
      </c>
      <c r="AB2" s="269" t="str">
        <f>IF('Summary | Sumário'!D6=Names!B3,Names!C26,Names!D26)</f>
        <v>3Q25</v>
      </c>
      <c r="AC2" s="321"/>
      <c r="AD2" s="104" t="str">
        <f>IF('Summary | Sumário'!$D$6=Names!$B$3,Names!$I$24,Names!$J$24)</f>
        <v>QoQ Variation</v>
      </c>
      <c r="AE2" s="104" t="str">
        <f>IF('Summary | Sumário'!$D$6=Names!$B$3,Names!$I$25,Names!$J$25)</f>
        <v>YoY Variation</v>
      </c>
      <c r="AF2" s="11"/>
      <c r="AH2" s="12"/>
      <c r="AI2" s="13"/>
    </row>
    <row r="3" spans="2:35" ht="13" customHeight="1">
      <c r="B3" s="47"/>
      <c r="C3" s="152"/>
      <c r="D3" s="152"/>
      <c r="E3" s="152"/>
      <c r="F3" s="152"/>
      <c r="G3" s="152"/>
      <c r="H3" s="152"/>
      <c r="I3" s="127"/>
      <c r="J3" s="152"/>
      <c r="K3" s="152"/>
      <c r="L3" s="152"/>
      <c r="M3" s="152"/>
      <c r="N3" s="152"/>
      <c r="O3" s="152"/>
      <c r="P3" s="152"/>
      <c r="Q3" s="152"/>
      <c r="R3" s="152"/>
      <c r="S3" s="152"/>
      <c r="T3" s="152"/>
      <c r="U3" s="152"/>
      <c r="V3" s="152"/>
      <c r="W3" s="152"/>
      <c r="X3" s="152"/>
      <c r="Y3" s="152"/>
      <c r="Z3" s="127"/>
      <c r="AA3" s="127"/>
      <c r="AB3" s="127"/>
      <c r="AC3" s="127"/>
      <c r="AD3" s="127"/>
      <c r="AE3" s="127"/>
      <c r="AF3" s="127"/>
    </row>
    <row r="4" spans="2:35" ht="13" customHeight="1">
      <c r="B4" s="3" t="str">
        <f>IF('Summary | Sumário'!D$6=Names!B$3,Names!AP3,Names!AQ3)</f>
        <v>Cost-to-serve</v>
      </c>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row>
    <row r="5" spans="2:35" ht="13" customHeight="1">
      <c r="B5" s="288" t="str">
        <f>IF('Summary | Sumário'!D$6=Names!B$3,Names!AP4,Names!AQ4)</f>
        <v>Monthly average of cost-to-serve</v>
      </c>
      <c r="C5" s="289">
        <f>C6/12</f>
        <v>47747.5</v>
      </c>
      <c r="D5" s="289">
        <f t="shared" ref="D5:H5" si="0">D6/12</f>
        <v>76173.5</v>
      </c>
      <c r="E5" s="289">
        <f t="shared" si="0"/>
        <v>141818.19125</v>
      </c>
      <c r="F5" s="289">
        <f t="shared" si="0"/>
        <v>199338.41666666666</v>
      </c>
      <c r="G5" s="289">
        <f t="shared" si="0"/>
        <v>201043.91666666666</v>
      </c>
      <c r="H5" s="289">
        <f t="shared" si="0"/>
        <v>242970.47391666667</v>
      </c>
      <c r="I5" s="179"/>
      <c r="J5" s="289">
        <f>J6/3</f>
        <v>106707.43766666665</v>
      </c>
      <c r="K5" s="289">
        <f t="shared" ref="K5:AB5" si="1">K6/3</f>
        <v>130381.66666666667</v>
      </c>
      <c r="L5" s="289">
        <f t="shared" si="1"/>
        <v>129162.72933333332</v>
      </c>
      <c r="M5" s="289">
        <f t="shared" si="1"/>
        <v>201020.93133333334</v>
      </c>
      <c r="N5" s="289">
        <f t="shared" si="1"/>
        <v>186134.66666666666</v>
      </c>
      <c r="O5" s="289">
        <f t="shared" si="1"/>
        <v>185531.66666666666</v>
      </c>
      <c r="P5" s="289">
        <f t="shared" si="1"/>
        <v>197266</v>
      </c>
      <c r="Q5" s="289">
        <f t="shared" si="1"/>
        <v>228421.33333333334</v>
      </c>
      <c r="R5" s="289">
        <f t="shared" si="1"/>
        <v>198534.66666666666</v>
      </c>
      <c r="S5" s="289">
        <f t="shared" si="1"/>
        <v>191749</v>
      </c>
      <c r="T5" s="289">
        <f t="shared" si="1"/>
        <v>204709.66666666666</v>
      </c>
      <c r="U5" s="289">
        <f t="shared" si="1"/>
        <v>209182.33333333334</v>
      </c>
      <c r="V5" s="289">
        <f t="shared" si="1"/>
        <v>209202.33333333334</v>
      </c>
      <c r="W5" s="289">
        <f t="shared" si="1"/>
        <v>220022.89950666667</v>
      </c>
      <c r="X5" s="289">
        <f t="shared" si="1"/>
        <v>262376.53482666664</v>
      </c>
      <c r="Y5" s="289">
        <f t="shared" si="1"/>
        <v>280280.12800000003</v>
      </c>
      <c r="Z5" s="289">
        <f t="shared" si="1"/>
        <v>276839.26666666666</v>
      </c>
      <c r="AA5" s="289">
        <f t="shared" si="1"/>
        <v>291141.86666666664</v>
      </c>
      <c r="AB5" s="289">
        <f t="shared" si="1"/>
        <v>304371.66666666669</v>
      </c>
      <c r="AC5" s="179"/>
      <c r="AD5" s="348">
        <f>AB5/AA5-1</f>
        <v>4.5441077064835467E-2</v>
      </c>
      <c r="AE5" s="348">
        <f>AB5/X5-1</f>
        <v>0.16005673627690542</v>
      </c>
    </row>
    <row r="6" spans="2:35" ht="13" customHeight="1">
      <c r="B6" s="54" t="str">
        <f>IF('Summary | Sumário'!D$6=Names!B$3,Names!AP5,Names!AQ5)</f>
        <v>Total cost-to-serve</v>
      </c>
      <c r="C6" s="179">
        <f t="shared" ref="C6:H6" si="2">SUM(C7:C9)</f>
        <v>572970</v>
      </c>
      <c r="D6" s="179">
        <f t="shared" si="2"/>
        <v>914082</v>
      </c>
      <c r="E6" s="179">
        <f t="shared" si="2"/>
        <v>1701818.2949999999</v>
      </c>
      <c r="F6" s="179">
        <f t="shared" si="2"/>
        <v>2392061</v>
      </c>
      <c r="G6" s="179">
        <f t="shared" si="2"/>
        <v>2412527</v>
      </c>
      <c r="H6" s="179">
        <f t="shared" si="2"/>
        <v>2915645.6869999999</v>
      </c>
      <c r="I6" s="179"/>
      <c r="J6" s="179">
        <f t="shared" ref="J6:Z6" si="3">SUM(J7:J9)</f>
        <v>320122.31299999997</v>
      </c>
      <c r="K6" s="179">
        <f t="shared" si="3"/>
        <v>391145</v>
      </c>
      <c r="L6" s="179">
        <f t="shared" si="3"/>
        <v>387488.18799999997</v>
      </c>
      <c r="M6" s="179">
        <f t="shared" si="3"/>
        <v>603062.79399999999</v>
      </c>
      <c r="N6" s="179">
        <f t="shared" si="3"/>
        <v>558404</v>
      </c>
      <c r="O6" s="179">
        <f t="shared" si="3"/>
        <v>556595</v>
      </c>
      <c r="P6" s="179">
        <f t="shared" si="3"/>
        <v>591798</v>
      </c>
      <c r="Q6" s="179">
        <f t="shared" si="3"/>
        <v>685264</v>
      </c>
      <c r="R6" s="179">
        <f t="shared" si="3"/>
        <v>595604</v>
      </c>
      <c r="S6" s="179">
        <f t="shared" si="3"/>
        <v>575247</v>
      </c>
      <c r="T6" s="179">
        <f t="shared" si="3"/>
        <v>614129</v>
      </c>
      <c r="U6" s="179">
        <f t="shared" si="3"/>
        <v>627547</v>
      </c>
      <c r="V6" s="179">
        <f t="shared" si="3"/>
        <v>627607</v>
      </c>
      <c r="W6" s="179">
        <f t="shared" si="3"/>
        <v>660068.69851999998</v>
      </c>
      <c r="X6" s="179">
        <f t="shared" si="3"/>
        <v>787129.60447999998</v>
      </c>
      <c r="Y6" s="179">
        <f t="shared" si="3"/>
        <v>840840.38400000008</v>
      </c>
      <c r="Z6" s="179">
        <f t="shared" si="3"/>
        <v>830517.8</v>
      </c>
      <c r="AA6" s="179">
        <f t="shared" ref="AA6:AB6" si="4">SUM(AA7:AA9)</f>
        <v>873425.6</v>
      </c>
      <c r="AB6" s="179">
        <f t="shared" si="4"/>
        <v>913115</v>
      </c>
      <c r="AC6" s="179"/>
      <c r="AD6" s="349">
        <f t="shared" ref="AD6:AD13" si="5">AB6/AA6-1</f>
        <v>4.5441077064835245E-2</v>
      </c>
      <c r="AE6" s="349">
        <f t="shared" ref="AE6:AE13" si="6">AB6/X6-1</f>
        <v>0.1600567362769052</v>
      </c>
    </row>
    <row r="7" spans="2:35" ht="13" customHeight="1">
      <c r="B7" s="67" t="str">
        <f>IF('Summary | Sumário'!D$6=Names!B$3,Names!AP6,Names!AQ6)</f>
        <v>Personnel expenses</v>
      </c>
      <c r="C7" s="174">
        <v>169198</v>
      </c>
      <c r="D7" s="174">
        <v>229096</v>
      </c>
      <c r="E7" s="174">
        <v>443328</v>
      </c>
      <c r="F7" s="174">
        <v>733605</v>
      </c>
      <c r="G7" s="174">
        <v>790739</v>
      </c>
      <c r="H7" s="174">
        <v>937761.13</v>
      </c>
      <c r="I7" s="179"/>
      <c r="J7" s="174">
        <v>81861</v>
      </c>
      <c r="K7" s="174">
        <v>93046</v>
      </c>
      <c r="L7" s="174">
        <v>121250</v>
      </c>
      <c r="M7" s="174">
        <v>147171</v>
      </c>
      <c r="N7" s="174">
        <v>145120</v>
      </c>
      <c r="O7" s="174">
        <v>172466</v>
      </c>
      <c r="P7" s="174">
        <v>176232</v>
      </c>
      <c r="Q7" s="174">
        <v>239787</v>
      </c>
      <c r="R7" s="174">
        <v>172412</v>
      </c>
      <c r="S7" s="174">
        <v>186249</v>
      </c>
      <c r="T7" s="174">
        <v>210661</v>
      </c>
      <c r="U7" s="174">
        <v>221417</v>
      </c>
      <c r="V7" s="174">
        <v>190463</v>
      </c>
      <c r="W7" s="174">
        <v>204206.56551999997</v>
      </c>
      <c r="X7" s="174">
        <v>258954.60447999998</v>
      </c>
      <c r="Y7" s="174">
        <v>284136.96000000008</v>
      </c>
      <c r="Z7" s="174">
        <v>234873.2</v>
      </c>
      <c r="AA7" s="174">
        <v>256765</v>
      </c>
      <c r="AB7" s="174">
        <v>285248</v>
      </c>
      <c r="AC7" s="179"/>
      <c r="AD7" s="350">
        <f t="shared" si="5"/>
        <v>0.11093022802952124</v>
      </c>
      <c r="AE7" s="350">
        <f t="shared" si="6"/>
        <v>0.10153669819001321</v>
      </c>
    </row>
    <row r="8" spans="2:35" ht="13" customHeight="1">
      <c r="B8" s="62" t="str">
        <f>IF('Summary | Sumário'!D$6=Names!B$3,Names!AP7,Names!AQ7)</f>
        <v>Administrative expenses</v>
      </c>
      <c r="C8" s="179">
        <v>386309</v>
      </c>
      <c r="D8" s="179">
        <v>641327</v>
      </c>
      <c r="E8" s="179">
        <v>1164239.7749999999</v>
      </c>
      <c r="F8" s="179">
        <v>1494484</v>
      </c>
      <c r="G8" s="179">
        <v>1461348</v>
      </c>
      <c r="H8" s="179">
        <v>1769055.128</v>
      </c>
      <c r="I8" s="179"/>
      <c r="J8" s="179">
        <v>219095.31299999999</v>
      </c>
      <c r="K8" s="179">
        <v>272761</v>
      </c>
      <c r="L8" s="179">
        <v>235355.18799999999</v>
      </c>
      <c r="M8" s="179">
        <v>437028.27399999998</v>
      </c>
      <c r="N8" s="179">
        <v>376806</v>
      </c>
      <c r="O8" s="179">
        <v>348618</v>
      </c>
      <c r="P8" s="179">
        <v>379946</v>
      </c>
      <c r="Q8" s="179">
        <v>389114</v>
      </c>
      <c r="R8" s="179">
        <v>385615</v>
      </c>
      <c r="S8" s="179">
        <v>347868</v>
      </c>
      <c r="T8" s="179">
        <v>362877</v>
      </c>
      <c r="U8" s="179">
        <v>364988</v>
      </c>
      <c r="V8" s="179">
        <v>395244</v>
      </c>
      <c r="W8" s="179">
        <v>402827.25400000002</v>
      </c>
      <c r="X8" s="179">
        <v>474826</v>
      </c>
      <c r="Y8" s="179">
        <v>496157.87400000007</v>
      </c>
      <c r="Z8" s="179">
        <v>528199.6</v>
      </c>
      <c r="AA8" s="179">
        <v>540029.6</v>
      </c>
      <c r="AB8" s="179">
        <v>543343</v>
      </c>
      <c r="AC8" s="179"/>
      <c r="AD8" s="349">
        <f t="shared" si="5"/>
        <v>6.1355896047179392E-3</v>
      </c>
      <c r="AE8" s="349">
        <f t="shared" si="6"/>
        <v>0.14429917485563126</v>
      </c>
    </row>
    <row r="9" spans="2:35" ht="13" customHeight="1">
      <c r="B9" s="67" t="str">
        <f>IF('Summary | Sumário'!D$6=Names!B$3,Names!AP8,Names!AQ8)</f>
        <v>Depreciation and amortization</v>
      </c>
      <c r="C9" s="174">
        <v>17463</v>
      </c>
      <c r="D9" s="174">
        <v>43659</v>
      </c>
      <c r="E9" s="174">
        <v>94250.52</v>
      </c>
      <c r="F9" s="174">
        <v>163972</v>
      </c>
      <c r="G9" s="174">
        <v>160440</v>
      </c>
      <c r="H9" s="174">
        <v>208829.429</v>
      </c>
      <c r="I9" s="179"/>
      <c r="J9" s="174">
        <v>19166</v>
      </c>
      <c r="K9" s="174">
        <v>25338</v>
      </c>
      <c r="L9" s="174">
        <v>30883</v>
      </c>
      <c r="M9" s="174">
        <v>18863.520000000004</v>
      </c>
      <c r="N9" s="174">
        <v>36478</v>
      </c>
      <c r="O9" s="174">
        <v>35511</v>
      </c>
      <c r="P9" s="174">
        <v>35620</v>
      </c>
      <c r="Q9" s="174">
        <v>56363</v>
      </c>
      <c r="R9" s="174">
        <v>37577</v>
      </c>
      <c r="S9" s="174">
        <v>41130</v>
      </c>
      <c r="T9" s="174">
        <v>40591</v>
      </c>
      <c r="U9" s="174">
        <v>41142</v>
      </c>
      <c r="V9" s="174">
        <v>41900</v>
      </c>
      <c r="W9" s="174">
        <v>53034.879000000001</v>
      </c>
      <c r="X9" s="174">
        <v>53349</v>
      </c>
      <c r="Y9" s="174">
        <v>60545.549999999988</v>
      </c>
      <c r="Z9" s="174">
        <v>67445</v>
      </c>
      <c r="AA9" s="174">
        <v>76631</v>
      </c>
      <c r="AB9" s="174">
        <v>84524</v>
      </c>
      <c r="AC9" s="179"/>
      <c r="AD9" s="350">
        <f t="shared" si="5"/>
        <v>0.10300009134684407</v>
      </c>
      <c r="AE9" s="350">
        <f t="shared" si="6"/>
        <v>0.58435959436915397</v>
      </c>
    </row>
    <row r="10" spans="2:35" ht="13" customHeight="1">
      <c r="B10" s="51" t="str">
        <f>IF('Summary | Sumário'!D$6=Names!B$3,Names!AP10,Names!AQ10)</f>
        <v>(÷) Average active clients</v>
      </c>
      <c r="C10" s="179">
        <f>C11</f>
        <v>2282.6979999999999</v>
      </c>
      <c r="D10" s="179">
        <f>AVERAGE(C11:D11)</f>
        <v>3767.4889999999996</v>
      </c>
      <c r="E10" s="179">
        <f t="shared" ref="E10:H10" si="7">AVERAGE(D11:E11)</f>
        <v>7039.3045000000002</v>
      </c>
      <c r="F10" s="179">
        <f t="shared" si="7"/>
        <v>10705.3665</v>
      </c>
      <c r="G10" s="179">
        <f t="shared" si="7"/>
        <v>14494.899000000001</v>
      </c>
      <c r="H10" s="179">
        <f t="shared" si="7"/>
        <v>18483.565000000002</v>
      </c>
      <c r="I10" s="179"/>
      <c r="J10" s="179">
        <f>AVERAGE(J11,D11)</f>
        <v>5692.4650000000001</v>
      </c>
      <c r="K10" s="179">
        <f>AVERAGE(J11:K11)</f>
        <v>6597.8119999999999</v>
      </c>
      <c r="L10" s="179">
        <f t="shared" ref="L10:AB10" si="8">AVERAGE(K11:L11)</f>
        <v>7514.7129999999997</v>
      </c>
      <c r="M10" s="179">
        <f t="shared" si="8"/>
        <v>8396.3904999999995</v>
      </c>
      <c r="N10" s="179">
        <f t="shared" si="8"/>
        <v>9358.8734999999997</v>
      </c>
      <c r="O10" s="179">
        <f t="shared" si="8"/>
        <v>10303.8135</v>
      </c>
      <c r="P10" s="179">
        <f t="shared" si="8"/>
        <v>11182.7415</v>
      </c>
      <c r="Q10" s="179">
        <f t="shared" si="8"/>
        <v>12116.839</v>
      </c>
      <c r="R10" s="179">
        <f t="shared" si="8"/>
        <v>13062.486000000001</v>
      </c>
      <c r="S10" s="179">
        <f t="shared" si="8"/>
        <v>14017.737499999999</v>
      </c>
      <c r="T10" s="179">
        <f t="shared" si="8"/>
        <v>14984.0635</v>
      </c>
      <c r="U10" s="179">
        <f t="shared" si="8"/>
        <v>15939.307000000001</v>
      </c>
      <c r="V10" s="179">
        <f t="shared" si="8"/>
        <v>16909.548000000003</v>
      </c>
      <c r="W10" s="179">
        <f t="shared" si="8"/>
        <v>17907.845500000003</v>
      </c>
      <c r="X10" s="179">
        <f t="shared" si="8"/>
        <v>18970.246500000001</v>
      </c>
      <c r="Y10" s="179">
        <f t="shared" si="8"/>
        <v>20050.120000000003</v>
      </c>
      <c r="Z10" s="179">
        <f t="shared" si="8"/>
        <v>21070.289000000001</v>
      </c>
      <c r="AA10" s="179">
        <f t="shared" si="8"/>
        <v>22144.881999999998</v>
      </c>
      <c r="AB10" s="179">
        <f t="shared" si="8"/>
        <v>23318.665999999997</v>
      </c>
      <c r="AC10" s="179"/>
      <c r="AD10" s="349">
        <f t="shared" si="5"/>
        <v>5.3004752971815394E-2</v>
      </c>
      <c r="AE10" s="349">
        <f t="shared" si="6"/>
        <v>0.22922314161811208</v>
      </c>
    </row>
    <row r="11" spans="2:35" ht="13" customHeight="1">
      <c r="B11" s="60" t="str">
        <f>IF('Summary | Sumário'!D$6=Names!B$3,Names!AP11,Names!AQ11)</f>
        <v>Active clients</v>
      </c>
      <c r="C11" s="174">
        <v>2282.6979999999999</v>
      </c>
      <c r="D11" s="174">
        <v>5252.28</v>
      </c>
      <c r="E11" s="174">
        <v>8826.3289999999997</v>
      </c>
      <c r="F11" s="174">
        <v>12584.404</v>
      </c>
      <c r="G11" s="174">
        <f>U11</f>
        <v>16405.394</v>
      </c>
      <c r="H11" s="174">
        <f>Y11</f>
        <v>20561.736000000001</v>
      </c>
      <c r="I11" s="179"/>
      <c r="J11" s="174">
        <v>6132.65</v>
      </c>
      <c r="K11" s="174">
        <v>7062.9740000000002</v>
      </c>
      <c r="L11" s="174">
        <v>7966.4520000000002</v>
      </c>
      <c r="M11" s="174">
        <v>8826.3289999999997</v>
      </c>
      <c r="N11" s="174">
        <v>9891.4179999999997</v>
      </c>
      <c r="O11" s="174">
        <v>10716.209000000001</v>
      </c>
      <c r="P11" s="174">
        <v>11649.273999999999</v>
      </c>
      <c r="Q11" s="174">
        <v>12584.404</v>
      </c>
      <c r="R11" s="174">
        <v>13540.567999999999</v>
      </c>
      <c r="S11" s="174">
        <v>14494.906999999999</v>
      </c>
      <c r="T11" s="174">
        <v>15473.22</v>
      </c>
      <c r="U11" s="174">
        <v>16405.394</v>
      </c>
      <c r="V11" s="174">
        <v>17413.702000000001</v>
      </c>
      <c r="W11" s="174">
        <v>18401.989000000001</v>
      </c>
      <c r="X11" s="174">
        <v>19538.504000000001</v>
      </c>
      <c r="Y11" s="174">
        <v>20561.736000000001</v>
      </c>
      <c r="Z11" s="174">
        <v>21578.842000000001</v>
      </c>
      <c r="AA11" s="174">
        <v>22710.921999999999</v>
      </c>
      <c r="AB11" s="174">
        <v>23926.41</v>
      </c>
      <c r="AC11" s="179"/>
      <c r="AD11" s="350">
        <f t="shared" si="5"/>
        <v>5.3519975983361778E-2</v>
      </c>
      <c r="AE11" s="350">
        <f t="shared" si="6"/>
        <v>0.22457737808380829</v>
      </c>
    </row>
    <row r="12" spans="2:35" ht="13" customHeight="1">
      <c r="B12" s="55" t="str">
        <f>IF('Summary | Sumário'!D$6=Names!B$3,Names!AP12,Names!AQ12)</f>
        <v>Active clients in the previous period</v>
      </c>
      <c r="C12" s="179">
        <f>C11</f>
        <v>2282.6979999999999</v>
      </c>
      <c r="D12" s="179">
        <f>C12</f>
        <v>2282.6979999999999</v>
      </c>
      <c r="E12" s="179">
        <f>D11</f>
        <v>5252.28</v>
      </c>
      <c r="F12" s="179">
        <f t="shared" ref="F12:AB12" si="9">E11</f>
        <v>8826.3289999999997</v>
      </c>
      <c r="G12" s="179">
        <f t="shared" si="9"/>
        <v>12584.404</v>
      </c>
      <c r="H12" s="179">
        <f t="shared" si="9"/>
        <v>16405.394</v>
      </c>
      <c r="I12" s="179"/>
      <c r="J12" s="179">
        <f>D11</f>
        <v>5252.28</v>
      </c>
      <c r="K12" s="179">
        <f t="shared" si="9"/>
        <v>6132.65</v>
      </c>
      <c r="L12" s="179">
        <f t="shared" si="9"/>
        <v>7062.9740000000002</v>
      </c>
      <c r="M12" s="179">
        <f t="shared" si="9"/>
        <v>7966.4520000000002</v>
      </c>
      <c r="N12" s="179">
        <f t="shared" si="9"/>
        <v>8826.3289999999997</v>
      </c>
      <c r="O12" s="179">
        <f t="shared" si="9"/>
        <v>9891.4179999999997</v>
      </c>
      <c r="P12" s="179">
        <f t="shared" si="9"/>
        <v>10716.209000000001</v>
      </c>
      <c r="Q12" s="179">
        <f t="shared" si="9"/>
        <v>11649.273999999999</v>
      </c>
      <c r="R12" s="179">
        <f t="shared" si="9"/>
        <v>12584.404</v>
      </c>
      <c r="S12" s="179">
        <f t="shared" si="9"/>
        <v>13540.567999999999</v>
      </c>
      <c r="T12" s="179">
        <f t="shared" si="9"/>
        <v>14494.906999999999</v>
      </c>
      <c r="U12" s="179">
        <f t="shared" si="9"/>
        <v>15473.22</v>
      </c>
      <c r="V12" s="179">
        <f t="shared" si="9"/>
        <v>16405.394</v>
      </c>
      <c r="W12" s="179">
        <f t="shared" si="9"/>
        <v>17413.702000000001</v>
      </c>
      <c r="X12" s="179">
        <f t="shared" si="9"/>
        <v>18401.989000000001</v>
      </c>
      <c r="Y12" s="179">
        <f t="shared" si="9"/>
        <v>19538.504000000001</v>
      </c>
      <c r="Z12" s="179">
        <f t="shared" si="9"/>
        <v>20561.736000000001</v>
      </c>
      <c r="AA12" s="179">
        <f t="shared" si="9"/>
        <v>21578.842000000001</v>
      </c>
      <c r="AB12" s="179">
        <f t="shared" si="9"/>
        <v>22710.921999999999</v>
      </c>
      <c r="AC12" s="179"/>
      <c r="AD12" s="349">
        <f t="shared" si="5"/>
        <v>5.2462500072988139E-2</v>
      </c>
      <c r="AE12" s="349">
        <f t="shared" si="6"/>
        <v>0.2341558295682058</v>
      </c>
    </row>
    <row r="13" spans="2:35" ht="13" customHeight="1">
      <c r="B13" s="286" t="str">
        <f>IF('Summary | Sumário'!D$6=Names!B$3,Names!AP13,Names!AQ13)</f>
        <v>Cost-to-serve (R$)</v>
      </c>
      <c r="C13" s="535">
        <f t="shared" ref="C13:H13" si="10">C5/C10</f>
        <v>20.917134022985081</v>
      </c>
      <c r="D13" s="535">
        <f t="shared" si="10"/>
        <v>20.21863899270841</v>
      </c>
      <c r="E13" s="535">
        <f t="shared" si="10"/>
        <v>20.146619776144078</v>
      </c>
      <c r="F13" s="535">
        <f t="shared" si="10"/>
        <v>18.620419643425254</v>
      </c>
      <c r="G13" s="535">
        <f t="shared" si="10"/>
        <v>13.869977063425322</v>
      </c>
      <c r="H13" s="535">
        <f t="shared" si="10"/>
        <v>13.145217057243375</v>
      </c>
      <c r="I13" s="328"/>
      <c r="J13" s="535">
        <f t="shared" ref="J13:Z13" si="11">J5/J10</f>
        <v>18.745383180514356</v>
      </c>
      <c r="K13" s="535">
        <f t="shared" si="11"/>
        <v>19.761349166461045</v>
      </c>
      <c r="L13" s="535">
        <f t="shared" si="11"/>
        <v>17.187979013081847</v>
      </c>
      <c r="M13" s="535">
        <f t="shared" si="11"/>
        <v>23.941350909457267</v>
      </c>
      <c r="N13" s="535">
        <f t="shared" si="11"/>
        <v>19.888575977297553</v>
      </c>
      <c r="O13" s="535">
        <f t="shared" si="11"/>
        <v>18.006116537985346</v>
      </c>
      <c r="P13" s="535">
        <f t="shared" si="11"/>
        <v>17.640218187999785</v>
      </c>
      <c r="Q13" s="535">
        <f t="shared" si="11"/>
        <v>18.851561313419559</v>
      </c>
      <c r="R13" s="535">
        <f t="shared" si="11"/>
        <v>15.198842445968298</v>
      </c>
      <c r="S13" s="535">
        <f t="shared" si="11"/>
        <v>13.67902630506528</v>
      </c>
      <c r="T13" s="535">
        <f t="shared" si="11"/>
        <v>13.661825890331194</v>
      </c>
      <c r="U13" s="535">
        <f t="shared" si="11"/>
        <v>13.123678045308578</v>
      </c>
      <c r="V13" s="535">
        <f t="shared" si="11"/>
        <v>12.371846564635158</v>
      </c>
      <c r="W13" s="535">
        <f t="shared" si="11"/>
        <v>12.286397015579938</v>
      </c>
      <c r="X13" s="535">
        <f t="shared" si="11"/>
        <v>13.830950210724284</v>
      </c>
      <c r="Y13" s="535">
        <f t="shared" si="11"/>
        <v>13.978975088428397</v>
      </c>
      <c r="Z13" s="535">
        <f t="shared" si="11"/>
        <v>13.138845255832354</v>
      </c>
      <c r="AA13" s="535">
        <f t="shared" ref="AA13:AB13" si="12">AA5/AA10</f>
        <v>13.147140123242322</v>
      </c>
      <c r="AB13" s="535">
        <f t="shared" si="12"/>
        <v>13.052704930319202</v>
      </c>
      <c r="AC13" s="328"/>
      <c r="AD13" s="315">
        <f t="shared" si="5"/>
        <v>-7.1829456473330167E-3</v>
      </c>
      <c r="AE13" s="315">
        <f t="shared" si="6"/>
        <v>-5.6268388545108405E-2</v>
      </c>
    </row>
    <row r="14" spans="2:35" ht="13" customHeight="1">
      <c r="B14" s="63"/>
    </row>
    <row r="15" spans="2:35" ht="13" customHeight="1">
      <c r="B15" s="70"/>
      <c r="C15" s="182"/>
      <c r="D15" s="182"/>
      <c r="E15" s="182"/>
      <c r="F15" s="182"/>
      <c r="G15" s="182"/>
      <c r="H15" s="182"/>
      <c r="J15" s="182"/>
      <c r="K15" s="182"/>
      <c r="L15" s="182"/>
      <c r="M15" s="182"/>
      <c r="N15" s="182"/>
      <c r="O15" s="182"/>
      <c r="P15" s="182"/>
      <c r="Q15" s="182"/>
      <c r="R15" s="182"/>
      <c r="S15" s="182"/>
      <c r="T15" s="182"/>
      <c r="U15" s="182"/>
      <c r="V15" s="182"/>
      <c r="W15" s="182"/>
      <c r="X15" s="182"/>
      <c r="Y15" s="182"/>
    </row>
    <row r="16" spans="2:35" ht="13" customHeight="1">
      <c r="B16" s="71"/>
      <c r="C16" s="183"/>
      <c r="D16" s="183"/>
      <c r="E16" s="183"/>
      <c r="F16" s="183"/>
      <c r="G16" s="183"/>
      <c r="H16" s="183"/>
      <c r="J16" s="183"/>
      <c r="K16" s="183"/>
      <c r="L16" s="183"/>
      <c r="M16" s="183"/>
      <c r="N16" s="183"/>
      <c r="O16" s="183"/>
      <c r="P16" s="183"/>
      <c r="Q16" s="183"/>
      <c r="R16" s="183"/>
      <c r="S16" s="183"/>
      <c r="T16" s="183"/>
      <c r="U16" s="183"/>
      <c r="V16" s="183"/>
      <c r="W16" s="183"/>
      <c r="X16" s="183"/>
      <c r="Y16" s="183"/>
    </row>
    <row r="17" spans="1:36" ht="13" customHeight="1">
      <c r="B17" s="72"/>
      <c r="C17" s="179"/>
      <c r="D17" s="179"/>
      <c r="E17" s="179"/>
      <c r="F17" s="179"/>
      <c r="G17" s="179"/>
      <c r="H17" s="179"/>
      <c r="J17" s="179"/>
      <c r="K17" s="179"/>
      <c r="L17" s="179"/>
      <c r="M17" s="179"/>
      <c r="N17" s="179"/>
      <c r="O17" s="179"/>
      <c r="P17" s="179"/>
      <c r="Q17" s="179"/>
      <c r="R17" s="179"/>
      <c r="S17" s="179"/>
      <c r="T17" s="179"/>
      <c r="U17" s="179"/>
      <c r="V17" s="179"/>
      <c r="W17" s="179"/>
      <c r="X17" s="179"/>
      <c r="Y17" s="179"/>
    </row>
    <row r="18" spans="1:36" ht="13" customHeight="1">
      <c r="B18" s="62"/>
      <c r="C18" s="175"/>
      <c r="D18" s="175"/>
      <c r="E18" s="175"/>
      <c r="F18" s="175"/>
      <c r="G18" s="175"/>
      <c r="H18" s="175"/>
      <c r="J18" s="175"/>
      <c r="K18" s="175"/>
      <c r="L18" s="175"/>
      <c r="M18" s="175"/>
      <c r="N18" s="175"/>
      <c r="O18" s="175"/>
      <c r="P18" s="175"/>
      <c r="Q18" s="175"/>
      <c r="R18" s="175"/>
      <c r="S18" s="175"/>
      <c r="T18" s="175"/>
      <c r="U18" s="175"/>
      <c r="V18" s="175"/>
      <c r="W18" s="175"/>
      <c r="X18" s="175"/>
      <c r="Y18" s="175"/>
    </row>
    <row r="19" spans="1:36" ht="13" customHeight="1">
      <c r="B19" s="62"/>
      <c r="C19" s="175"/>
      <c r="D19" s="175"/>
      <c r="E19" s="175"/>
      <c r="F19" s="175"/>
      <c r="G19" s="175"/>
      <c r="H19" s="175"/>
      <c r="J19" s="175"/>
      <c r="K19" s="175"/>
      <c r="L19" s="175"/>
      <c r="M19" s="175"/>
      <c r="N19" s="175"/>
      <c r="O19" s="175"/>
      <c r="P19" s="175"/>
      <c r="Q19" s="175"/>
      <c r="R19" s="175"/>
      <c r="S19" s="175"/>
      <c r="T19" s="175"/>
      <c r="U19" s="175"/>
      <c r="V19" s="175"/>
      <c r="W19" s="175"/>
      <c r="X19" s="175"/>
      <c r="Y19" s="175"/>
    </row>
    <row r="20" spans="1:36" ht="13" customHeight="1">
      <c r="B20" s="62"/>
      <c r="C20" s="175"/>
      <c r="D20" s="175"/>
      <c r="E20" s="175"/>
      <c r="F20" s="175"/>
      <c r="G20" s="175"/>
      <c r="H20" s="175"/>
      <c r="J20" s="175"/>
      <c r="K20" s="175"/>
      <c r="L20" s="175"/>
      <c r="M20" s="175"/>
      <c r="N20" s="175"/>
      <c r="O20" s="175"/>
      <c r="P20" s="175"/>
      <c r="Q20" s="175"/>
      <c r="R20" s="175"/>
      <c r="S20" s="175"/>
      <c r="T20" s="175"/>
      <c r="U20" s="175"/>
      <c r="V20" s="175"/>
      <c r="W20" s="175"/>
      <c r="X20" s="175"/>
      <c r="Y20" s="175"/>
    </row>
    <row r="21" spans="1:36" ht="13" customHeight="1">
      <c r="B21" s="73"/>
      <c r="C21" s="184"/>
      <c r="D21" s="184"/>
      <c r="E21" s="184"/>
      <c r="F21" s="184"/>
      <c r="G21" s="184"/>
      <c r="H21" s="184"/>
      <c r="J21" s="184"/>
      <c r="K21" s="184"/>
      <c r="L21" s="184"/>
      <c r="M21" s="184"/>
      <c r="N21" s="184"/>
      <c r="O21" s="184"/>
      <c r="P21" s="184"/>
      <c r="Q21" s="184"/>
      <c r="R21" s="184"/>
      <c r="S21" s="184"/>
      <c r="T21" s="184"/>
      <c r="U21" s="184"/>
      <c r="V21" s="184"/>
      <c r="W21" s="184"/>
      <c r="X21" s="184"/>
      <c r="Y21" s="184"/>
    </row>
    <row r="22" spans="1:36" ht="13" customHeight="1">
      <c r="B22" s="64"/>
      <c r="C22" s="175"/>
      <c r="D22" s="175"/>
      <c r="E22" s="175"/>
      <c r="F22" s="175"/>
      <c r="G22" s="175"/>
      <c r="H22" s="175"/>
      <c r="J22" s="175"/>
      <c r="K22" s="175"/>
      <c r="L22" s="175"/>
      <c r="M22" s="175"/>
      <c r="N22" s="175"/>
      <c r="O22" s="175"/>
      <c r="P22" s="175"/>
      <c r="Q22" s="175"/>
      <c r="R22" s="175"/>
      <c r="S22" s="175"/>
      <c r="T22" s="175"/>
      <c r="U22" s="175"/>
      <c r="V22" s="175"/>
      <c r="W22" s="175"/>
      <c r="X22" s="175"/>
      <c r="Y22" s="175"/>
    </row>
    <row r="23" spans="1:36" ht="13" customHeight="1">
      <c r="B23" s="62"/>
      <c r="C23" s="175"/>
      <c r="D23" s="175"/>
      <c r="E23" s="175"/>
      <c r="F23" s="175"/>
      <c r="G23" s="175"/>
      <c r="H23" s="175"/>
      <c r="J23" s="175"/>
      <c r="K23" s="175"/>
      <c r="L23" s="175"/>
      <c r="M23" s="175"/>
      <c r="N23" s="175"/>
      <c r="O23" s="175"/>
      <c r="P23" s="175"/>
      <c r="Q23" s="175"/>
      <c r="R23" s="175"/>
      <c r="S23" s="175"/>
      <c r="T23" s="175"/>
      <c r="U23" s="175"/>
      <c r="V23" s="175"/>
      <c r="W23" s="175"/>
      <c r="X23" s="175"/>
      <c r="Y23" s="175"/>
    </row>
    <row r="24" spans="1:36" ht="13" customHeight="1">
      <c r="B24" s="62"/>
      <c r="C24" s="175"/>
      <c r="D24" s="175"/>
      <c r="E24" s="175"/>
      <c r="F24" s="175"/>
      <c r="G24" s="175"/>
      <c r="H24" s="175"/>
      <c r="J24" s="175"/>
      <c r="K24" s="175"/>
      <c r="L24" s="175"/>
      <c r="M24" s="175"/>
      <c r="N24" s="175"/>
      <c r="O24" s="175"/>
      <c r="P24" s="175"/>
      <c r="Q24" s="175"/>
      <c r="R24" s="175"/>
      <c r="S24" s="175"/>
      <c r="T24" s="175"/>
      <c r="U24" s="175"/>
      <c r="V24" s="175"/>
      <c r="W24" s="175"/>
      <c r="X24" s="175"/>
      <c r="Y24" s="175"/>
    </row>
    <row r="25" spans="1:36" ht="13" customHeight="1">
      <c r="B25" s="65"/>
      <c r="C25" s="175"/>
      <c r="D25" s="175"/>
      <c r="E25" s="175"/>
      <c r="F25" s="175"/>
      <c r="G25" s="175"/>
      <c r="H25" s="175"/>
      <c r="J25" s="175"/>
      <c r="K25" s="175"/>
      <c r="L25" s="175"/>
      <c r="M25" s="175"/>
      <c r="N25" s="175"/>
      <c r="O25" s="175"/>
      <c r="P25" s="175"/>
      <c r="Q25" s="175"/>
      <c r="R25" s="175"/>
      <c r="S25" s="175"/>
      <c r="T25" s="175"/>
      <c r="U25" s="175"/>
      <c r="V25" s="175"/>
      <c r="W25" s="175"/>
      <c r="X25" s="175"/>
      <c r="Y25" s="175"/>
    </row>
    <row r="26" spans="1:36" ht="13" customHeight="1">
      <c r="B26" s="66"/>
      <c r="C26" s="175"/>
      <c r="D26" s="175"/>
      <c r="E26" s="175"/>
      <c r="F26" s="175"/>
      <c r="G26" s="175"/>
      <c r="H26" s="175"/>
      <c r="J26" s="175"/>
      <c r="K26" s="175"/>
      <c r="L26" s="175"/>
      <c r="M26" s="175"/>
      <c r="N26" s="175"/>
      <c r="O26" s="175"/>
      <c r="P26" s="175"/>
      <c r="Q26" s="175"/>
      <c r="R26" s="175"/>
      <c r="S26" s="175"/>
      <c r="T26" s="175"/>
      <c r="U26" s="175"/>
      <c r="V26" s="175"/>
      <c r="W26" s="175"/>
      <c r="X26" s="175"/>
      <c r="Y26" s="175"/>
    </row>
    <row r="27" spans="1:36" ht="13" customHeight="1">
      <c r="B27" s="66"/>
      <c r="C27" s="175"/>
      <c r="D27" s="175"/>
      <c r="E27" s="175"/>
      <c r="F27" s="175"/>
      <c r="G27" s="175"/>
      <c r="H27" s="175"/>
      <c r="J27" s="175"/>
      <c r="K27" s="175"/>
      <c r="L27" s="175"/>
      <c r="M27" s="175"/>
      <c r="N27" s="175"/>
      <c r="O27" s="175"/>
      <c r="P27" s="175"/>
      <c r="Q27" s="175"/>
      <c r="R27" s="175"/>
      <c r="S27" s="175"/>
      <c r="T27" s="175"/>
      <c r="U27" s="175"/>
      <c r="V27" s="175"/>
      <c r="W27" s="175"/>
      <c r="X27" s="175"/>
      <c r="Y27" s="175"/>
    </row>
    <row r="28" spans="1:36" ht="13" customHeight="1">
      <c r="B28" s="64"/>
      <c r="C28" s="175"/>
      <c r="D28" s="175"/>
      <c r="E28" s="175"/>
      <c r="F28" s="175"/>
      <c r="G28" s="175"/>
      <c r="H28" s="175"/>
      <c r="J28" s="175"/>
      <c r="K28" s="175"/>
      <c r="L28" s="175"/>
      <c r="M28" s="175"/>
      <c r="N28" s="175"/>
      <c r="O28" s="175"/>
      <c r="P28" s="175"/>
      <c r="Q28" s="175"/>
      <c r="R28" s="175"/>
      <c r="S28" s="175"/>
      <c r="T28" s="175"/>
      <c r="U28" s="175"/>
      <c r="V28" s="175"/>
      <c r="W28" s="175"/>
      <c r="X28" s="175"/>
      <c r="Y28" s="175"/>
    </row>
    <row r="29" spans="1:36" ht="13" customHeight="1">
      <c r="B29" s="15"/>
    </row>
    <row r="31" spans="1:36" s="117" customFormat="1" ht="13" customHeight="1">
      <c r="A31" s="116"/>
      <c r="B31" s="4"/>
      <c r="I31" s="116"/>
      <c r="Z31" s="116"/>
      <c r="AA31" s="116"/>
      <c r="AB31" s="116"/>
      <c r="AC31" s="116"/>
      <c r="AD31" s="116"/>
      <c r="AE31" s="116"/>
      <c r="AF31" s="116"/>
      <c r="AG31" s="116"/>
      <c r="AH31" s="116"/>
      <c r="AI31" s="116"/>
      <c r="AJ31" s="116"/>
    </row>
  </sheetData>
  <sheetProtection algorithmName="SHA-512" hashValue="Ha5xmIhzoCnNjcSaiz91usiQPNtyc/w1bHJryruTP759JiqxT9hBmtRG86yYyfccKQ5oyR6IIrOwbyU14c9fpg==" saltValue="vyQf+BTLSh6gxteooHUtyA=="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3DBEC-523B-254E-9636-2CD8A7BD5EF5}">
  <sheetPr codeName="Sheet18">
    <tabColor rgb="FFF7CAB0"/>
  </sheetPr>
  <dimension ref="A1:AJ58"/>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8" width="10.83203125" style="117" customWidth="1"/>
    <col min="9" max="9" width="3.83203125" style="117" customWidth="1"/>
    <col min="10" max="28" width="10.83203125" style="117" customWidth="1"/>
    <col min="29" max="29" width="5.83203125" style="117" customWidth="1"/>
    <col min="30" max="31" width="10.83203125" style="117" customWidth="1"/>
    <col min="32" max="33" width="10.83203125" style="116"/>
    <col min="34" max="34" width="21.1640625" style="116" bestFit="1" customWidth="1"/>
    <col min="35" max="16384" width="10.83203125" style="116"/>
  </cols>
  <sheetData>
    <row r="1" spans="1:35" ht="13" customHeight="1">
      <c r="AF1" s="117"/>
    </row>
    <row r="2" spans="1:35" s="10" customFormat="1" ht="13" customHeight="1">
      <c r="B2" s="267" t="str">
        <f>IF('Summary | Sumário'!D$6=Names!B$3,Names!AR1,Names!AS1)</f>
        <v>Monthly ARPAC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322"/>
      <c r="J2" s="20" t="str">
        <f>IF('Summary | Sumário'!D6=Names!B3,Names!C6,Names!D6)</f>
        <v>1Q21</v>
      </c>
      <c r="K2" s="21" t="str">
        <f>IF('Summary | Sumário'!D6=Names!B3,Names!C7,Names!D7)</f>
        <v>2Q21</v>
      </c>
      <c r="L2" s="21" t="str">
        <f>IF('Summary | Sumário'!D6=Names!B3,Names!C8,Names!D8)</f>
        <v>3Q21</v>
      </c>
      <c r="M2" s="21" t="str">
        <f>IF('Summary | Sumário'!D6=Names!B3,Names!C9,Names!D9)</f>
        <v>4Q21</v>
      </c>
      <c r="N2" s="21" t="str">
        <f>IF('Summary | Sumário'!D6=Names!B3,Names!C10,Names!D10)</f>
        <v>1Q22</v>
      </c>
      <c r="O2" s="21" t="str">
        <f>IF('Summary | Sumário'!D6=Names!B3,Names!C11,Names!D11)</f>
        <v>2Q22</v>
      </c>
      <c r="P2" s="21" t="str">
        <f>IF('Summary | Sumário'!D6=Names!B3,Names!C12,Names!D12)</f>
        <v>3Q22</v>
      </c>
      <c r="Q2" s="21" t="str">
        <f>IF('Summary | Sumário'!D6=Names!B3,Names!C13,Names!D13)</f>
        <v>4Q22</v>
      </c>
      <c r="R2" s="21" t="str">
        <f>IF('Summary | Sumário'!D6=Names!B3,Names!C14,Names!D14)</f>
        <v>1Q23</v>
      </c>
      <c r="S2" s="21" t="str">
        <f>IF('Summary | Sumário'!D6=Names!B3,Names!C15,Names!D15)</f>
        <v>2Q23</v>
      </c>
      <c r="T2" s="21" t="str">
        <f>IF('Summary | Sumário'!D6=Names!B3,Names!C16,Names!D16)</f>
        <v>3Q23</v>
      </c>
      <c r="U2" s="21" t="str">
        <f>IF('Summary | Sumário'!D6=Names!B3,Names!C17,Names!D17)</f>
        <v>4Q23</v>
      </c>
      <c r="V2" s="21" t="str">
        <f>IF('Summary | Sumário'!D6=Names!B3,Names!C19,Names!D19)</f>
        <v>1Q24</v>
      </c>
      <c r="W2" s="21" t="str">
        <f>IF('Summary | Sumário'!D6=Names!B3,Names!C20,Names!D20)</f>
        <v>2Q24</v>
      </c>
      <c r="X2" s="21" t="str">
        <f>IF('Summary | Sumário'!D6=Names!B3,Names!C21,Names!D21)</f>
        <v>3Q24</v>
      </c>
      <c r="Y2" s="21" t="str">
        <f>IF('Summary | Sumário'!D6=Names!B3,Names!C22,Names!D22)</f>
        <v>4Q24</v>
      </c>
      <c r="Z2" s="21" t="str">
        <f>IF('Summary | Sumário'!D6=Names!B3,Names!C24,Names!D24)</f>
        <v>1Q25</v>
      </c>
      <c r="AA2" s="21" t="str">
        <f>IF('Summary | Sumário'!D6=Names!B3,Names!C25,Names!D25)</f>
        <v>2Q25</v>
      </c>
      <c r="AB2" s="269" t="str">
        <f>IF('Summary | Sumário'!D6=Names!B3,Names!C26,Names!D26)</f>
        <v>3Q25</v>
      </c>
      <c r="AC2" s="321"/>
      <c r="AD2" s="104" t="str">
        <f>IF('Summary | Sumário'!$D$6=Names!$B$3,Names!$I$24,Names!$J$24)</f>
        <v>QoQ Variation</v>
      </c>
      <c r="AE2" s="104" t="str">
        <f>IF('Summary | Sumário'!$D$6=Names!$B$3,Names!$I$25,Names!$J$25)</f>
        <v>YoY Variation</v>
      </c>
      <c r="AF2" s="11"/>
      <c r="AH2" s="12"/>
      <c r="AI2" s="13"/>
    </row>
    <row r="3" spans="1:35" ht="13" customHeight="1">
      <c r="B3" s="47"/>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27"/>
    </row>
    <row r="4" spans="1:35" ht="13" customHeight="1">
      <c r="B4" s="5" t="str">
        <f>IF('Summary | Sumário'!D$6=Names!B$3,Names!AR3,Names!AS3)</f>
        <v>ARPAC (gross of cost of funding)</v>
      </c>
      <c r="C4" s="173"/>
      <c r="D4" s="173"/>
      <c r="E4" s="173"/>
      <c r="F4" s="173"/>
      <c r="G4" s="173"/>
      <c r="H4" s="173"/>
      <c r="I4" s="182"/>
      <c r="J4" s="173"/>
      <c r="K4" s="173"/>
      <c r="L4" s="173"/>
      <c r="M4" s="173"/>
      <c r="N4" s="173"/>
      <c r="O4" s="173"/>
      <c r="P4" s="173"/>
      <c r="Q4" s="173"/>
      <c r="R4" s="173"/>
      <c r="S4" s="173"/>
      <c r="T4" s="173"/>
      <c r="U4" s="173"/>
      <c r="V4" s="173"/>
      <c r="W4" s="173"/>
      <c r="X4" s="173"/>
      <c r="Y4" s="173"/>
      <c r="Z4" s="173"/>
      <c r="AA4" s="182"/>
      <c r="AB4" s="182"/>
      <c r="AC4" s="182"/>
      <c r="AD4" s="173"/>
      <c r="AE4" s="173"/>
    </row>
    <row r="5" spans="1:35" ht="13" customHeight="1">
      <c r="B5" s="74" t="str">
        <f>IF('Summary | Sumário'!D$6=Names!B$3,Names!AR4,Names!AS4)</f>
        <v>Monthly average of total gross revenues</v>
      </c>
      <c r="C5" s="174">
        <f>C6/12</f>
        <v>85464</v>
      </c>
      <c r="D5" s="174">
        <f t="shared" ref="D5:H5" si="0">D6/12</f>
        <v>110608.40793166666</v>
      </c>
      <c r="E5" s="174">
        <f t="shared" si="0"/>
        <v>259726.99266666666</v>
      </c>
      <c r="F5" s="174">
        <f t="shared" si="0"/>
        <v>498851.51541666669</v>
      </c>
      <c r="G5" s="174">
        <f t="shared" si="0"/>
        <v>673232.08333333337</v>
      </c>
      <c r="H5" s="174">
        <f t="shared" si="0"/>
        <v>861835.84259116091</v>
      </c>
      <c r="I5" s="179"/>
      <c r="J5" s="174">
        <f>J6/3</f>
        <v>181362.33299999998</v>
      </c>
      <c r="K5" s="174">
        <f t="shared" ref="K5" si="1">K6/3</f>
        <v>211899.78233333337</v>
      </c>
      <c r="L5" s="174">
        <f t="shared" ref="L5" si="2">L6/3</f>
        <v>279111.62666666665</v>
      </c>
      <c r="M5" s="174">
        <f t="shared" ref="M5" si="3">M6/3</f>
        <v>366534.22866666666</v>
      </c>
      <c r="N5" s="174">
        <f t="shared" ref="N5" si="4">N6/3</f>
        <v>427116.67166666663</v>
      </c>
      <c r="O5" s="174">
        <f t="shared" ref="O5" si="5">O6/3</f>
        <v>487088.43700000009</v>
      </c>
      <c r="P5" s="174">
        <f t="shared" ref="P5" si="6">P6/3</f>
        <v>513268.489</v>
      </c>
      <c r="Q5" s="174">
        <f t="shared" ref="Q5" si="7">Q6/3</f>
        <v>567932.46400000004</v>
      </c>
      <c r="R5" s="174">
        <f t="shared" ref="R5" si="8">R6/3</f>
        <v>599943.70799999998</v>
      </c>
      <c r="S5" s="174">
        <f t="shared" ref="S5" si="9">S6/3</f>
        <v>646180.66666666663</v>
      </c>
      <c r="T5" s="174">
        <f t="shared" ref="T5" si="10">T6/3</f>
        <v>714488.53607999999</v>
      </c>
      <c r="U5" s="174">
        <f t="shared" ref="U5" si="11">U6/3</f>
        <v>732315.28925333347</v>
      </c>
      <c r="V5" s="174">
        <f t="shared" ref="V5" si="12">V6/3</f>
        <v>763558.61658005824</v>
      </c>
      <c r="W5" s="174">
        <f t="shared" ref="W5" si="13">W6/3</f>
        <v>801286.33217417682</v>
      </c>
      <c r="X5" s="174">
        <f t="shared" ref="X5" si="14">X6/3</f>
        <v>894725.203004524</v>
      </c>
      <c r="Y5" s="174">
        <f t="shared" ref="Y5" si="15">Y6/3</f>
        <v>987773.21860588517</v>
      </c>
      <c r="Z5" s="174">
        <f t="shared" ref="Z5:AB5" si="16">Z6/3</f>
        <v>1053909.2333333332</v>
      </c>
      <c r="AA5" s="663">
        <f t="shared" si="16"/>
        <v>1188982.4666666666</v>
      </c>
      <c r="AB5" s="663">
        <f t="shared" si="16"/>
        <v>1325543.3333333333</v>
      </c>
      <c r="AC5" s="179"/>
      <c r="AD5" s="350">
        <f>AB5/AA5-1</f>
        <v>0.11485524008568238</v>
      </c>
      <c r="AE5" s="350">
        <f>AB5/X5-1</f>
        <v>0.48150887991318925</v>
      </c>
    </row>
    <row r="6" spans="1:35" ht="13" customHeight="1">
      <c r="B6" s="54" t="str">
        <f>IF('Summary | Sumário'!D$6=Names!B$3,Names!AR5,Names!AS5)</f>
        <v>Total gross revenues</v>
      </c>
      <c r="C6" s="179">
        <f t="shared" ref="C6:G6" si="17">SUM(C7:C12)</f>
        <v>1025568</v>
      </c>
      <c r="D6" s="179">
        <f t="shared" si="17"/>
        <v>1327300.89518</v>
      </c>
      <c r="E6" s="179">
        <f t="shared" si="17"/>
        <v>3116723.912</v>
      </c>
      <c r="F6" s="179">
        <f t="shared" si="17"/>
        <v>5986218.1850000005</v>
      </c>
      <c r="G6" s="179">
        <f t="shared" si="17"/>
        <v>8078785</v>
      </c>
      <c r="H6" s="179">
        <f>SUM(H7:H12)</f>
        <v>10342030.111093931</v>
      </c>
      <c r="I6" s="179"/>
      <c r="J6" s="179">
        <f t="shared" ref="J6" si="18">SUM(J7:J11)</f>
        <v>544086.99899999995</v>
      </c>
      <c r="K6" s="179">
        <f t="shared" ref="K6:Y6" si="19">SUM(K7:K12)</f>
        <v>635699.34700000007</v>
      </c>
      <c r="L6" s="179">
        <f t="shared" si="19"/>
        <v>837334.88</v>
      </c>
      <c r="M6" s="179">
        <f t="shared" si="19"/>
        <v>1099602.686</v>
      </c>
      <c r="N6" s="179">
        <f t="shared" si="19"/>
        <v>1281350.0149999999</v>
      </c>
      <c r="O6" s="179">
        <f t="shared" si="19"/>
        <v>1461265.3110000002</v>
      </c>
      <c r="P6" s="179">
        <f t="shared" si="19"/>
        <v>1539805.4669999999</v>
      </c>
      <c r="Q6" s="179">
        <f t="shared" si="19"/>
        <v>1703797.392</v>
      </c>
      <c r="R6" s="179">
        <f t="shared" si="19"/>
        <v>1799831.1240000001</v>
      </c>
      <c r="S6" s="179">
        <f t="shared" si="19"/>
        <v>1938542</v>
      </c>
      <c r="T6" s="179">
        <f t="shared" si="19"/>
        <v>2143465.60824</v>
      </c>
      <c r="U6" s="179">
        <f t="shared" si="19"/>
        <v>2196945.8677600003</v>
      </c>
      <c r="V6" s="179">
        <f t="shared" si="19"/>
        <v>2290675.8497401746</v>
      </c>
      <c r="W6" s="179">
        <f t="shared" si="19"/>
        <v>2403858.9965225304</v>
      </c>
      <c r="X6" s="179">
        <f t="shared" si="19"/>
        <v>2684175.6090135719</v>
      </c>
      <c r="Y6" s="179">
        <f t="shared" si="19"/>
        <v>2963319.6558176554</v>
      </c>
      <c r="Z6" s="179">
        <f>SUM(Z7:Z12)</f>
        <v>3161727.6999999997</v>
      </c>
      <c r="AA6" s="179">
        <f>SUM(AA7:AA12)</f>
        <v>3566947.4</v>
      </c>
      <c r="AB6" s="179">
        <f>SUM(AB7:AB12)</f>
        <v>3976630</v>
      </c>
      <c r="AC6" s="179"/>
      <c r="AD6" s="349">
        <f t="shared" ref="AD6:AD16" si="20">AB6/AA6-1</f>
        <v>0.11485524008568215</v>
      </c>
      <c r="AE6" s="349">
        <f t="shared" ref="AE6:AE16" si="21">AB6/X6-1</f>
        <v>0.48150887991318947</v>
      </c>
    </row>
    <row r="7" spans="1:35" ht="13" customHeight="1">
      <c r="B7" s="67" t="str">
        <f>IF('Summary | Sumário'!D$6=Names!B$3,Names!AR6,Names!AS6)</f>
        <v>Interest income</v>
      </c>
      <c r="C7" s="174">
        <f>'6. NII'!C5</f>
        <v>775515</v>
      </c>
      <c r="D7" s="174">
        <f>'6. NII'!D5</f>
        <v>942655.89517999999</v>
      </c>
      <c r="E7" s="174">
        <f>'6. NII'!E5</f>
        <v>1435427.246</v>
      </c>
      <c r="F7" s="174">
        <f>'6. NII'!F5</f>
        <v>2802658.0819999999</v>
      </c>
      <c r="G7" s="174">
        <f>'6. NII'!G5</f>
        <v>4549827</v>
      </c>
      <c r="H7" s="174">
        <f>'6. NII'!H5</f>
        <v>5139213.5399445314</v>
      </c>
      <c r="I7" s="179"/>
      <c r="J7" s="174">
        <f>'6. NII'!J5</f>
        <v>289003.935</v>
      </c>
      <c r="K7" s="174">
        <f>'6. NII'!K5</f>
        <v>305659.75100000005</v>
      </c>
      <c r="L7" s="174">
        <f>'6. NII'!L5</f>
        <v>367405.88</v>
      </c>
      <c r="M7" s="174">
        <f>'6. NII'!M5</f>
        <v>473357.68</v>
      </c>
      <c r="N7" s="174">
        <f>'6. NII'!N5</f>
        <v>521159.63199999993</v>
      </c>
      <c r="O7" s="174">
        <f>'6. NII'!O5</f>
        <v>622312.6370000001</v>
      </c>
      <c r="P7" s="174">
        <f>'6. NII'!P5</f>
        <v>788342.73100000003</v>
      </c>
      <c r="Q7" s="174">
        <f>'6. NII'!Q5</f>
        <v>870843.08199999994</v>
      </c>
      <c r="R7" s="174">
        <f>'6. NII'!R5</f>
        <v>1012926.822</v>
      </c>
      <c r="S7" s="174">
        <f>'6. NII'!S5</f>
        <v>1151105</v>
      </c>
      <c r="T7" s="174">
        <f>'6. NII'!T5</f>
        <v>1106935.08874</v>
      </c>
      <c r="U7" s="174">
        <f>'6. NII'!U5</f>
        <v>1278860.08926</v>
      </c>
      <c r="V7" s="174">
        <f>'6. NII'!V5</f>
        <v>1217530.9999999998</v>
      </c>
      <c r="W7" s="174">
        <f>'6. NII'!W5</f>
        <v>1172415.139</v>
      </c>
      <c r="X7" s="174">
        <f>'6. NII'!X5</f>
        <v>1412226.140133633</v>
      </c>
      <c r="Y7" s="174">
        <f>'6. NII'!Y5</f>
        <v>1337041.2608108988</v>
      </c>
      <c r="Z7" s="174">
        <f>'6. NII'!Z5</f>
        <v>1806870</v>
      </c>
      <c r="AA7" s="174">
        <f>'6. NII'!AA5</f>
        <v>2128214</v>
      </c>
      <c r="AB7" s="174">
        <f>'6. NII'!AB5</f>
        <v>2226423</v>
      </c>
      <c r="AC7" s="179"/>
      <c r="AD7" s="350">
        <f t="shared" si="20"/>
        <v>4.6146205221843317E-2</v>
      </c>
      <c r="AE7" s="350">
        <f t="shared" si="21"/>
        <v>0.57653433591685466</v>
      </c>
    </row>
    <row r="8" spans="1:35" ht="13" customHeight="1">
      <c r="A8" s="150" t="str">
        <f>IF('Summary | Sumário'!D$6=Names!B$3,Names!AR7,Names!AS7)</f>
        <v>Income from securities and derivatives</v>
      </c>
      <c r="B8" s="62" t="str">
        <f>IF('Summary | Sumário'!D$6=Names!B$3,Names!M4,Names!N4)</f>
        <v>Income from securities, derivatives and foreign exchange</v>
      </c>
      <c r="C8" s="175">
        <f>'6. NII'!C20</f>
        <v>72729</v>
      </c>
      <c r="D8" s="175">
        <f>'6. NII'!D20</f>
        <v>-25040</v>
      </c>
      <c r="E8" s="175">
        <f>'6. NII'!E20</f>
        <v>721949.66599999997</v>
      </c>
      <c r="F8" s="175">
        <f>'6. NII'!F20</f>
        <v>1605401.1030000001</v>
      </c>
      <c r="G8" s="175">
        <f>'6. NII'!G20</f>
        <v>1634543</v>
      </c>
      <c r="H8" s="175">
        <f>'6. NII'!H20</f>
        <v>2629169.8130000001</v>
      </c>
      <c r="I8" s="175"/>
      <c r="J8" s="175">
        <f>'6. NII'!J20</f>
        <v>74012.403999999995</v>
      </c>
      <c r="K8" s="175">
        <f>'6. NII'!K20</f>
        <v>89585.596000000005</v>
      </c>
      <c r="L8" s="175">
        <f>'6. NII'!L20</f>
        <v>224342</v>
      </c>
      <c r="M8" s="175">
        <f>'6. NII'!M20</f>
        <v>334009.66600000003</v>
      </c>
      <c r="N8" s="175">
        <f>'6. NII'!N20</f>
        <v>376055.38300000003</v>
      </c>
      <c r="O8" s="175">
        <f>'6. NII'!O20</f>
        <v>429378.674</v>
      </c>
      <c r="P8" s="175">
        <f>'6. NII'!P20</f>
        <v>378059.73599999998</v>
      </c>
      <c r="Q8" s="175">
        <f>'6. NII'!Q20</f>
        <v>421907.31</v>
      </c>
      <c r="R8" s="175">
        <f>'6. NII'!R20</f>
        <v>386325.30200000003</v>
      </c>
      <c r="S8" s="175">
        <f>'6. NII'!S20</f>
        <v>369367</v>
      </c>
      <c r="T8" s="175">
        <f>'6. NII'!T20</f>
        <v>508679.01922000002</v>
      </c>
      <c r="U8" s="175">
        <f>'6. NII'!U20</f>
        <v>370171.67877999996</v>
      </c>
      <c r="V8" s="175">
        <f>'6. NII'!V20</f>
        <v>537136.61082000006</v>
      </c>
      <c r="W8" s="175">
        <f>'6. NII'!W20</f>
        <v>642093.19580384996</v>
      </c>
      <c r="X8" s="175">
        <f>'6. NII'!X20</f>
        <v>587740.70944000012</v>
      </c>
      <c r="Y8" s="175">
        <f>'6. NII'!Y20</f>
        <v>862199.29693614994</v>
      </c>
      <c r="Z8" s="175">
        <f>'6. NII'!Z20</f>
        <v>734744.3</v>
      </c>
      <c r="AA8" s="175">
        <f>'6. NII'!AA20</f>
        <v>765251</v>
      </c>
      <c r="AB8" s="175">
        <f>'6. NII'!AB20</f>
        <v>1050027</v>
      </c>
      <c r="AC8" s="175"/>
      <c r="AD8" s="375">
        <f t="shared" si="20"/>
        <v>0.37213411024618059</v>
      </c>
      <c r="AE8" s="375">
        <f t="shared" si="21"/>
        <v>0.78654801876913827</v>
      </c>
    </row>
    <row r="9" spans="1:35" ht="13" customHeight="1">
      <c r="B9" s="67" t="str">
        <f>IF('Summary | Sumário'!D$6=Names!B$3,Names!AR8,Names!AS8)</f>
        <v xml:space="preserve">Revenues from services and commissions </v>
      </c>
      <c r="C9" s="176">
        <f>'3. IS | DRE'!C9</f>
        <v>130457</v>
      </c>
      <c r="D9" s="176">
        <f>'3. IS | DRE'!D9</f>
        <v>257145</v>
      </c>
      <c r="E9" s="176">
        <f>'3. IS | DRE'!E9</f>
        <v>542569</v>
      </c>
      <c r="F9" s="176">
        <f>'3. IS | DRE'!F9</f>
        <v>968039</v>
      </c>
      <c r="G9" s="176">
        <f>'3. IS | DRE'!G9</f>
        <v>1304382</v>
      </c>
      <c r="H9" s="176">
        <f>'3. IS | DRE'!H9</f>
        <v>1753280.4850000001</v>
      </c>
      <c r="I9" s="175"/>
      <c r="J9" s="176">
        <f>'3. IS | DRE'!J9</f>
        <v>100965</v>
      </c>
      <c r="K9" s="176">
        <f>'3. IS | DRE'!K9</f>
        <v>110911</v>
      </c>
      <c r="L9" s="176">
        <f>'3. IS | DRE'!L9</f>
        <v>149283</v>
      </c>
      <c r="M9" s="176">
        <f>'3. IS | DRE'!M9</f>
        <v>181410</v>
      </c>
      <c r="N9" s="176">
        <f>'3. IS | DRE'!N9</f>
        <v>206219</v>
      </c>
      <c r="O9" s="176">
        <f>'3. IS | DRE'!O9</f>
        <v>238515</v>
      </c>
      <c r="P9" s="176">
        <f>'3. IS | DRE'!P9</f>
        <v>250433</v>
      </c>
      <c r="Q9" s="176">
        <f>'3. IS | DRE'!Q9</f>
        <v>272872</v>
      </c>
      <c r="R9" s="176">
        <f>'3. IS | DRE'!R9</f>
        <v>282353</v>
      </c>
      <c r="S9" s="176">
        <f>'3. IS | DRE'!S9</f>
        <v>298524</v>
      </c>
      <c r="T9" s="176">
        <f>'3. IS | DRE'!T9</f>
        <v>347780</v>
      </c>
      <c r="U9" s="176">
        <f>'3. IS | DRE'!U9</f>
        <v>375724.6</v>
      </c>
      <c r="V9" s="176">
        <f>'3. IS | DRE'!V9</f>
        <v>374339.16833017452</v>
      </c>
      <c r="W9" s="176">
        <f>'3. IS | DRE'!W9</f>
        <v>397142.87599999999</v>
      </c>
      <c r="X9" s="176">
        <f>'3. IS | DRE'!X9</f>
        <v>467667</v>
      </c>
      <c r="Y9" s="176">
        <f>'3. IS | DRE'!Y9</f>
        <v>514131.44066982553</v>
      </c>
      <c r="Z9" s="176">
        <f>'3. IS | DRE'!Z9</f>
        <v>459924</v>
      </c>
      <c r="AA9" s="176">
        <f>'3. IS | DRE'!AA9</f>
        <v>495128</v>
      </c>
      <c r="AB9" s="176">
        <f>'3. IS | DRE'!AB9</f>
        <v>514179</v>
      </c>
      <c r="AC9" s="175"/>
      <c r="AD9" s="376">
        <f t="shared" si="20"/>
        <v>3.8476919099707629E-2</v>
      </c>
      <c r="AE9" s="376">
        <f t="shared" si="21"/>
        <v>9.9455381713911883E-2</v>
      </c>
    </row>
    <row r="10" spans="1:35" ht="13" customHeight="1">
      <c r="B10" s="62" t="str">
        <f>IF('Summary | Sumário'!D$6=Names!B$3,Names!AR10,Names!AS10)</f>
        <v>Other revenues</v>
      </c>
      <c r="C10" s="175">
        <f>'3. IS | DRE'!C11</f>
        <v>46867</v>
      </c>
      <c r="D10" s="175">
        <f>'3. IS | DRE'!D11</f>
        <v>92564</v>
      </c>
      <c r="E10" s="175">
        <f>'3. IS | DRE'!E11</f>
        <v>165415</v>
      </c>
      <c r="F10" s="175">
        <f>'3. IS | DRE'!F11</f>
        <v>288682</v>
      </c>
      <c r="G10" s="175">
        <f>'3. IS | DRE'!G11</f>
        <v>286980</v>
      </c>
      <c r="H10" s="175">
        <f>'3. IS | DRE'!H11</f>
        <v>333570.52926939999</v>
      </c>
      <c r="I10" s="175"/>
      <c r="J10" s="175">
        <f>'3. IS | DRE'!J11</f>
        <v>41623</v>
      </c>
      <c r="K10" s="175">
        <f>'3. IS | DRE'!K11</f>
        <v>69359</v>
      </c>
      <c r="L10" s="175">
        <f>'3. IS | DRE'!L11</f>
        <v>30496</v>
      </c>
      <c r="M10" s="175">
        <f>'3. IS | DRE'!M11</f>
        <v>23937</v>
      </c>
      <c r="N10" s="175">
        <f>'3. IS | DRE'!N11</f>
        <v>95374</v>
      </c>
      <c r="O10" s="175">
        <f>'3. IS | DRE'!O11</f>
        <v>85809</v>
      </c>
      <c r="P10" s="175">
        <f>'3. IS | DRE'!P11</f>
        <v>46550</v>
      </c>
      <c r="Q10" s="175">
        <f>'3. IS | DRE'!Q11</f>
        <v>60949</v>
      </c>
      <c r="R10" s="175">
        <f>'3. IS | DRE'!R11</f>
        <v>50958</v>
      </c>
      <c r="S10" s="175">
        <f>'3. IS | DRE'!S11</f>
        <v>54967</v>
      </c>
      <c r="T10" s="175">
        <f>'3. IS | DRE'!T11</f>
        <v>104770.50028000001</v>
      </c>
      <c r="U10" s="175">
        <f>'3. IS | DRE'!U11</f>
        <v>76284.499719999993</v>
      </c>
      <c r="V10" s="175">
        <f>'3. IS | DRE'!V11</f>
        <v>68201</v>
      </c>
      <c r="W10" s="175">
        <f>'3. IS | DRE'!W11</f>
        <v>72531.218238679983</v>
      </c>
      <c r="X10" s="175">
        <f>'3. IS | DRE'!X11</f>
        <v>81802.620979938802</v>
      </c>
      <c r="Y10" s="175">
        <f>'3. IS | DRE'!Y11</f>
        <v>111035.69005078121</v>
      </c>
      <c r="Z10" s="175">
        <f>'3. IS | DRE'!Z11</f>
        <v>56093.4</v>
      </c>
      <c r="AA10" s="175">
        <f>'3. IS | DRE'!AA11</f>
        <v>81444.399999999994</v>
      </c>
      <c r="AB10" s="175">
        <f>'3. IS | DRE'!AB11</f>
        <v>72103</v>
      </c>
      <c r="AC10" s="175"/>
      <c r="AD10" s="375">
        <f t="shared" si="20"/>
        <v>-0.11469665194905965</v>
      </c>
      <c r="AE10" s="375">
        <f t="shared" si="21"/>
        <v>-0.11857347434280285</v>
      </c>
    </row>
    <row r="11" spans="1:35" ht="13" customHeight="1">
      <c r="B11" s="67" t="str">
        <f>IF('Summary | Sumário'!D$6=Names!B$3,Names!AR11,Names!AS11)</f>
        <v>(+) Cashback expenses</v>
      </c>
      <c r="C11" s="176">
        <f>-'7. Fee Revenue | R. de Serv '!C11</f>
        <v>0</v>
      </c>
      <c r="D11" s="176">
        <f>-'7. Fee Revenue | R. de Serv '!D11</f>
        <v>59976</v>
      </c>
      <c r="E11" s="176">
        <f>-'7. Fee Revenue | R. de Serv '!E11</f>
        <v>251363</v>
      </c>
      <c r="F11" s="176">
        <f>-'7. Fee Revenue | R. de Serv '!F11</f>
        <v>321438</v>
      </c>
      <c r="G11" s="176">
        <f>-'7. Fee Revenue | R. de Serv '!G11</f>
        <v>236482</v>
      </c>
      <c r="H11" s="176">
        <f>-'7. Fee Revenue | R. de Serv '!H11</f>
        <v>360561.95250999997</v>
      </c>
      <c r="I11" s="175"/>
      <c r="J11" s="176">
        <f>-'7. Fee Revenue | R. de Serv '!J11</f>
        <v>38482.660000000003</v>
      </c>
      <c r="K11" s="176">
        <f>-'7. Fee Revenue | R. de Serv '!K11</f>
        <v>60184</v>
      </c>
      <c r="L11" s="176">
        <f>-'7. Fee Revenue | R. de Serv '!L11</f>
        <v>65808</v>
      </c>
      <c r="M11" s="176">
        <f>-'7. Fee Revenue | R. de Serv '!M11</f>
        <v>86888.34</v>
      </c>
      <c r="N11" s="176">
        <f>-'7. Fee Revenue | R. de Serv '!N11</f>
        <v>82542</v>
      </c>
      <c r="O11" s="176">
        <f>-'7. Fee Revenue | R. de Serv '!O11</f>
        <v>85250</v>
      </c>
      <c r="P11" s="176">
        <f>-'7. Fee Revenue | R. de Serv '!P11</f>
        <v>76420</v>
      </c>
      <c r="Q11" s="176">
        <f>-'7. Fee Revenue | R. de Serv '!Q11</f>
        <v>77226</v>
      </c>
      <c r="R11" s="176">
        <f>-'7. Fee Revenue | R. de Serv '!R11</f>
        <v>67268</v>
      </c>
      <c r="S11" s="176">
        <f>-'7. Fee Revenue | R. de Serv '!S11</f>
        <v>58005</v>
      </c>
      <c r="T11" s="176">
        <f>-'7. Fee Revenue | R. de Serv '!T11</f>
        <v>48391</v>
      </c>
      <c r="U11" s="176">
        <f>-'7. Fee Revenue | R. de Serv '!U11</f>
        <v>62818</v>
      </c>
      <c r="V11" s="176">
        <f>-'7. Fee Revenue | R. de Serv '!V11</f>
        <v>63381.686999999998</v>
      </c>
      <c r="W11" s="176">
        <f>-'7. Fee Revenue | R. de Serv '!W11</f>
        <v>91044.550029999999</v>
      </c>
      <c r="X11" s="176">
        <f>-'7. Fee Revenue | R. de Serv '!X11</f>
        <v>104280.54006</v>
      </c>
      <c r="Y11" s="176">
        <f>-'7. Fee Revenue | R. de Serv '!Y11</f>
        <v>101855.17541999999</v>
      </c>
      <c r="Z11" s="176">
        <f>-'7. Fee Revenue | R. de Serv '!Z11</f>
        <v>68120</v>
      </c>
      <c r="AA11" s="176">
        <f>-'7. Fee Revenue | R. de Serv '!AA11</f>
        <v>58376</v>
      </c>
      <c r="AB11" s="176">
        <f>-'7. Fee Revenue | R. de Serv '!AB11</f>
        <v>75042</v>
      </c>
      <c r="AC11" s="175"/>
      <c r="AD11" s="376">
        <f t="shared" si="20"/>
        <v>0.28549403864601897</v>
      </c>
      <c r="AE11" s="376">
        <f t="shared" si="21"/>
        <v>-0.28038347368719985</v>
      </c>
    </row>
    <row r="12" spans="1:35" ht="13" customHeight="1">
      <c r="B12" s="62" t="str">
        <f>IF('Summary | Sumário'!D$6=Names!B$3,Names!AR32,Names!AS32)</f>
        <v>(+) Inter Loop</v>
      </c>
      <c r="C12" s="175">
        <f>-'7. Fee Revenue | R. de Serv '!C12</f>
        <v>0</v>
      </c>
      <c r="D12" s="175">
        <f>-'7. Fee Revenue | R. de Serv '!D12</f>
        <v>0</v>
      </c>
      <c r="E12" s="175">
        <f>-'7. Fee Revenue | R. de Serv '!E12</f>
        <v>0</v>
      </c>
      <c r="F12" s="175">
        <f>-'7. Fee Revenue | R. de Serv '!F12</f>
        <v>0</v>
      </c>
      <c r="G12" s="175">
        <f>-'7. Fee Revenue | R. de Serv '!G12</f>
        <v>66571</v>
      </c>
      <c r="H12" s="175">
        <f>-'7. Fee Revenue | R. de Serv '!H12</f>
        <v>126233.79137000001</v>
      </c>
      <c r="I12" s="175"/>
      <c r="J12" s="175">
        <f>-'7. Fee Revenue | R. de Serv '!J12</f>
        <v>0</v>
      </c>
      <c r="K12" s="175">
        <f>-'7. Fee Revenue | R. de Serv '!K12</f>
        <v>0</v>
      </c>
      <c r="L12" s="175">
        <f>-'7. Fee Revenue | R. de Serv '!L12</f>
        <v>0</v>
      </c>
      <c r="M12" s="175">
        <f>-'7. Fee Revenue | R. de Serv '!M12</f>
        <v>0</v>
      </c>
      <c r="N12" s="175">
        <f>-'7. Fee Revenue | R. de Serv '!N12</f>
        <v>0</v>
      </c>
      <c r="O12" s="175">
        <f>-'7. Fee Revenue | R. de Serv '!O12</f>
        <v>0</v>
      </c>
      <c r="P12" s="175">
        <f>-'7. Fee Revenue | R. de Serv '!P12</f>
        <v>0</v>
      </c>
      <c r="Q12" s="175">
        <f>-'7. Fee Revenue | R. de Serv '!Q12</f>
        <v>0</v>
      </c>
      <c r="R12" s="175">
        <f>-'7. Fee Revenue | R. de Serv '!R12</f>
        <v>0</v>
      </c>
      <c r="S12" s="175">
        <f>-'7. Fee Revenue | R. de Serv '!S12</f>
        <v>6574</v>
      </c>
      <c r="T12" s="175">
        <f>-'7. Fee Revenue | R. de Serv '!T12</f>
        <v>26910</v>
      </c>
      <c r="U12" s="175">
        <f>-'7. Fee Revenue | R. de Serv '!U12</f>
        <v>33087</v>
      </c>
      <c r="V12" s="175">
        <f>-'7. Fee Revenue | R. de Serv '!V12</f>
        <v>30086.383590000005</v>
      </c>
      <c r="W12" s="175">
        <f>-'7. Fee Revenue | R. de Serv '!W12</f>
        <v>28632.017450000003</v>
      </c>
      <c r="X12" s="175">
        <f>-'7. Fee Revenue | R. de Serv '!X12</f>
        <v>30458.598399999999</v>
      </c>
      <c r="Y12" s="175">
        <f>-'7. Fee Revenue | R. de Serv '!Y12</f>
        <v>37056.791929999992</v>
      </c>
      <c r="Z12" s="175">
        <f>-'7. Fee Revenue | R. de Serv '!Z12</f>
        <v>35976</v>
      </c>
      <c r="AA12" s="175">
        <f>-'7. Fee Revenue | R. de Serv '!AA12</f>
        <v>38534</v>
      </c>
      <c r="AB12" s="175">
        <f>-'7. Fee Revenue | R. de Serv '!AB12</f>
        <v>38856</v>
      </c>
      <c r="AC12" s="175"/>
      <c r="AD12" s="375">
        <f t="shared" si="20"/>
        <v>8.3562568121657854E-3</v>
      </c>
      <c r="AE12" s="375">
        <f t="shared" si="21"/>
        <v>0.27569888442404489</v>
      </c>
    </row>
    <row r="13" spans="1:35" ht="13" customHeight="1">
      <c r="B13" s="53" t="str">
        <f>IF('Summary | Sumário'!D$6=Names!B$3,Names!AR12,Names!AS12)</f>
        <v>(÷) Average of active clients</v>
      </c>
      <c r="C13" s="174">
        <f t="shared" ref="C13" si="22">AVERAGE(C14,C15)</f>
        <v>2282.6979999999999</v>
      </c>
      <c r="D13" s="174">
        <f t="shared" ref="D13" si="23">AVERAGE(D14,D15)</f>
        <v>3767.4889999999996</v>
      </c>
      <c r="E13" s="174">
        <f t="shared" ref="E13" si="24">AVERAGE(E14,E15)</f>
        <v>7039.3045000000002</v>
      </c>
      <c r="F13" s="174">
        <f t="shared" ref="F13" si="25">AVERAGE(F14,F15)</f>
        <v>10705.3665</v>
      </c>
      <c r="G13" s="174">
        <f t="shared" ref="G13" si="26">AVERAGE(G14,G15)</f>
        <v>14494.899000000001</v>
      </c>
      <c r="H13" s="174">
        <f t="shared" ref="H13:Y13" si="27">AVERAGE(H14,H15)</f>
        <v>18483.565000000002</v>
      </c>
      <c r="I13" s="179"/>
      <c r="J13" s="174">
        <f t="shared" si="27"/>
        <v>4207.674</v>
      </c>
      <c r="K13" s="174">
        <f t="shared" si="27"/>
        <v>6597.8119999999999</v>
      </c>
      <c r="L13" s="174">
        <f t="shared" si="27"/>
        <v>7514.7129999999997</v>
      </c>
      <c r="M13" s="174">
        <f t="shared" si="27"/>
        <v>8396.3904999999995</v>
      </c>
      <c r="N13" s="174">
        <f t="shared" si="27"/>
        <v>9358.8734999999997</v>
      </c>
      <c r="O13" s="174">
        <f t="shared" si="27"/>
        <v>10303.8135</v>
      </c>
      <c r="P13" s="174">
        <f t="shared" si="27"/>
        <v>11182.7415</v>
      </c>
      <c r="Q13" s="174">
        <f t="shared" si="27"/>
        <v>12116.839</v>
      </c>
      <c r="R13" s="174">
        <f t="shared" si="27"/>
        <v>13062.486000000001</v>
      </c>
      <c r="S13" s="174">
        <f t="shared" si="27"/>
        <v>14017.737499999999</v>
      </c>
      <c r="T13" s="174">
        <f t="shared" si="27"/>
        <v>14984.0635</v>
      </c>
      <c r="U13" s="174">
        <f t="shared" si="27"/>
        <v>15939.307000000001</v>
      </c>
      <c r="V13" s="174">
        <f t="shared" si="27"/>
        <v>16909.548000000003</v>
      </c>
      <c r="W13" s="174">
        <f t="shared" si="27"/>
        <v>17907.845500000003</v>
      </c>
      <c r="X13" s="174">
        <f t="shared" si="27"/>
        <v>18970.246500000001</v>
      </c>
      <c r="Y13" s="174">
        <f t="shared" si="27"/>
        <v>20050.120000000003</v>
      </c>
      <c r="Z13" s="174">
        <f>AVERAGE(Z14,Z15)</f>
        <v>21070.289000000001</v>
      </c>
      <c r="AA13" s="174">
        <f>AVERAGE(AA14,AA15)</f>
        <v>22144.881999999998</v>
      </c>
      <c r="AB13" s="174">
        <f>AVERAGE(AB14,AB15)</f>
        <v>23318.665999999997</v>
      </c>
      <c r="AC13" s="179"/>
      <c r="AD13" s="350">
        <f t="shared" si="20"/>
        <v>5.3004752971815394E-2</v>
      </c>
      <c r="AE13" s="350">
        <f t="shared" si="21"/>
        <v>0.22922314161811208</v>
      </c>
    </row>
    <row r="14" spans="1:35" ht="13" customHeight="1">
      <c r="B14" s="55" t="str">
        <f>IF('Summary | Sumário'!D$6=Names!B$3,Names!AR13,Names!AS13)</f>
        <v>Active clients</v>
      </c>
      <c r="C14" s="179">
        <v>2282.6979999999999</v>
      </c>
      <c r="D14" s="179">
        <v>5252.28</v>
      </c>
      <c r="E14" s="179">
        <v>8826.3289999999997</v>
      </c>
      <c r="F14" s="179">
        <v>12584.404</v>
      </c>
      <c r="G14" s="179">
        <v>16405.394</v>
      </c>
      <c r="H14" s="179">
        <v>20561.736000000001</v>
      </c>
      <c r="I14" s="179"/>
      <c r="J14" s="179">
        <v>6132.65</v>
      </c>
      <c r="K14" s="179">
        <v>7062.9740000000002</v>
      </c>
      <c r="L14" s="179">
        <v>7966.4520000000002</v>
      </c>
      <c r="M14" s="179">
        <v>8826.3289999999997</v>
      </c>
      <c r="N14" s="179">
        <v>9891.4179999999997</v>
      </c>
      <c r="O14" s="179">
        <v>10716.209000000001</v>
      </c>
      <c r="P14" s="179">
        <v>11649.273999999999</v>
      </c>
      <c r="Q14" s="179">
        <v>12584.404</v>
      </c>
      <c r="R14" s="179">
        <v>13540.567999999999</v>
      </c>
      <c r="S14" s="179">
        <v>14494.906999999999</v>
      </c>
      <c r="T14" s="179">
        <v>15473.22</v>
      </c>
      <c r="U14" s="179">
        <v>16405.394</v>
      </c>
      <c r="V14" s="179">
        <v>17413.702000000001</v>
      </c>
      <c r="W14" s="179">
        <v>18401.989000000001</v>
      </c>
      <c r="X14" s="179">
        <v>19538.504000000001</v>
      </c>
      <c r="Y14" s="179">
        <v>20561.736000000001</v>
      </c>
      <c r="Z14" s="179">
        <v>21578.842000000001</v>
      </c>
      <c r="AA14" s="179">
        <v>22710.921999999999</v>
      </c>
      <c r="AB14" s="179">
        <v>23926.41</v>
      </c>
      <c r="AC14" s="179"/>
      <c r="AD14" s="349">
        <f t="shared" si="20"/>
        <v>5.3519975983361778E-2</v>
      </c>
      <c r="AE14" s="349">
        <f t="shared" si="21"/>
        <v>0.22457737808380829</v>
      </c>
    </row>
    <row r="15" spans="1:35" ht="13" customHeight="1">
      <c r="B15" s="60" t="str">
        <f>IF('Summary | Sumário'!D$6=Names!B$3,Names!AR14,Names!AS14)</f>
        <v>Active clients in the previus period</v>
      </c>
      <c r="C15" s="174">
        <f>C14</f>
        <v>2282.6979999999999</v>
      </c>
      <c r="D15" s="174">
        <f t="shared" ref="D15:G15" si="28">C14</f>
        <v>2282.6979999999999</v>
      </c>
      <c r="E15" s="174">
        <f t="shared" si="28"/>
        <v>5252.28</v>
      </c>
      <c r="F15" s="174">
        <f t="shared" si="28"/>
        <v>8826.3289999999997</v>
      </c>
      <c r="G15" s="174">
        <f t="shared" si="28"/>
        <v>12584.404</v>
      </c>
      <c r="H15" s="174">
        <f>G14</f>
        <v>16405.394</v>
      </c>
      <c r="I15" s="179"/>
      <c r="J15" s="174">
        <f>D15</f>
        <v>2282.6979999999999</v>
      </c>
      <c r="K15" s="174">
        <f t="shared" ref="K15:Y15" si="29">J14</f>
        <v>6132.65</v>
      </c>
      <c r="L15" s="174">
        <f t="shared" si="29"/>
        <v>7062.9740000000002</v>
      </c>
      <c r="M15" s="174">
        <f t="shared" si="29"/>
        <v>7966.4520000000002</v>
      </c>
      <c r="N15" s="174">
        <f t="shared" si="29"/>
        <v>8826.3289999999997</v>
      </c>
      <c r="O15" s="174">
        <f t="shared" si="29"/>
        <v>9891.4179999999997</v>
      </c>
      <c r="P15" s="174">
        <f t="shared" si="29"/>
        <v>10716.209000000001</v>
      </c>
      <c r="Q15" s="174">
        <f t="shared" si="29"/>
        <v>11649.273999999999</v>
      </c>
      <c r="R15" s="174">
        <f t="shared" si="29"/>
        <v>12584.404</v>
      </c>
      <c r="S15" s="174">
        <f t="shared" si="29"/>
        <v>13540.567999999999</v>
      </c>
      <c r="T15" s="174">
        <f t="shared" si="29"/>
        <v>14494.906999999999</v>
      </c>
      <c r="U15" s="174">
        <f t="shared" si="29"/>
        <v>15473.22</v>
      </c>
      <c r="V15" s="174">
        <f t="shared" si="29"/>
        <v>16405.394</v>
      </c>
      <c r="W15" s="174">
        <f t="shared" si="29"/>
        <v>17413.702000000001</v>
      </c>
      <c r="X15" s="174">
        <f t="shared" si="29"/>
        <v>18401.989000000001</v>
      </c>
      <c r="Y15" s="174">
        <f t="shared" si="29"/>
        <v>19538.504000000001</v>
      </c>
      <c r="Z15" s="174">
        <f>Y14</f>
        <v>20561.736000000001</v>
      </c>
      <c r="AA15" s="174">
        <f>Z14</f>
        <v>21578.842000000001</v>
      </c>
      <c r="AB15" s="174">
        <f>AA14</f>
        <v>22710.921999999999</v>
      </c>
      <c r="AC15" s="179"/>
      <c r="AD15" s="350">
        <f t="shared" si="20"/>
        <v>5.2462500072988139E-2</v>
      </c>
      <c r="AE15" s="350">
        <f t="shared" si="21"/>
        <v>0.2341558295682058</v>
      </c>
    </row>
    <row r="16" spans="1:35" ht="13" customHeight="1">
      <c r="B16" s="6" t="str">
        <f>IF('Summary | Sumário'!D$6=Names!B$3,Names!AR15,Names!AS15)</f>
        <v>Gross ARPAC (R$)</v>
      </c>
      <c r="C16" s="180">
        <f t="shared" ref="C16" si="30">C5/C13</f>
        <v>37.439906636795584</v>
      </c>
      <c r="D16" s="180">
        <f t="shared" ref="D16:Z16" si="31">D5/D13</f>
        <v>29.358654512771416</v>
      </c>
      <c r="E16" s="180">
        <f t="shared" si="31"/>
        <v>36.896683850892749</v>
      </c>
      <c r="F16" s="180">
        <f t="shared" si="31"/>
        <v>46.598265964707203</v>
      </c>
      <c r="G16" s="180">
        <f t="shared" si="31"/>
        <v>46.446138281704023</v>
      </c>
      <c r="H16" s="180">
        <f t="shared" si="31"/>
        <v>46.627143767512422</v>
      </c>
      <c r="I16" s="328"/>
      <c r="J16" s="180">
        <f t="shared" si="31"/>
        <v>43.102752969930648</v>
      </c>
      <c r="K16" s="180">
        <f t="shared" ref="K16:Y16" si="32">K5/K13</f>
        <v>32.116674790571992</v>
      </c>
      <c r="L16" s="180">
        <f t="shared" si="32"/>
        <v>37.142020815254909</v>
      </c>
      <c r="M16" s="180">
        <f t="shared" si="32"/>
        <v>43.653785357728026</v>
      </c>
      <c r="N16" s="180">
        <f t="shared" si="32"/>
        <v>45.637615645372989</v>
      </c>
      <c r="O16" s="180">
        <f t="shared" si="32"/>
        <v>47.27263716487105</v>
      </c>
      <c r="P16" s="180">
        <f t="shared" si="32"/>
        <v>45.898270026182757</v>
      </c>
      <c r="Q16" s="180">
        <f t="shared" si="32"/>
        <v>46.871338638732432</v>
      </c>
      <c r="R16" s="180">
        <f t="shared" si="32"/>
        <v>45.928754143736498</v>
      </c>
      <c r="S16" s="180">
        <f t="shared" si="32"/>
        <v>46.097358198258931</v>
      </c>
      <c r="T16" s="180">
        <f t="shared" si="32"/>
        <v>47.683229324275089</v>
      </c>
      <c r="U16" s="180">
        <f t="shared" si="32"/>
        <v>45.943985472726851</v>
      </c>
      <c r="V16" s="180">
        <f t="shared" si="32"/>
        <v>45.155471724025865</v>
      </c>
      <c r="W16" s="180">
        <f t="shared" si="32"/>
        <v>44.744988009538986</v>
      </c>
      <c r="X16" s="180">
        <f t="shared" si="32"/>
        <v>47.164658772595494</v>
      </c>
      <c r="Y16" s="180">
        <f t="shared" si="32"/>
        <v>49.265202333247132</v>
      </c>
      <c r="Z16" s="180">
        <f t="shared" si="31"/>
        <v>50.018736493520954</v>
      </c>
      <c r="AA16" s="180">
        <f t="shared" ref="AA16:AB16" si="33">AA5/AA13</f>
        <v>53.691072576799762</v>
      </c>
      <c r="AB16" s="180">
        <f t="shared" si="33"/>
        <v>56.844732598911676</v>
      </c>
      <c r="AC16" s="328"/>
      <c r="AD16" s="377">
        <f t="shared" si="20"/>
        <v>5.8737139542163419E-2</v>
      </c>
      <c r="AE16" s="377">
        <f t="shared" si="21"/>
        <v>0.20523998430665391</v>
      </c>
    </row>
    <row r="17" spans="2:33" ht="13" customHeight="1">
      <c r="B17" s="69"/>
      <c r="C17" s="178"/>
      <c r="D17" s="178"/>
      <c r="E17" s="178"/>
      <c r="F17" s="178"/>
      <c r="G17" s="178"/>
      <c r="H17" s="178"/>
      <c r="J17" s="178"/>
      <c r="K17" s="178"/>
      <c r="L17" s="178"/>
      <c r="M17" s="178"/>
      <c r="N17" s="178"/>
      <c r="O17" s="178"/>
      <c r="P17" s="178"/>
      <c r="Q17" s="178"/>
      <c r="R17" s="178"/>
      <c r="S17" s="178"/>
      <c r="T17" s="178"/>
      <c r="U17" s="178"/>
      <c r="V17" s="178"/>
      <c r="W17" s="178"/>
      <c r="X17" s="178"/>
      <c r="Y17" s="178"/>
      <c r="Z17" s="178"/>
      <c r="AA17" s="178"/>
      <c r="AB17" s="178"/>
      <c r="AD17" s="178"/>
      <c r="AE17" s="178"/>
    </row>
    <row r="18" spans="2:33" ht="13" customHeight="1">
      <c r="B18" s="5" t="str">
        <f>IF('Summary | Sumário'!D$6=Names!B$3,Names!AR17,Names!AS17)</f>
        <v>ARPAC (net of cost of funding)</v>
      </c>
      <c r="C18" s="173"/>
      <c r="D18" s="173"/>
      <c r="E18" s="173"/>
      <c r="F18" s="173"/>
      <c r="G18" s="173"/>
      <c r="H18" s="173"/>
      <c r="I18" s="182"/>
      <c r="J18" s="173"/>
      <c r="K18" s="173"/>
      <c r="L18" s="173"/>
      <c r="M18" s="173"/>
      <c r="N18" s="173"/>
      <c r="O18" s="173"/>
      <c r="P18" s="173"/>
      <c r="Q18" s="173"/>
      <c r="R18" s="173"/>
      <c r="S18" s="173"/>
      <c r="T18" s="173"/>
      <c r="U18" s="173"/>
      <c r="V18" s="173"/>
      <c r="W18" s="173"/>
      <c r="X18" s="173"/>
      <c r="Y18" s="173"/>
      <c r="Z18" s="173"/>
      <c r="AA18" s="182"/>
      <c r="AB18" s="182"/>
      <c r="AC18" s="182"/>
      <c r="AD18" s="173"/>
      <c r="AE18" s="173"/>
    </row>
    <row r="19" spans="2:33" ht="13" customHeight="1">
      <c r="B19" s="81" t="str">
        <f>IF('Summary | Sumário'!D$6=Names!B$3,Names!AR18,Names!AS18)</f>
        <v>Monthly average total revenues net of cost of funding</v>
      </c>
      <c r="C19" s="174">
        <f>C20/12</f>
        <v>64070.916666666664</v>
      </c>
      <c r="D19" s="174">
        <f t="shared" ref="D19:H19" si="34">D20/12</f>
        <v>95247.157931666661</v>
      </c>
      <c r="E19" s="174">
        <f t="shared" si="34"/>
        <v>214456.90933333329</v>
      </c>
      <c r="F19" s="174">
        <f t="shared" si="34"/>
        <v>334447.34874999995</v>
      </c>
      <c r="G19" s="174">
        <f t="shared" si="34"/>
        <v>432601</v>
      </c>
      <c r="H19" s="174">
        <f t="shared" si="34"/>
        <v>585865.92937446118</v>
      </c>
      <c r="I19" s="179"/>
      <c r="J19" s="174">
        <f t="shared" ref="J19:Y19" si="35">J20/3</f>
        <v>159509.33299999998</v>
      </c>
      <c r="K19" s="174">
        <f t="shared" si="35"/>
        <v>183146.11566666668</v>
      </c>
      <c r="L19" s="174">
        <f t="shared" si="35"/>
        <v>232915.96</v>
      </c>
      <c r="M19" s="174">
        <f t="shared" si="35"/>
        <v>282255.89533333335</v>
      </c>
      <c r="N19" s="174">
        <f t="shared" si="35"/>
        <v>314859.67166666663</v>
      </c>
      <c r="O19" s="174">
        <f t="shared" si="35"/>
        <v>332074.77033333341</v>
      </c>
      <c r="P19" s="174">
        <f t="shared" si="35"/>
        <v>320042.489</v>
      </c>
      <c r="Q19" s="174">
        <f t="shared" si="35"/>
        <v>370812.46399999998</v>
      </c>
      <c r="R19" s="174">
        <f t="shared" si="35"/>
        <v>375686.70800000004</v>
      </c>
      <c r="S19" s="174">
        <f t="shared" si="35"/>
        <v>415445.33333333331</v>
      </c>
      <c r="T19" s="174">
        <f t="shared" si="35"/>
        <v>457689.20274666668</v>
      </c>
      <c r="U19" s="174">
        <f t="shared" si="35"/>
        <v>481582.62092000007</v>
      </c>
      <c r="V19" s="174">
        <f t="shared" si="35"/>
        <v>509476.31981339148</v>
      </c>
      <c r="W19" s="174">
        <f t="shared" si="35"/>
        <v>543738.79584084346</v>
      </c>
      <c r="X19" s="174">
        <f t="shared" si="35"/>
        <v>616186.29700452404</v>
      </c>
      <c r="Y19" s="174">
        <f t="shared" si="35"/>
        <v>674062.30470504111</v>
      </c>
      <c r="Z19" s="174">
        <f>Z20/3</f>
        <v>660902.56666666653</v>
      </c>
      <c r="AA19" s="663">
        <f>AA20/3</f>
        <v>714329.79999999993</v>
      </c>
      <c r="AB19" s="663">
        <f>AB20/3</f>
        <v>774290.33333333337</v>
      </c>
      <c r="AC19" s="179"/>
      <c r="AD19" s="350">
        <f>AB19/AA19-1</f>
        <v>8.393956591665841E-2</v>
      </c>
      <c r="AE19" s="350">
        <f>AB19/X19-1</f>
        <v>0.25658479764545716</v>
      </c>
      <c r="AG19" s="489"/>
    </row>
    <row r="20" spans="2:33" ht="13" customHeight="1">
      <c r="B20" s="54" t="str">
        <f>IF('Summary | Sumário'!D$6=Names!B$3,Names!AR19,Names!AS19)</f>
        <v>Total revenues net of cost of funding</v>
      </c>
      <c r="C20" s="179">
        <f t="shared" ref="C20" si="36">SUM(C21:C27)</f>
        <v>768851</v>
      </c>
      <c r="D20" s="179">
        <f t="shared" ref="D20:Z20" si="37">SUM(D21:D27)</f>
        <v>1142965.89518</v>
      </c>
      <c r="E20" s="179">
        <f t="shared" si="37"/>
        <v>2573482.9119999995</v>
      </c>
      <c r="F20" s="179">
        <f t="shared" si="37"/>
        <v>4013368.1849999996</v>
      </c>
      <c r="G20" s="179">
        <f t="shared" si="37"/>
        <v>5191212</v>
      </c>
      <c r="H20" s="179">
        <f t="shared" si="37"/>
        <v>7030391.1524935337</v>
      </c>
      <c r="I20" s="179"/>
      <c r="J20" s="179">
        <f t="shared" si="37"/>
        <v>478527.99899999995</v>
      </c>
      <c r="K20" s="179">
        <f t="shared" si="37"/>
        <v>549438.34700000007</v>
      </c>
      <c r="L20" s="179">
        <f t="shared" si="37"/>
        <v>698747.88</v>
      </c>
      <c r="M20" s="179">
        <f t="shared" si="37"/>
        <v>846767.68599999999</v>
      </c>
      <c r="N20" s="179">
        <f t="shared" si="37"/>
        <v>944579.0149999999</v>
      </c>
      <c r="O20" s="179">
        <f t="shared" si="37"/>
        <v>996224.31100000022</v>
      </c>
      <c r="P20" s="179">
        <f t="shared" si="37"/>
        <v>960127.46699999995</v>
      </c>
      <c r="Q20" s="179">
        <f t="shared" si="37"/>
        <v>1112437.392</v>
      </c>
      <c r="R20" s="179">
        <f t="shared" si="37"/>
        <v>1127060.1240000001</v>
      </c>
      <c r="S20" s="179">
        <f t="shared" si="37"/>
        <v>1246336</v>
      </c>
      <c r="T20" s="179">
        <f t="shared" si="37"/>
        <v>1373067.60824</v>
      </c>
      <c r="U20" s="179">
        <f t="shared" si="37"/>
        <v>1444747.8627600002</v>
      </c>
      <c r="V20" s="179">
        <f t="shared" si="37"/>
        <v>1528428.9594401745</v>
      </c>
      <c r="W20" s="179">
        <f t="shared" si="37"/>
        <v>1631216.3875225303</v>
      </c>
      <c r="X20" s="179">
        <f t="shared" si="37"/>
        <v>1848558.891013572</v>
      </c>
      <c r="Y20" s="179">
        <f t="shared" si="37"/>
        <v>2022186.9141151232</v>
      </c>
      <c r="Z20" s="179">
        <f t="shared" si="37"/>
        <v>1982707.6999999997</v>
      </c>
      <c r="AA20" s="179">
        <f t="shared" ref="AA20:AB20" si="38">SUM(AA21:AA27)</f>
        <v>2142989.4</v>
      </c>
      <c r="AB20" s="179">
        <f t="shared" si="38"/>
        <v>2322871</v>
      </c>
      <c r="AC20" s="179"/>
      <c r="AD20" s="349">
        <f t="shared" ref="AD20:AD31" si="39">AB20/AA20-1</f>
        <v>8.393956591665841E-2</v>
      </c>
      <c r="AE20" s="349">
        <f t="shared" ref="AE20:AE31" si="40">AB20/X20-1</f>
        <v>0.25658479764545716</v>
      </c>
      <c r="AG20" s="489"/>
    </row>
    <row r="21" spans="2:33" ht="13" customHeight="1">
      <c r="B21" s="67" t="str">
        <f>IF('Summary | Sumário'!D$6=Names!B$3,Names!AR20,Names!AS20)</f>
        <v>Interest income</v>
      </c>
      <c r="C21" s="174">
        <f>C7</f>
        <v>775515</v>
      </c>
      <c r="D21" s="174">
        <v>942655.89517999999</v>
      </c>
      <c r="E21" s="174">
        <v>1435428.2459999998</v>
      </c>
      <c r="F21" s="174">
        <v>2802658.0819999995</v>
      </c>
      <c r="G21" s="174">
        <v>4549827</v>
      </c>
      <c r="H21" s="174">
        <v>5139213</v>
      </c>
      <c r="I21" s="179"/>
      <c r="J21" s="174">
        <v>289003.935</v>
      </c>
      <c r="K21" s="174">
        <v>305659.75100000005</v>
      </c>
      <c r="L21" s="174">
        <v>367405.88</v>
      </c>
      <c r="M21" s="174">
        <v>473357.68</v>
      </c>
      <c r="N21" s="174">
        <v>521159.63199999993</v>
      </c>
      <c r="O21" s="174">
        <v>622312.6370000001</v>
      </c>
      <c r="P21" s="174">
        <v>788342.73100000003</v>
      </c>
      <c r="Q21" s="174">
        <v>870843.08199999994</v>
      </c>
      <c r="R21" s="174">
        <v>1012926.822</v>
      </c>
      <c r="S21" s="174">
        <v>1151105</v>
      </c>
      <c r="T21" s="174">
        <v>1106935.08874</v>
      </c>
      <c r="U21" s="174">
        <v>1278860.08926</v>
      </c>
      <c r="V21" s="174">
        <v>1217530.9999999998</v>
      </c>
      <c r="W21" s="174">
        <v>1172415.139</v>
      </c>
      <c r="X21" s="174">
        <v>1412226.140133633</v>
      </c>
      <c r="Y21" s="174">
        <v>1337040.7208663672</v>
      </c>
      <c r="Z21" s="174">
        <v>1806870</v>
      </c>
      <c r="AA21" s="174">
        <v>2128214</v>
      </c>
      <c r="AB21" s="174">
        <v>2226423</v>
      </c>
      <c r="AC21" s="179"/>
      <c r="AD21" s="350">
        <f t="shared" si="39"/>
        <v>4.6146205221843317E-2</v>
      </c>
      <c r="AE21" s="350">
        <f t="shared" si="40"/>
        <v>0.57653433591685466</v>
      </c>
    </row>
    <row r="22" spans="2:33" ht="13" customHeight="1">
      <c r="B22" s="62" t="str">
        <f>IF('Summary | Sumário'!D$6=Names!B$3,Names!AR21,Names!AS21)</f>
        <v>Income from securities and derivatives</v>
      </c>
      <c r="C22" s="175">
        <v>72729</v>
      </c>
      <c r="D22" s="175">
        <v>-25040</v>
      </c>
      <c r="E22" s="175">
        <v>721949.66599999997</v>
      </c>
      <c r="F22" s="175">
        <v>1605401.1030000001</v>
      </c>
      <c r="G22" s="175">
        <v>1634543</v>
      </c>
      <c r="H22" s="175">
        <v>2629169.8134021345</v>
      </c>
      <c r="I22" s="175"/>
      <c r="J22" s="175">
        <v>74012.403999999995</v>
      </c>
      <c r="K22" s="175">
        <v>89585.596000000005</v>
      </c>
      <c r="L22" s="175">
        <v>224342</v>
      </c>
      <c r="M22" s="175">
        <v>334009.66600000003</v>
      </c>
      <c r="N22" s="175">
        <v>376055.38300000003</v>
      </c>
      <c r="O22" s="175">
        <v>429378.674</v>
      </c>
      <c r="P22" s="175">
        <v>378059.73599999998</v>
      </c>
      <c r="Q22" s="175">
        <v>421907.31</v>
      </c>
      <c r="R22" s="175">
        <v>386325.30200000003</v>
      </c>
      <c r="S22" s="175">
        <v>369367</v>
      </c>
      <c r="T22" s="175">
        <v>508679.01922000002</v>
      </c>
      <c r="U22" s="175">
        <v>370171.67877999996</v>
      </c>
      <c r="V22" s="175">
        <v>537136.61082000006</v>
      </c>
      <c r="W22" s="175">
        <v>642093.19580384996</v>
      </c>
      <c r="X22" s="175">
        <v>587740.70944000012</v>
      </c>
      <c r="Y22" s="175">
        <v>862199.29693614994</v>
      </c>
      <c r="Z22" s="175">
        <v>734744.3</v>
      </c>
      <c r="AA22" s="175">
        <v>765251</v>
      </c>
      <c r="AB22" s="175">
        <v>1050027</v>
      </c>
      <c r="AC22" s="175"/>
      <c r="AD22" s="375">
        <f t="shared" si="39"/>
        <v>0.37213411024618059</v>
      </c>
      <c r="AE22" s="375">
        <f t="shared" si="40"/>
        <v>0.78654801876913827</v>
      </c>
    </row>
    <row r="23" spans="2:33" ht="13" customHeight="1">
      <c r="B23" s="67" t="str">
        <f>IF('Summary | Sumário'!D$6=Names!B$3,Names!AR22,Names!AS22)</f>
        <v xml:space="preserve">Revenues from services and commissions </v>
      </c>
      <c r="C23" s="176">
        <v>130457</v>
      </c>
      <c r="D23" s="176">
        <v>257145</v>
      </c>
      <c r="E23" s="176">
        <v>542569</v>
      </c>
      <c r="F23" s="176">
        <v>968039</v>
      </c>
      <c r="G23" s="176">
        <v>1304382</v>
      </c>
      <c r="H23" s="176">
        <v>1753280.4850000001</v>
      </c>
      <c r="I23" s="175"/>
      <c r="J23" s="176">
        <v>100965</v>
      </c>
      <c r="K23" s="176">
        <v>110911</v>
      </c>
      <c r="L23" s="176">
        <v>149283</v>
      </c>
      <c r="M23" s="176">
        <v>181410</v>
      </c>
      <c r="N23" s="176">
        <v>206219</v>
      </c>
      <c r="O23" s="176">
        <v>238515</v>
      </c>
      <c r="P23" s="176">
        <v>250433</v>
      </c>
      <c r="Q23" s="176">
        <v>272872</v>
      </c>
      <c r="R23" s="176">
        <v>282353</v>
      </c>
      <c r="S23" s="176">
        <v>298524</v>
      </c>
      <c r="T23" s="176">
        <v>347780</v>
      </c>
      <c r="U23" s="176">
        <v>375724.6</v>
      </c>
      <c r="V23" s="176">
        <v>374339.16833017452</v>
      </c>
      <c r="W23" s="176">
        <v>397142.87599999999</v>
      </c>
      <c r="X23" s="176">
        <v>467667</v>
      </c>
      <c r="Y23" s="176">
        <v>514131.44066982553</v>
      </c>
      <c r="Z23" s="176">
        <v>459924</v>
      </c>
      <c r="AA23" s="176">
        <v>495128</v>
      </c>
      <c r="AB23" s="176">
        <v>514179</v>
      </c>
      <c r="AC23" s="175"/>
      <c r="AD23" s="376">
        <f t="shared" si="39"/>
        <v>3.8476919099707629E-2</v>
      </c>
      <c r="AE23" s="376">
        <f t="shared" si="40"/>
        <v>9.9455381713911883E-2</v>
      </c>
    </row>
    <row r="24" spans="2:33" ht="13" customHeight="1">
      <c r="B24" s="62" t="str">
        <f>IF('Summary | Sumário'!D$6=Names!B$3,Names!AR24,Names!AS24)</f>
        <v>Other revenues</v>
      </c>
      <c r="C24" s="175">
        <v>46867</v>
      </c>
      <c r="D24" s="175">
        <v>92564</v>
      </c>
      <c r="E24" s="175">
        <v>165415</v>
      </c>
      <c r="F24" s="175">
        <v>288682</v>
      </c>
      <c r="G24" s="175">
        <v>286980</v>
      </c>
      <c r="H24" s="175">
        <v>333570.52926939999</v>
      </c>
      <c r="I24" s="175"/>
      <c r="J24" s="175">
        <v>41623</v>
      </c>
      <c r="K24" s="175">
        <v>69359</v>
      </c>
      <c r="L24" s="175">
        <v>30496</v>
      </c>
      <c r="M24" s="175">
        <v>23937</v>
      </c>
      <c r="N24" s="175">
        <v>95374</v>
      </c>
      <c r="O24" s="175">
        <v>85809</v>
      </c>
      <c r="P24" s="175">
        <v>46550</v>
      </c>
      <c r="Q24" s="175">
        <v>60949</v>
      </c>
      <c r="R24" s="175">
        <v>50958</v>
      </c>
      <c r="S24" s="175">
        <v>54967</v>
      </c>
      <c r="T24" s="175">
        <v>104770.50028000001</v>
      </c>
      <c r="U24" s="175">
        <v>76284.499719999993</v>
      </c>
      <c r="V24" s="175">
        <v>68201</v>
      </c>
      <c r="W24" s="175">
        <v>72531.218238679983</v>
      </c>
      <c r="X24" s="175">
        <v>81802.620979938802</v>
      </c>
      <c r="Y24" s="175">
        <v>111035.69005078121</v>
      </c>
      <c r="Z24" s="175">
        <v>56093.4</v>
      </c>
      <c r="AA24" s="175">
        <v>81444.399999999994</v>
      </c>
      <c r="AB24" s="175">
        <v>72103</v>
      </c>
      <c r="AC24" s="175"/>
      <c r="AD24" s="375">
        <f t="shared" si="39"/>
        <v>-0.11469665194905965</v>
      </c>
      <c r="AE24" s="375">
        <f t="shared" si="40"/>
        <v>-0.11857347434280285</v>
      </c>
    </row>
    <row r="25" spans="2:33" ht="13" customHeight="1">
      <c r="B25" s="67" t="str">
        <f>IF('Summary | Sumário'!D$6=Names!B$3,Names!AR25,Names!AS25)</f>
        <v>(+) Cashback expenses</v>
      </c>
      <c r="C25" s="176">
        <f t="shared" ref="C25:C26" si="41">C11</f>
        <v>0</v>
      </c>
      <c r="D25" s="176">
        <f t="shared" ref="D25:Z25" si="42">D11</f>
        <v>59976</v>
      </c>
      <c r="E25" s="176">
        <f t="shared" si="42"/>
        <v>251363</v>
      </c>
      <c r="F25" s="176">
        <f t="shared" si="42"/>
        <v>321438</v>
      </c>
      <c r="G25" s="176">
        <f t="shared" si="42"/>
        <v>236482</v>
      </c>
      <c r="H25" s="176">
        <f t="shared" si="42"/>
        <v>360561.95250999997</v>
      </c>
      <c r="I25" s="175"/>
      <c r="J25" s="176">
        <f t="shared" si="42"/>
        <v>38482.660000000003</v>
      </c>
      <c r="K25" s="176">
        <f t="shared" si="42"/>
        <v>60184</v>
      </c>
      <c r="L25" s="176">
        <f t="shared" si="42"/>
        <v>65808</v>
      </c>
      <c r="M25" s="176">
        <f t="shared" si="42"/>
        <v>86888.34</v>
      </c>
      <c r="N25" s="176">
        <f t="shared" si="42"/>
        <v>82542</v>
      </c>
      <c r="O25" s="176">
        <f t="shared" si="42"/>
        <v>85250</v>
      </c>
      <c r="P25" s="176">
        <f t="shared" si="42"/>
        <v>76420</v>
      </c>
      <c r="Q25" s="176">
        <f t="shared" si="42"/>
        <v>77226</v>
      </c>
      <c r="R25" s="176">
        <f t="shared" si="42"/>
        <v>67268</v>
      </c>
      <c r="S25" s="176">
        <f t="shared" si="42"/>
        <v>58005</v>
      </c>
      <c r="T25" s="176">
        <f t="shared" si="42"/>
        <v>48391</v>
      </c>
      <c r="U25" s="176">
        <f t="shared" si="42"/>
        <v>62818</v>
      </c>
      <c r="V25" s="176">
        <f t="shared" si="42"/>
        <v>63381.686999999998</v>
      </c>
      <c r="W25" s="176">
        <f t="shared" si="42"/>
        <v>91044.550029999999</v>
      </c>
      <c r="X25" s="176">
        <f t="shared" si="42"/>
        <v>104280.54006</v>
      </c>
      <c r="Y25" s="176">
        <f t="shared" si="42"/>
        <v>101855.17541999999</v>
      </c>
      <c r="Z25" s="176">
        <f t="shared" si="42"/>
        <v>68120</v>
      </c>
      <c r="AA25" s="176">
        <f t="shared" ref="AA25:AB25" si="43">AA11</f>
        <v>58376</v>
      </c>
      <c r="AB25" s="176">
        <f t="shared" si="43"/>
        <v>75042</v>
      </c>
      <c r="AC25" s="175"/>
      <c r="AD25" s="376">
        <f t="shared" si="39"/>
        <v>0.28549403864601897</v>
      </c>
      <c r="AE25" s="376">
        <f t="shared" si="40"/>
        <v>-0.28038347368719985</v>
      </c>
    </row>
    <row r="26" spans="2:33" ht="13" customHeight="1">
      <c r="B26" s="62" t="str">
        <f>IF('Summary | Sumário'!D$6=Names!B$3,Names!AR32,Names!AS32)</f>
        <v>(+) Inter Loop</v>
      </c>
      <c r="C26" s="175">
        <f t="shared" si="41"/>
        <v>0</v>
      </c>
      <c r="D26" s="175">
        <f t="shared" ref="D26:Z26" si="44">D12</f>
        <v>0</v>
      </c>
      <c r="E26" s="175">
        <f t="shared" si="44"/>
        <v>0</v>
      </c>
      <c r="F26" s="175">
        <f t="shared" si="44"/>
        <v>0</v>
      </c>
      <c r="G26" s="175">
        <f t="shared" si="44"/>
        <v>66571</v>
      </c>
      <c r="H26" s="175">
        <f t="shared" si="44"/>
        <v>126233.79137000001</v>
      </c>
      <c r="I26" s="175"/>
      <c r="J26" s="175">
        <f t="shared" si="44"/>
        <v>0</v>
      </c>
      <c r="K26" s="175">
        <f t="shared" si="44"/>
        <v>0</v>
      </c>
      <c r="L26" s="175">
        <f t="shared" si="44"/>
        <v>0</v>
      </c>
      <c r="M26" s="175">
        <f t="shared" si="44"/>
        <v>0</v>
      </c>
      <c r="N26" s="175">
        <f t="shared" si="44"/>
        <v>0</v>
      </c>
      <c r="O26" s="175">
        <f t="shared" si="44"/>
        <v>0</v>
      </c>
      <c r="P26" s="175">
        <f t="shared" si="44"/>
        <v>0</v>
      </c>
      <c r="Q26" s="175">
        <f t="shared" si="44"/>
        <v>0</v>
      </c>
      <c r="R26" s="175">
        <f t="shared" si="44"/>
        <v>0</v>
      </c>
      <c r="S26" s="175">
        <f t="shared" si="44"/>
        <v>6574</v>
      </c>
      <c r="T26" s="175">
        <f t="shared" si="44"/>
        <v>26910</v>
      </c>
      <c r="U26" s="175">
        <f t="shared" si="44"/>
        <v>33087</v>
      </c>
      <c r="V26" s="175">
        <f t="shared" si="44"/>
        <v>30086.383590000005</v>
      </c>
      <c r="W26" s="175">
        <f t="shared" si="44"/>
        <v>28632.017450000003</v>
      </c>
      <c r="X26" s="175">
        <f t="shared" si="44"/>
        <v>30458.598399999999</v>
      </c>
      <c r="Y26" s="175">
        <f t="shared" si="44"/>
        <v>37056.791929999992</v>
      </c>
      <c r="Z26" s="175">
        <f t="shared" si="44"/>
        <v>35976</v>
      </c>
      <c r="AA26" s="175">
        <f t="shared" ref="AA26:AB26" si="45">AA12</f>
        <v>38534</v>
      </c>
      <c r="AB26" s="175">
        <f t="shared" si="45"/>
        <v>38856</v>
      </c>
      <c r="AC26" s="175"/>
      <c r="AD26" s="375">
        <f t="shared" si="39"/>
        <v>8.3562568121657854E-3</v>
      </c>
      <c r="AE26" s="375">
        <f t="shared" si="40"/>
        <v>0.27569888442404489</v>
      </c>
    </row>
    <row r="27" spans="2:33" ht="13" customHeight="1">
      <c r="B27" s="82" t="str">
        <f>IF('Summary | Sumário'!D$6=Names!B$3,Names!AR26,Names!AS26)</f>
        <v>Interest expenses</v>
      </c>
      <c r="C27" s="176">
        <v>-256717</v>
      </c>
      <c r="D27" s="176">
        <v>-184335</v>
      </c>
      <c r="E27" s="176">
        <v>-543242</v>
      </c>
      <c r="F27" s="176">
        <v>-1972850</v>
      </c>
      <c r="G27" s="176">
        <v>-2887573</v>
      </c>
      <c r="H27" s="176">
        <v>-3311638.4190579997</v>
      </c>
      <c r="I27" s="175"/>
      <c r="J27" s="176">
        <v>-65559</v>
      </c>
      <c r="K27" s="176">
        <v>-86261</v>
      </c>
      <c r="L27" s="176">
        <v>-138587</v>
      </c>
      <c r="M27" s="176">
        <v>-252835</v>
      </c>
      <c r="N27" s="176">
        <v>-336771</v>
      </c>
      <c r="O27" s="176">
        <v>-465041</v>
      </c>
      <c r="P27" s="176">
        <v>-579678</v>
      </c>
      <c r="Q27" s="176">
        <v>-591360</v>
      </c>
      <c r="R27" s="176">
        <v>-672771</v>
      </c>
      <c r="S27" s="176">
        <v>-692206</v>
      </c>
      <c r="T27" s="176">
        <v>-770398</v>
      </c>
      <c r="U27" s="176">
        <v>-752198.00500000012</v>
      </c>
      <c r="V27" s="176">
        <v>-762246.89030000009</v>
      </c>
      <c r="W27" s="176">
        <v>-772642.60900000005</v>
      </c>
      <c r="X27" s="176">
        <v>-835616.71799999999</v>
      </c>
      <c r="Y27" s="176">
        <v>-941132.20175799984</v>
      </c>
      <c r="Z27" s="176">
        <v>-1179020</v>
      </c>
      <c r="AA27" s="176">
        <v>-1423958</v>
      </c>
      <c r="AB27" s="176">
        <v>-1653759</v>
      </c>
      <c r="AC27" s="175"/>
      <c r="AD27" s="376">
        <f t="shared" si="39"/>
        <v>0.16138186659999798</v>
      </c>
      <c r="AE27" s="376">
        <f t="shared" si="40"/>
        <v>0.97908797703111539</v>
      </c>
    </row>
    <row r="28" spans="2:33" ht="13" customHeight="1">
      <c r="B28" s="51" t="str">
        <f>IF('Summary | Sumário'!D$6=Names!B$3,Names!AR27,Names!AS27)</f>
        <v>(÷) Average active clients</v>
      </c>
      <c r="C28" s="179">
        <f>C13</f>
        <v>2282.6979999999999</v>
      </c>
      <c r="D28" s="179">
        <f t="shared" ref="D28:Z28" si="46">D13</f>
        <v>3767.4889999999996</v>
      </c>
      <c r="E28" s="179">
        <f t="shared" si="46"/>
        <v>7039.3045000000002</v>
      </c>
      <c r="F28" s="179">
        <f t="shared" si="46"/>
        <v>10705.3665</v>
      </c>
      <c r="G28" s="179">
        <f t="shared" si="46"/>
        <v>14494.899000000001</v>
      </c>
      <c r="H28" s="179">
        <f t="shared" si="46"/>
        <v>18483.565000000002</v>
      </c>
      <c r="I28" s="179"/>
      <c r="J28" s="179">
        <f t="shared" si="46"/>
        <v>4207.674</v>
      </c>
      <c r="K28" s="179">
        <f t="shared" si="46"/>
        <v>6597.8119999999999</v>
      </c>
      <c r="L28" s="179">
        <f t="shared" si="46"/>
        <v>7514.7129999999997</v>
      </c>
      <c r="M28" s="179">
        <f t="shared" si="46"/>
        <v>8396.3904999999995</v>
      </c>
      <c r="N28" s="179">
        <f t="shared" si="46"/>
        <v>9358.8734999999997</v>
      </c>
      <c r="O28" s="179">
        <f t="shared" si="46"/>
        <v>10303.8135</v>
      </c>
      <c r="P28" s="179">
        <f t="shared" si="46"/>
        <v>11182.7415</v>
      </c>
      <c r="Q28" s="179">
        <f t="shared" si="46"/>
        <v>12116.839</v>
      </c>
      <c r="R28" s="179">
        <f t="shared" si="46"/>
        <v>13062.486000000001</v>
      </c>
      <c r="S28" s="179">
        <f t="shared" si="46"/>
        <v>14017.737499999999</v>
      </c>
      <c r="T28" s="179">
        <f t="shared" si="46"/>
        <v>14984.0635</v>
      </c>
      <c r="U28" s="179">
        <f t="shared" si="46"/>
        <v>15939.307000000001</v>
      </c>
      <c r="V28" s="179">
        <f t="shared" si="46"/>
        <v>16909.548000000003</v>
      </c>
      <c r="W28" s="179">
        <f t="shared" si="46"/>
        <v>17907.845500000003</v>
      </c>
      <c r="X28" s="179">
        <f t="shared" si="46"/>
        <v>18970.246500000001</v>
      </c>
      <c r="Y28" s="179">
        <f t="shared" si="46"/>
        <v>20050.120000000003</v>
      </c>
      <c r="Z28" s="179">
        <f t="shared" si="46"/>
        <v>21070.289000000001</v>
      </c>
      <c r="AA28" s="179">
        <f t="shared" ref="AA28:AB28" si="47">AA13</f>
        <v>22144.881999999998</v>
      </c>
      <c r="AB28" s="179">
        <f t="shared" si="47"/>
        <v>23318.665999999997</v>
      </c>
      <c r="AC28" s="179"/>
      <c r="AD28" s="349">
        <f t="shared" si="39"/>
        <v>5.3004752971815394E-2</v>
      </c>
      <c r="AE28" s="349">
        <f t="shared" si="40"/>
        <v>0.22922314161811208</v>
      </c>
    </row>
    <row r="29" spans="2:33" ht="13" customHeight="1">
      <c r="B29" s="60" t="str">
        <f>IF('Summary | Sumário'!D$6=Names!B$3,Names!AR28,Names!AS28)</f>
        <v>Active clients</v>
      </c>
      <c r="C29" s="174">
        <f>C14</f>
        <v>2282.6979999999999</v>
      </c>
      <c r="D29" s="174">
        <f t="shared" ref="D29:Z29" si="48">D14</f>
        <v>5252.28</v>
      </c>
      <c r="E29" s="174">
        <f t="shared" si="48"/>
        <v>8826.3289999999997</v>
      </c>
      <c r="F29" s="174">
        <f t="shared" si="48"/>
        <v>12584.404</v>
      </c>
      <c r="G29" s="174">
        <f t="shared" si="48"/>
        <v>16405.394</v>
      </c>
      <c r="H29" s="174">
        <f t="shared" si="48"/>
        <v>20561.736000000001</v>
      </c>
      <c r="I29" s="179"/>
      <c r="J29" s="174">
        <f t="shared" si="48"/>
        <v>6132.65</v>
      </c>
      <c r="K29" s="174">
        <f t="shared" si="48"/>
        <v>7062.9740000000002</v>
      </c>
      <c r="L29" s="174">
        <f t="shared" si="48"/>
        <v>7966.4520000000002</v>
      </c>
      <c r="M29" s="174">
        <f t="shared" si="48"/>
        <v>8826.3289999999997</v>
      </c>
      <c r="N29" s="174">
        <f t="shared" si="48"/>
        <v>9891.4179999999997</v>
      </c>
      <c r="O29" s="174">
        <f t="shared" si="48"/>
        <v>10716.209000000001</v>
      </c>
      <c r="P29" s="174">
        <f t="shared" si="48"/>
        <v>11649.273999999999</v>
      </c>
      <c r="Q29" s="174">
        <f t="shared" si="48"/>
        <v>12584.404</v>
      </c>
      <c r="R29" s="174">
        <f t="shared" si="48"/>
        <v>13540.567999999999</v>
      </c>
      <c r="S29" s="174">
        <f t="shared" si="48"/>
        <v>14494.906999999999</v>
      </c>
      <c r="T29" s="174">
        <f t="shared" si="48"/>
        <v>15473.22</v>
      </c>
      <c r="U29" s="174">
        <f t="shared" si="48"/>
        <v>16405.394</v>
      </c>
      <c r="V29" s="174">
        <f t="shared" si="48"/>
        <v>17413.702000000001</v>
      </c>
      <c r="W29" s="174">
        <f t="shared" si="48"/>
        <v>18401.989000000001</v>
      </c>
      <c r="X29" s="174">
        <f t="shared" si="48"/>
        <v>19538.504000000001</v>
      </c>
      <c r="Y29" s="174">
        <f t="shared" si="48"/>
        <v>20561.736000000001</v>
      </c>
      <c r="Z29" s="174">
        <f t="shared" si="48"/>
        <v>21578.842000000001</v>
      </c>
      <c r="AA29" s="174">
        <f t="shared" ref="AA29:AB29" si="49">AA14</f>
        <v>22710.921999999999</v>
      </c>
      <c r="AB29" s="174">
        <f t="shared" si="49"/>
        <v>23926.41</v>
      </c>
      <c r="AC29" s="179"/>
      <c r="AD29" s="350">
        <f t="shared" si="39"/>
        <v>5.3519975983361778E-2</v>
      </c>
      <c r="AE29" s="350">
        <f t="shared" si="40"/>
        <v>0.22457737808380829</v>
      </c>
    </row>
    <row r="30" spans="2:33" ht="13" customHeight="1">
      <c r="B30" s="55" t="str">
        <f>IF('Summary | Sumário'!D$6=Names!B$3,Names!AR29,Names!AS29)</f>
        <v>Active clients in the previus period</v>
      </c>
      <c r="C30" s="179">
        <f>C15</f>
        <v>2282.6979999999999</v>
      </c>
      <c r="D30" s="179">
        <f t="shared" ref="D30:Z30" si="50">D15</f>
        <v>2282.6979999999999</v>
      </c>
      <c r="E30" s="179">
        <f t="shared" si="50"/>
        <v>5252.28</v>
      </c>
      <c r="F30" s="179">
        <f t="shared" si="50"/>
        <v>8826.3289999999997</v>
      </c>
      <c r="G30" s="179">
        <f t="shared" si="50"/>
        <v>12584.404</v>
      </c>
      <c r="H30" s="179">
        <f t="shared" si="50"/>
        <v>16405.394</v>
      </c>
      <c r="I30" s="179"/>
      <c r="J30" s="179">
        <f t="shared" si="50"/>
        <v>2282.6979999999999</v>
      </c>
      <c r="K30" s="179">
        <f t="shared" si="50"/>
        <v>6132.65</v>
      </c>
      <c r="L30" s="179">
        <f t="shared" si="50"/>
        <v>7062.9740000000002</v>
      </c>
      <c r="M30" s="179">
        <f t="shared" si="50"/>
        <v>7966.4520000000002</v>
      </c>
      <c r="N30" s="179">
        <f t="shared" si="50"/>
        <v>8826.3289999999997</v>
      </c>
      <c r="O30" s="179">
        <f t="shared" si="50"/>
        <v>9891.4179999999997</v>
      </c>
      <c r="P30" s="179">
        <f t="shared" si="50"/>
        <v>10716.209000000001</v>
      </c>
      <c r="Q30" s="179">
        <f t="shared" si="50"/>
        <v>11649.273999999999</v>
      </c>
      <c r="R30" s="179">
        <f t="shared" si="50"/>
        <v>12584.404</v>
      </c>
      <c r="S30" s="179">
        <f t="shared" si="50"/>
        <v>13540.567999999999</v>
      </c>
      <c r="T30" s="179">
        <f t="shared" si="50"/>
        <v>14494.906999999999</v>
      </c>
      <c r="U30" s="179">
        <f t="shared" si="50"/>
        <v>15473.22</v>
      </c>
      <c r="V30" s="179">
        <f t="shared" si="50"/>
        <v>16405.394</v>
      </c>
      <c r="W30" s="179">
        <f t="shared" si="50"/>
        <v>17413.702000000001</v>
      </c>
      <c r="X30" s="179">
        <f t="shared" si="50"/>
        <v>18401.989000000001</v>
      </c>
      <c r="Y30" s="179">
        <f t="shared" si="50"/>
        <v>19538.504000000001</v>
      </c>
      <c r="Z30" s="179">
        <f t="shared" si="50"/>
        <v>20561.736000000001</v>
      </c>
      <c r="AA30" s="179">
        <f t="shared" ref="AA30:AB30" si="51">AA15</f>
        <v>21578.842000000001</v>
      </c>
      <c r="AB30" s="179">
        <f t="shared" si="51"/>
        <v>22710.921999999999</v>
      </c>
      <c r="AC30" s="179"/>
      <c r="AD30" s="349">
        <f t="shared" si="39"/>
        <v>5.2462500072988139E-2</v>
      </c>
      <c r="AE30" s="349">
        <f t="shared" si="40"/>
        <v>0.2341558295682058</v>
      </c>
    </row>
    <row r="31" spans="2:33" ht="13" customHeight="1">
      <c r="B31" s="80" t="str">
        <f>IF('Summary | Sumário'!D$6=Names!B$3,Names!AR30,Names!AS30)</f>
        <v>Net ARPAC (R$)</v>
      </c>
      <c r="C31" s="181">
        <f t="shared" ref="C31" si="52">C19/C28</f>
        <v>28.068065362420551</v>
      </c>
      <c r="D31" s="181">
        <f t="shared" ref="D31:Z31" si="53">D19/D28</f>
        <v>25.281336702420809</v>
      </c>
      <c r="E31" s="181">
        <f t="shared" si="53"/>
        <v>30.465638946764312</v>
      </c>
      <c r="F31" s="181">
        <f t="shared" si="53"/>
        <v>31.241092843481812</v>
      </c>
      <c r="G31" s="181">
        <f t="shared" si="53"/>
        <v>29.845051007254341</v>
      </c>
      <c r="H31" s="181">
        <f t="shared" si="53"/>
        <v>31.696587177552658</v>
      </c>
      <c r="I31" s="328"/>
      <c r="J31" s="181">
        <f t="shared" si="53"/>
        <v>37.909147191536221</v>
      </c>
      <c r="K31" s="181">
        <f t="shared" si="53"/>
        <v>27.758613865728016</v>
      </c>
      <c r="L31" s="181">
        <f t="shared" si="53"/>
        <v>30.994658079423658</v>
      </c>
      <c r="M31" s="181">
        <f t="shared" si="53"/>
        <v>33.616337321773372</v>
      </c>
      <c r="N31" s="181">
        <f t="shared" si="53"/>
        <v>33.64290282015957</v>
      </c>
      <c r="O31" s="181">
        <f t="shared" si="53"/>
        <v>32.22833665742624</v>
      </c>
      <c r="P31" s="181">
        <f t="shared" si="53"/>
        <v>28.619322819900649</v>
      </c>
      <c r="Q31" s="181">
        <f t="shared" si="53"/>
        <v>30.603069331861221</v>
      </c>
      <c r="R31" s="181">
        <f t="shared" si="53"/>
        <v>28.760735743563668</v>
      </c>
      <c r="S31" s="181">
        <f t="shared" si="53"/>
        <v>29.637117497266114</v>
      </c>
      <c r="T31" s="181">
        <f t="shared" si="53"/>
        <v>30.545065612319828</v>
      </c>
      <c r="U31" s="181">
        <f t="shared" si="53"/>
        <v>30.213523142505508</v>
      </c>
      <c r="V31" s="181">
        <f t="shared" si="53"/>
        <v>30.129505520395423</v>
      </c>
      <c r="W31" s="181">
        <f t="shared" si="53"/>
        <v>30.36316098666606</v>
      </c>
      <c r="X31" s="181">
        <f t="shared" si="53"/>
        <v>32.481723260924625</v>
      </c>
      <c r="Y31" s="181">
        <f t="shared" si="53"/>
        <v>33.618866356163508</v>
      </c>
      <c r="Z31" s="181">
        <f t="shared" si="53"/>
        <v>31.366563916929024</v>
      </c>
      <c r="AA31" s="181">
        <f t="shared" ref="AA31:AB31" si="54">AA19/AA28</f>
        <v>32.257105727634944</v>
      </c>
      <c r="AB31" s="181">
        <f t="shared" si="54"/>
        <v>33.204743930606213</v>
      </c>
      <c r="AC31" s="328"/>
      <c r="AD31" s="378">
        <f t="shared" si="39"/>
        <v>2.9377657467868135E-2</v>
      </c>
      <c r="AE31" s="378">
        <f t="shared" si="40"/>
        <v>2.2259307607345402E-2</v>
      </c>
    </row>
    <row r="32" spans="2:33" ht="13" customHeight="1">
      <c r="B32" s="65"/>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row>
    <row r="33" spans="1:36" ht="13" customHeight="1">
      <c r="B33" s="70"/>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row>
    <row r="34" spans="1:36" ht="13" customHeight="1">
      <c r="B34" s="66"/>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row>
    <row r="35" spans="1:36" ht="13" customHeight="1">
      <c r="B35" s="64"/>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row>
    <row r="36" spans="1:36" ht="13" customHeight="1">
      <c r="B36" s="15"/>
    </row>
    <row r="38" spans="1:36" s="117" customFormat="1" ht="13" customHeight="1">
      <c r="A38" s="116"/>
      <c r="B38" s="48"/>
      <c r="AF38" s="116"/>
      <c r="AG38" s="116"/>
      <c r="AH38" s="116"/>
      <c r="AI38" s="116"/>
      <c r="AJ38" s="116"/>
    </row>
    <row r="39" spans="1:36" ht="13" customHeight="1">
      <c r="W39" s="193"/>
      <c r="X39" s="193"/>
      <c r="Y39" s="193"/>
      <c r="Z39" s="193"/>
      <c r="AA39" s="193"/>
      <c r="AB39" s="193"/>
      <c r="AD39" s="492"/>
      <c r="AE39" s="492"/>
      <c r="AF39" s="159"/>
      <c r="AG39" s="493"/>
      <c r="AI39" s="494"/>
    </row>
    <row r="40" spans="1:36" ht="13" customHeight="1">
      <c r="W40" s="193"/>
      <c r="X40" s="193"/>
      <c r="Y40" s="193"/>
      <c r="Z40" s="193"/>
      <c r="AA40" s="193"/>
      <c r="AB40" s="193"/>
      <c r="AD40" s="492"/>
      <c r="AE40" s="492"/>
      <c r="AF40" s="159"/>
      <c r="AG40" s="493"/>
    </row>
    <row r="41" spans="1:36" ht="13" customHeight="1">
      <c r="V41" s="193"/>
      <c r="W41" s="193"/>
      <c r="X41" s="193"/>
      <c r="Y41" s="193"/>
      <c r="Z41" s="193"/>
      <c r="AA41" s="193"/>
      <c r="AB41" s="193"/>
      <c r="AG41" s="493"/>
    </row>
    <row r="42" spans="1:36" ht="13" customHeight="1">
      <c r="V42" s="193"/>
      <c r="W42" s="193"/>
      <c r="X42" s="193"/>
      <c r="Y42" s="193"/>
      <c r="Z42" s="193"/>
      <c r="AA42" s="193"/>
      <c r="AB42" s="193"/>
      <c r="AD42" s="492"/>
      <c r="AE42" s="492"/>
      <c r="AF42" s="159"/>
      <c r="AG42" s="493"/>
    </row>
    <row r="43" spans="1:36" ht="13" customHeight="1">
      <c r="V43" s="193"/>
      <c r="W43" s="193"/>
      <c r="X43" s="193"/>
      <c r="Y43" s="193"/>
      <c r="Z43" s="193"/>
      <c r="AA43" s="193"/>
      <c r="AB43" s="193"/>
      <c r="AG43" s="493"/>
    </row>
    <row r="44" spans="1:36" ht="13" customHeight="1">
      <c r="W44" s="193"/>
      <c r="X44" s="193"/>
      <c r="Y44" s="193"/>
      <c r="Z44" s="193"/>
      <c r="AA44" s="193"/>
      <c r="AB44" s="193"/>
      <c r="AD44" s="492"/>
      <c r="AE44" s="492"/>
      <c r="AF44" s="159"/>
      <c r="AG44" s="493"/>
    </row>
    <row r="45" spans="1:36" ht="13" customHeight="1">
      <c r="AD45" s="492"/>
      <c r="AE45" s="492"/>
      <c r="AF45" s="159"/>
      <c r="AG45" s="493"/>
    </row>
    <row r="46" spans="1:36" ht="13" customHeight="1">
      <c r="AG46" s="493"/>
    </row>
    <row r="47" spans="1:36" ht="13" customHeight="1">
      <c r="AD47" s="492"/>
      <c r="AE47" s="492"/>
      <c r="AF47" s="159"/>
      <c r="AG47" s="493"/>
    </row>
    <row r="48" spans="1:36" ht="13" customHeight="1">
      <c r="AD48" s="492"/>
      <c r="AE48" s="492"/>
      <c r="AF48" s="159"/>
      <c r="AG48" s="493"/>
    </row>
    <row r="49" spans="32:34" ht="13" customHeight="1">
      <c r="AG49" s="493"/>
    </row>
    <row r="54" spans="32:34" ht="13" customHeight="1">
      <c r="AF54" s="490"/>
    </row>
    <row r="55" spans="32:34" ht="13" customHeight="1">
      <c r="AF55" s="490"/>
      <c r="AH55" s="229"/>
    </row>
    <row r="56" spans="32:34" ht="13" customHeight="1">
      <c r="AF56" s="490"/>
      <c r="AH56" s="491"/>
    </row>
    <row r="57" spans="32:34" ht="13" customHeight="1">
      <c r="AH57" s="491"/>
    </row>
    <row r="58" spans="32:34" ht="13" customHeight="1">
      <c r="AH58" s="491"/>
    </row>
  </sheetData>
  <sheetProtection algorithmName="SHA-512" hashValue="xu9ZEMeL2JLwL2ScaUKQf8GhbFFQ9jLuO7SUvbY2gCdqzC8cx3nAg+hD4nILrxyDodyZgUhu157ZcJwLsApBrQ==" saltValue="2jBAZE3raYlIMz4dKuOOdQ=="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D6E0A-FF71-1D4C-8C0E-32C40F189DDC}">
  <sheetPr codeName="Sheet19">
    <tabColor rgb="FFF7CAB0"/>
  </sheetPr>
  <dimension ref="A1:AI22"/>
  <sheetViews>
    <sheetView showGridLines="0" zoomScaleNormal="100" zoomScaleSheetLayoutView="5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8" width="10.83203125" style="116" customWidth="1"/>
    <col min="9" max="9" width="2.83203125" style="116" customWidth="1"/>
    <col min="10" max="28" width="10.83203125" style="116" customWidth="1"/>
    <col min="29" max="29" width="5.83203125" style="116" customWidth="1"/>
    <col min="30" max="31" width="10.83203125" style="116" customWidth="1"/>
    <col min="32" max="16384" width="10.83203125" style="116"/>
  </cols>
  <sheetData>
    <row r="1" spans="1:35" ht="13" customHeight="1">
      <c r="C1" s="117"/>
      <c r="D1" s="117"/>
      <c r="E1" s="117"/>
      <c r="F1" s="117"/>
      <c r="G1" s="117"/>
      <c r="H1" s="117"/>
      <c r="J1" s="117"/>
      <c r="K1" s="117"/>
      <c r="L1" s="117"/>
      <c r="M1" s="117"/>
      <c r="N1" s="117"/>
      <c r="O1" s="117"/>
      <c r="P1" s="117"/>
      <c r="Q1" s="117"/>
      <c r="R1" s="117"/>
    </row>
    <row r="2" spans="1:35" s="10" customFormat="1" ht="13" customHeight="1">
      <c r="B2" s="267" t="str">
        <f>IF('Summary | Sumário'!D$6=Names!B$3,Names!AA1,Names!AB1)</f>
        <v>Funding (IFRS,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322"/>
      <c r="J2" s="20" t="str">
        <f>IF('Summary | Sumário'!D6=Names!B3,Names!C6,Names!D6)</f>
        <v>1Q21</v>
      </c>
      <c r="K2" s="21" t="str">
        <f>IF('Summary | Sumário'!D6=Names!B3,Names!C7,Names!D7)</f>
        <v>2Q21</v>
      </c>
      <c r="L2" s="21" t="str">
        <f>IF('Summary | Sumário'!D6=Names!B3,Names!C8,Names!D8)</f>
        <v>3Q21</v>
      </c>
      <c r="M2" s="21" t="str">
        <f>IF('Summary | Sumário'!D6=Names!B3,Names!C9,Names!D9)</f>
        <v>4Q21</v>
      </c>
      <c r="N2" s="21" t="str">
        <f>IF('Summary | Sumário'!D6=Names!B3,Names!C10,Names!D10)</f>
        <v>1Q22</v>
      </c>
      <c r="O2" s="21" t="str">
        <f>IF('Summary | Sumário'!D6=Names!B3,Names!C11,Names!D11)</f>
        <v>2Q22</v>
      </c>
      <c r="P2" s="21" t="str">
        <f>IF('Summary | Sumário'!D6=Names!B3,Names!C12,Names!D12)</f>
        <v>3Q22</v>
      </c>
      <c r="Q2" s="21" t="str">
        <f>IF('Summary | Sumário'!D6=Names!B3,Names!C13,Names!D13)</f>
        <v>4Q22</v>
      </c>
      <c r="R2" s="21" t="str">
        <f>IF('Summary | Sumário'!D6=Names!B3,Names!C14,Names!D14)</f>
        <v>1Q23</v>
      </c>
      <c r="S2" s="21" t="str">
        <f>IF('Summary | Sumário'!D6=Names!B3,Names!C15,Names!D15)</f>
        <v>2Q23</v>
      </c>
      <c r="T2" s="21" t="str">
        <f>IF('Summary | Sumário'!D6=Names!B3,Names!C16,Names!D16)</f>
        <v>3Q23</v>
      </c>
      <c r="U2" s="21" t="str">
        <f>IF('Summary | Sumário'!D6=Names!B3,Names!C17,Names!D17)</f>
        <v>4Q23</v>
      </c>
      <c r="V2" s="21" t="str">
        <f>IF('Summary | Sumário'!D6=Names!B3,Names!C19,Names!D19)</f>
        <v>1Q24</v>
      </c>
      <c r="W2" s="21" t="str">
        <f>IF('Summary | Sumário'!D6=Names!B3,Names!C20,Names!D20)</f>
        <v>2Q24</v>
      </c>
      <c r="X2" s="21" t="str">
        <f>IF('Summary | Sumário'!D6=Names!B3,Names!C21,Names!D21)</f>
        <v>3Q24</v>
      </c>
      <c r="Y2" s="21" t="str">
        <f>IF('Summary | Sumário'!D6=Names!B3,Names!C22,Names!D22)</f>
        <v>4Q24</v>
      </c>
      <c r="Z2" s="21" t="str">
        <f>IF('Summary | Sumário'!D6=Names!B3,Names!C24,Names!D24)</f>
        <v>1Q25</v>
      </c>
      <c r="AA2" s="21" t="str">
        <f>IF('Summary | Sumário'!D6=Names!B3,Names!C25,Names!D25)</f>
        <v>2Q25</v>
      </c>
      <c r="AB2" s="269" t="str">
        <f>IF('Summary | Sumário'!D6=Names!B3,Names!C26,Names!D26)</f>
        <v>3Q25</v>
      </c>
      <c r="AC2" s="321"/>
      <c r="AD2" s="104" t="str">
        <f>IF('Summary | Sumário'!$D$6=Names!$B$3,Names!$I$24,Names!$J$24)</f>
        <v>QoQ Variation</v>
      </c>
      <c r="AE2" s="104" t="str">
        <f>IF('Summary | Sumário'!$D$6=Names!$B$3,Names!$I$25,Names!$J$25)</f>
        <v>YoY Variation</v>
      </c>
      <c r="AF2" s="11"/>
      <c r="AH2" s="12"/>
      <c r="AI2" s="13"/>
    </row>
    <row r="3" spans="1:35" ht="13" customHeight="1">
      <c r="B3" s="14"/>
      <c r="C3" s="126"/>
      <c r="D3" s="126"/>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row>
    <row r="4" spans="1:35" ht="13" customHeight="1">
      <c r="A4" s="211"/>
      <c r="B4" s="3" t="str">
        <f>IF('Summary | Sumário'!D$6=Names!B$3,Names!AA37,Names!AB10)</f>
        <v>All-in cost of funding</v>
      </c>
      <c r="AF4" s="219"/>
    </row>
    <row r="5" spans="1:35" ht="13" customHeight="1">
      <c r="A5" s="211"/>
      <c r="B5" s="271" t="str">
        <f>IF('Summary | Sumário'!D$6=Names!B$3,Names!AA11,Names!AB11)</f>
        <v>Annualized interest expenses</v>
      </c>
      <c r="C5" s="289">
        <f>C6</f>
        <v>256717</v>
      </c>
      <c r="D5" s="289">
        <f t="shared" ref="D5:F5" si="0">D6</f>
        <v>184335</v>
      </c>
      <c r="E5" s="289">
        <f t="shared" si="0"/>
        <v>543242</v>
      </c>
      <c r="F5" s="289">
        <f t="shared" si="0"/>
        <v>1972850</v>
      </c>
      <c r="G5" s="289">
        <f>G6</f>
        <v>2887573</v>
      </c>
      <c r="H5" s="289">
        <f>H6</f>
        <v>3311638.4190579997</v>
      </c>
      <c r="I5" s="179"/>
      <c r="J5" s="289">
        <f>J6*4</f>
        <v>262236</v>
      </c>
      <c r="K5" s="289">
        <f t="shared" ref="K5:AA5" si="1">K6*4</f>
        <v>345044</v>
      </c>
      <c r="L5" s="289">
        <f t="shared" si="1"/>
        <v>554348</v>
      </c>
      <c r="M5" s="289">
        <f t="shared" si="1"/>
        <v>1011340</v>
      </c>
      <c r="N5" s="289">
        <f t="shared" si="1"/>
        <v>1347084</v>
      </c>
      <c r="O5" s="289">
        <f t="shared" si="1"/>
        <v>1860164</v>
      </c>
      <c r="P5" s="289">
        <f t="shared" si="1"/>
        <v>2318712</v>
      </c>
      <c r="Q5" s="289">
        <f t="shared" si="1"/>
        <v>2365440</v>
      </c>
      <c r="R5" s="289">
        <f t="shared" si="1"/>
        <v>2691084</v>
      </c>
      <c r="S5" s="289">
        <f t="shared" si="1"/>
        <v>2768824</v>
      </c>
      <c r="T5" s="289">
        <f t="shared" si="1"/>
        <v>3081592</v>
      </c>
      <c r="U5" s="289">
        <f t="shared" si="1"/>
        <v>3008792.0200000005</v>
      </c>
      <c r="V5" s="289">
        <f t="shared" si="1"/>
        <v>3048987.5612000003</v>
      </c>
      <c r="W5" s="289">
        <f t="shared" si="1"/>
        <v>3090570.4360000002</v>
      </c>
      <c r="X5" s="289">
        <f t="shared" si="1"/>
        <v>3342466.872</v>
      </c>
      <c r="Y5" s="289">
        <f t="shared" si="1"/>
        <v>3764528.8070319993</v>
      </c>
      <c r="Z5" s="289">
        <f t="shared" si="1"/>
        <v>4716080</v>
      </c>
      <c r="AA5" s="289">
        <f t="shared" si="1"/>
        <v>5695832</v>
      </c>
      <c r="AB5" s="289">
        <f>AB6*4</f>
        <v>6615036</v>
      </c>
      <c r="AC5" s="179"/>
      <c r="AD5" s="348">
        <f>AB5/AA5-1</f>
        <v>0.16138186659999798</v>
      </c>
      <c r="AE5" s="348">
        <f>AB5/X5-1</f>
        <v>0.97908797703111539</v>
      </c>
      <c r="AF5" s="219"/>
    </row>
    <row r="6" spans="1:35" ht="13" customHeight="1">
      <c r="A6" s="211"/>
      <c r="B6" s="110" t="str">
        <f>IF('Summary | Sumário'!D$6=Names!B$3,Names!AA12,Names!AB12)</f>
        <v>Interest expenses</v>
      </c>
      <c r="C6" s="179">
        <v>256717</v>
      </c>
      <c r="D6" s="179">
        <v>184335</v>
      </c>
      <c r="E6" s="179">
        <v>543242</v>
      </c>
      <c r="F6" s="179">
        <v>1972850</v>
      </c>
      <c r="G6" s="179">
        <v>2887573</v>
      </c>
      <c r="H6" s="179">
        <v>3311638.4190579997</v>
      </c>
      <c r="I6" s="179"/>
      <c r="J6" s="179">
        <v>65559</v>
      </c>
      <c r="K6" s="179">
        <v>86261</v>
      </c>
      <c r="L6" s="179">
        <v>138587</v>
      </c>
      <c r="M6" s="179">
        <v>252835</v>
      </c>
      <c r="N6" s="179">
        <v>336771</v>
      </c>
      <c r="O6" s="179">
        <v>465041</v>
      </c>
      <c r="P6" s="179">
        <v>579678</v>
      </c>
      <c r="Q6" s="179">
        <v>591360</v>
      </c>
      <c r="R6" s="179">
        <v>672771</v>
      </c>
      <c r="S6" s="179">
        <v>692206</v>
      </c>
      <c r="T6" s="179">
        <v>770398</v>
      </c>
      <c r="U6" s="179">
        <v>752198.00500000012</v>
      </c>
      <c r="V6" s="179">
        <v>762246.89030000009</v>
      </c>
      <c r="W6" s="179">
        <v>772642.60900000005</v>
      </c>
      <c r="X6" s="179">
        <v>835616.71799999999</v>
      </c>
      <c r="Y6" s="179">
        <v>941132.20175799984</v>
      </c>
      <c r="Z6" s="179">
        <v>1179020</v>
      </c>
      <c r="AA6" s="179">
        <v>1423958</v>
      </c>
      <c r="AB6" s="179">
        <v>1653759</v>
      </c>
      <c r="AC6" s="179"/>
      <c r="AD6" s="349">
        <f t="shared" ref="AD6:AD9" si="2">AB6/AA6-1</f>
        <v>0.16138186659999798</v>
      </c>
      <c r="AE6" s="349">
        <f t="shared" ref="AE6:AE9" si="3">AB6/X6-1</f>
        <v>0.97908797703111539</v>
      </c>
      <c r="AF6" s="219"/>
    </row>
    <row r="7" spans="1:35" ht="13" customHeight="1">
      <c r="A7" s="211"/>
      <c r="B7" s="22" t="str">
        <f>IF('Summary | Sumário'!D$6=Names!B$3,Names!AA13,Names!AB13)</f>
        <v>(÷) Average funding</v>
      </c>
      <c r="C7" s="221">
        <f>AVERAGE(C8:C9)</f>
        <v>6974552</v>
      </c>
      <c r="D7" s="221">
        <f t="shared" ref="D7:Z7" si="4">AVERAGE(D8:D9)</f>
        <v>10635449.5</v>
      </c>
      <c r="E7" s="221">
        <f t="shared" si="4"/>
        <v>18670032</v>
      </c>
      <c r="F7" s="221">
        <f t="shared" si="4"/>
        <v>27780267.5</v>
      </c>
      <c r="G7" s="221">
        <f t="shared" si="4"/>
        <v>38014925</v>
      </c>
      <c r="H7" s="221">
        <f t="shared" si="4"/>
        <v>49289164.19822</v>
      </c>
      <c r="I7" s="220"/>
      <c r="J7" s="221">
        <f t="shared" si="4"/>
        <v>14818087.006689999</v>
      </c>
      <c r="K7" s="221">
        <f t="shared" si="4"/>
        <v>16731200.244014997</v>
      </c>
      <c r="L7" s="221">
        <f t="shared" si="4"/>
        <v>19641228.496824998</v>
      </c>
      <c r="M7" s="221">
        <f t="shared" si="4"/>
        <v>22101800.259500001</v>
      </c>
      <c r="N7" s="221">
        <f t="shared" si="4"/>
        <v>23894688</v>
      </c>
      <c r="O7" s="221">
        <f t="shared" si="4"/>
        <v>26211898</v>
      </c>
      <c r="P7" s="221">
        <f t="shared" si="4"/>
        <v>29183363</v>
      </c>
      <c r="Q7" s="221">
        <f t="shared" si="4"/>
        <v>31602703.5</v>
      </c>
      <c r="R7" s="221">
        <f t="shared" si="4"/>
        <v>33024751.5</v>
      </c>
      <c r="S7" s="221">
        <f t="shared" si="4"/>
        <v>34598886.020369999</v>
      </c>
      <c r="T7" s="221">
        <f t="shared" si="4"/>
        <v>37618356.800609998</v>
      </c>
      <c r="U7" s="221">
        <f t="shared" si="4"/>
        <v>41542329.280239999</v>
      </c>
      <c r="V7" s="221">
        <f t="shared" si="4"/>
        <v>43648306.502857968</v>
      </c>
      <c r="W7" s="221">
        <f t="shared" si="4"/>
        <v>45771591.04785797</v>
      </c>
      <c r="X7" s="221">
        <f t="shared" si="4"/>
        <v>49013724.09087</v>
      </c>
      <c r="Y7" s="221">
        <f t="shared" si="4"/>
        <v>52666571.744089998</v>
      </c>
      <c r="Z7" s="221">
        <f t="shared" si="4"/>
        <v>57069702.19822</v>
      </c>
      <c r="AA7" s="221">
        <f t="shared" ref="AA7" si="5">AVERAGE(AA8:AA9)</f>
        <v>60657909</v>
      </c>
      <c r="AB7" s="221">
        <f>AVERAGE(AB8:AB9)</f>
        <v>65095187</v>
      </c>
      <c r="AC7" s="220"/>
      <c r="AD7" s="354">
        <f t="shared" si="2"/>
        <v>7.3152505141580226E-2</v>
      </c>
      <c r="AE7" s="354">
        <f t="shared" si="3"/>
        <v>0.32810122485929538</v>
      </c>
      <c r="AF7" s="219"/>
    </row>
    <row r="8" spans="1:35" ht="13" customHeight="1">
      <c r="A8" s="211"/>
      <c r="B8" s="110" t="str">
        <f>IF('Summary | Sumário'!D$6=Names!B$3,Names!AA14,Names!AB14)</f>
        <v>Total funding</v>
      </c>
      <c r="C8" s="220">
        <f>'4. Funding'!C15</f>
        <v>6974552</v>
      </c>
      <c r="D8" s="220">
        <f>'4. Funding'!D15</f>
        <v>14296347</v>
      </c>
      <c r="E8" s="220">
        <f>'4. Funding'!E15</f>
        <v>23043717</v>
      </c>
      <c r="F8" s="220">
        <f>'4. Funding'!F15</f>
        <v>32516818</v>
      </c>
      <c r="G8" s="220">
        <f>'4. Funding'!G15</f>
        <v>43513032</v>
      </c>
      <c r="H8" s="220">
        <f>'4. Funding'!H15</f>
        <v>55065296.396439999</v>
      </c>
      <c r="I8" s="220"/>
      <c r="J8" s="220">
        <f>'4. Funding'!J15</f>
        <v>15339827.01338</v>
      </c>
      <c r="K8" s="220">
        <f>'4. Funding'!K15</f>
        <v>18122573.474649996</v>
      </c>
      <c r="L8" s="220">
        <f>'4. Funding'!L15</f>
        <v>21159883.519000001</v>
      </c>
      <c r="M8" s="220">
        <f>'4. Funding'!M15</f>
        <v>23043717</v>
      </c>
      <c r="N8" s="220">
        <f>'4. Funding'!N15</f>
        <v>24745659</v>
      </c>
      <c r="O8" s="220">
        <f>'4. Funding'!O15</f>
        <v>27678137</v>
      </c>
      <c r="P8" s="220">
        <f>'4. Funding'!P15</f>
        <v>30688589</v>
      </c>
      <c r="Q8" s="220">
        <f>'4. Funding'!Q15</f>
        <v>32516818</v>
      </c>
      <c r="R8" s="220">
        <f>'4. Funding'!R15</f>
        <v>33532685</v>
      </c>
      <c r="S8" s="220">
        <f>'4. Funding'!S15</f>
        <v>35665087.040739998</v>
      </c>
      <c r="T8" s="220">
        <f>'4. Funding'!T15</f>
        <v>39571626.560479999</v>
      </c>
      <c r="U8" s="220">
        <f>'4. Funding'!U15</f>
        <v>43513032</v>
      </c>
      <c r="V8" s="220">
        <f>'4. Funding'!V15</f>
        <v>43783581.005715944</v>
      </c>
      <c r="W8" s="220">
        <f>'4. Funding'!W15</f>
        <v>47759601.090000004</v>
      </c>
      <c r="X8" s="220">
        <f>'4. Funding'!X15</f>
        <v>50267847.091739997</v>
      </c>
      <c r="Y8" s="220">
        <f>'4. Funding'!Y15</f>
        <v>55065296.396439999</v>
      </c>
      <c r="Z8" s="220">
        <f>'4. Funding'!Z15</f>
        <v>59074108</v>
      </c>
      <c r="AA8" s="220">
        <f>'4. Funding'!AA15</f>
        <v>62241710</v>
      </c>
      <c r="AB8" s="220">
        <f>'4. Funding'!AB15</f>
        <v>67948664</v>
      </c>
      <c r="AC8" s="220"/>
      <c r="AD8" s="353">
        <f t="shared" si="2"/>
        <v>9.1690186532471518E-2</v>
      </c>
      <c r="AE8" s="353">
        <f t="shared" si="3"/>
        <v>0.35173212960547318</v>
      </c>
      <c r="AF8" s="219"/>
    </row>
    <row r="9" spans="1:35" ht="13" customHeight="1">
      <c r="A9" s="211"/>
      <c r="B9" s="111" t="str">
        <f>IF('Summary | Sumário'!D$6=Names!B$3,Names!AA15,Names!AB15)</f>
        <v>Total funding in the previous period</v>
      </c>
      <c r="C9" s="221">
        <f>C8</f>
        <v>6974552</v>
      </c>
      <c r="D9" s="221">
        <f>C8</f>
        <v>6974552</v>
      </c>
      <c r="E9" s="221">
        <f t="shared" ref="E9:AB9" si="6">D8</f>
        <v>14296347</v>
      </c>
      <c r="F9" s="221">
        <f t="shared" si="6"/>
        <v>23043717</v>
      </c>
      <c r="G9" s="221">
        <f t="shared" si="6"/>
        <v>32516818</v>
      </c>
      <c r="H9" s="221">
        <f t="shared" si="6"/>
        <v>43513032</v>
      </c>
      <c r="I9" s="220"/>
      <c r="J9" s="221">
        <f>D8</f>
        <v>14296347</v>
      </c>
      <c r="K9" s="221">
        <f t="shared" si="6"/>
        <v>15339827.01338</v>
      </c>
      <c r="L9" s="221">
        <f t="shared" si="6"/>
        <v>18122573.474649996</v>
      </c>
      <c r="M9" s="221">
        <f t="shared" si="6"/>
        <v>21159883.519000001</v>
      </c>
      <c r="N9" s="221">
        <f t="shared" si="6"/>
        <v>23043717</v>
      </c>
      <c r="O9" s="221">
        <f t="shared" si="6"/>
        <v>24745659</v>
      </c>
      <c r="P9" s="221">
        <f t="shared" si="6"/>
        <v>27678137</v>
      </c>
      <c r="Q9" s="221">
        <f t="shared" si="6"/>
        <v>30688589</v>
      </c>
      <c r="R9" s="221">
        <f t="shared" si="6"/>
        <v>32516818</v>
      </c>
      <c r="S9" s="221">
        <f t="shared" si="6"/>
        <v>33532685</v>
      </c>
      <c r="T9" s="221">
        <f t="shared" si="6"/>
        <v>35665087.040739998</v>
      </c>
      <c r="U9" s="221">
        <f t="shared" si="6"/>
        <v>39571626.560479999</v>
      </c>
      <c r="V9" s="221">
        <f t="shared" si="6"/>
        <v>43513032</v>
      </c>
      <c r="W9" s="221">
        <f t="shared" si="6"/>
        <v>43783581.005715944</v>
      </c>
      <c r="X9" s="221">
        <f t="shared" si="6"/>
        <v>47759601.090000004</v>
      </c>
      <c r="Y9" s="221">
        <f t="shared" si="6"/>
        <v>50267847.091739997</v>
      </c>
      <c r="Z9" s="221">
        <f t="shared" si="6"/>
        <v>55065296.396439999</v>
      </c>
      <c r="AA9" s="221">
        <f t="shared" si="6"/>
        <v>59074108</v>
      </c>
      <c r="AB9" s="221">
        <f t="shared" si="6"/>
        <v>62241710</v>
      </c>
      <c r="AC9" s="220"/>
      <c r="AD9" s="354">
        <f t="shared" si="2"/>
        <v>5.3620818108671253E-2</v>
      </c>
      <c r="AE9" s="354">
        <f t="shared" si="3"/>
        <v>0.30322926865970601</v>
      </c>
      <c r="AF9" s="219"/>
    </row>
    <row r="10" spans="1:35" ht="13" customHeight="1">
      <c r="A10" s="211"/>
      <c r="B10" s="287" t="str">
        <f>IF('Summary | Sumário'!D$6=Names!B$3,Names!AA36,Names!AB16)</f>
        <v>All-in cost of funding (%)</v>
      </c>
      <c r="C10" s="297">
        <f>C5/C7</f>
        <v>3.6807668793637213E-2</v>
      </c>
      <c r="D10" s="297">
        <f t="shared" ref="D10:Z10" si="7">D5/D7</f>
        <v>1.7332130625978714E-2</v>
      </c>
      <c r="E10" s="297">
        <f t="shared" si="7"/>
        <v>2.9097004225809575E-2</v>
      </c>
      <c r="F10" s="297">
        <f t="shared" si="7"/>
        <v>7.1016234814873541E-2</v>
      </c>
      <c r="G10" s="297">
        <f t="shared" si="7"/>
        <v>7.5958929288956908E-2</v>
      </c>
      <c r="H10" s="297">
        <f t="shared" si="7"/>
        <v>6.7187960537127431E-2</v>
      </c>
      <c r="I10" s="324"/>
      <c r="J10" s="297">
        <f t="shared" si="7"/>
        <v>1.7697021206691994E-2</v>
      </c>
      <c r="K10" s="297">
        <f t="shared" si="7"/>
        <v>2.0622788261913692E-2</v>
      </c>
      <c r="L10" s="297">
        <f t="shared" si="7"/>
        <v>2.8223692835181377E-2</v>
      </c>
      <c r="M10" s="297">
        <f t="shared" si="7"/>
        <v>4.5758263495540207E-2</v>
      </c>
      <c r="N10" s="297">
        <f t="shared" si="7"/>
        <v>5.637587734981097E-2</v>
      </c>
      <c r="O10" s="297">
        <f t="shared" si="7"/>
        <v>7.0966398541608855E-2</v>
      </c>
      <c r="P10" s="297">
        <f t="shared" si="7"/>
        <v>7.9453214490735696E-2</v>
      </c>
      <c r="Q10" s="297">
        <f t="shared" si="7"/>
        <v>7.48492925613152E-2</v>
      </c>
      <c r="R10" s="297">
        <f t="shared" si="7"/>
        <v>8.148688113519946E-2</v>
      </c>
      <c r="S10" s="297">
        <f t="shared" si="7"/>
        <v>8.0026391554047796E-2</v>
      </c>
      <c r="T10" s="297">
        <f t="shared" si="7"/>
        <v>8.1917240998416782E-2</v>
      </c>
      <c r="U10" s="297">
        <f t="shared" si="7"/>
        <v>7.2427138105401342E-2</v>
      </c>
      <c r="V10" s="297">
        <f t="shared" si="7"/>
        <v>6.9853513354529828E-2</v>
      </c>
      <c r="W10" s="297">
        <f t="shared" si="7"/>
        <v>6.7521586321274127E-2</v>
      </c>
      <c r="X10" s="297">
        <f t="shared" si="7"/>
        <v>6.8194509476634843E-2</v>
      </c>
      <c r="Y10" s="297">
        <f t="shared" si="7"/>
        <v>7.1478523897930329E-2</v>
      </c>
      <c r="Z10" s="297">
        <f t="shared" si="7"/>
        <v>8.2637193087492483E-2</v>
      </c>
      <c r="AA10" s="297">
        <f t="shared" ref="AA10" si="8">AA5/AA7</f>
        <v>9.3900895924388036E-2</v>
      </c>
      <c r="AB10" s="297">
        <f>AB5/AB7</f>
        <v>0.10162096930453553</v>
      </c>
      <c r="AC10" s="324"/>
      <c r="AD10" s="356">
        <f>(AB10-AA10)*100</f>
        <v>0.77200733801474908</v>
      </c>
      <c r="AE10" s="356">
        <f>(AB10-X10)*100</f>
        <v>3.3426459827900685</v>
      </c>
      <c r="AF10" s="219"/>
    </row>
    <row r="11" spans="1:35" ht="13" customHeight="1">
      <c r="A11" s="211"/>
      <c r="B11" s="112" t="str">
        <f>IF('Summary | Sumário'!D$6=Names!B$3,Names!AA17,Names!AB17)</f>
        <v>(÷) Average daily CDI rate in the period (%)</v>
      </c>
      <c r="C11" s="225">
        <v>5.9375494071146499E-2</v>
      </c>
      <c r="D11" s="225">
        <v>2.7735059760956016E-2</v>
      </c>
      <c r="E11" s="225">
        <v>4.4600000000000001E-2</v>
      </c>
      <c r="F11" s="225">
        <v>0.124527888446216</v>
      </c>
      <c r="G11" s="225">
        <v>0.1320823293</v>
      </c>
      <c r="H11" s="225">
        <v>0.10831818181818199</v>
      </c>
      <c r="I11" s="222"/>
      <c r="J11" s="225">
        <v>2.022950819672133E-2</v>
      </c>
      <c r="K11" s="225">
        <v>3.2427419354838741E-2</v>
      </c>
      <c r="L11" s="225">
        <v>4.8576923076923101E-2</v>
      </c>
      <c r="M11" s="225">
        <v>7.6261904761904697E-2</v>
      </c>
      <c r="N11" s="225">
        <v>0.10270967741935499</v>
      </c>
      <c r="O11" s="225">
        <v>0.123758064516129</v>
      </c>
      <c r="P11" s="225">
        <v>0.13465384615384601</v>
      </c>
      <c r="Q11" s="225">
        <v>0.13650000000000001</v>
      </c>
      <c r="R11" s="225">
        <v>0.13650000000000001</v>
      </c>
      <c r="S11" s="225">
        <v>0.13650000000000001</v>
      </c>
      <c r="T11" s="225">
        <v>0.13275000000000001</v>
      </c>
      <c r="U11" s="225">
        <v>0.1224016393</v>
      </c>
      <c r="V11" s="225">
        <v>0.11281147540983601</v>
      </c>
      <c r="W11" s="225">
        <v>0.10507142857142864</v>
      </c>
      <c r="X11" s="225">
        <v>0.10430303030303033</v>
      </c>
      <c r="Y11" s="225">
        <v>0.1114206349206348</v>
      </c>
      <c r="Z11" s="225">
        <v>0.129532786885246</v>
      </c>
      <c r="AA11" s="225">
        <v>0.14481967213114699</v>
      </c>
      <c r="AB11" s="225">
        <v>0.14899999999999999</v>
      </c>
      <c r="AC11" s="222"/>
      <c r="AD11" s="344">
        <f t="shared" ref="AD11:AD12" si="9">(AB11-AA11)*100</f>
        <v>0.4180327868853001</v>
      </c>
      <c r="AE11" s="344">
        <f t="shared" ref="AE11:AE12" si="10">(AB11-X11)*100</f>
        <v>4.4696969696969662</v>
      </c>
      <c r="AF11" s="219"/>
    </row>
    <row r="12" spans="1:35" ht="13" customHeight="1">
      <c r="A12" s="211"/>
      <c r="B12" s="287" t="str">
        <f>IF('Summary | Sumário'!D$6=Names!B$3,Names!AA35,Names!AB18)</f>
        <v>All-in cost of funding % of CDI</v>
      </c>
      <c r="C12" s="297">
        <f t="shared" ref="C12:Z12" si="11">C10/C11</f>
        <v>0.61991347389097162</v>
      </c>
      <c r="D12" s="297">
        <f t="shared" si="11"/>
        <v>0.62491773139706708</v>
      </c>
      <c r="E12" s="297">
        <f t="shared" si="11"/>
        <v>0.65239919788810707</v>
      </c>
      <c r="F12" s="297">
        <f t="shared" si="11"/>
        <v>0.57028377900702687</v>
      </c>
      <c r="G12" s="297">
        <f t="shared" si="11"/>
        <v>0.57508774785785755</v>
      </c>
      <c r="H12" s="297">
        <f t="shared" si="11"/>
        <v>0.62028331171498152</v>
      </c>
      <c r="I12" s="324"/>
      <c r="J12" s="297">
        <f t="shared" si="11"/>
        <v>0.87481223144911713</v>
      </c>
      <c r="K12" s="297">
        <f t="shared" si="11"/>
        <v>0.63596760618684289</v>
      </c>
      <c r="L12" s="297">
        <f t="shared" si="11"/>
        <v>0.58101030381212626</v>
      </c>
      <c r="M12" s="297">
        <f t="shared" si="11"/>
        <v>0.60001469460277557</v>
      </c>
      <c r="N12" s="297">
        <f t="shared" si="11"/>
        <v>0.54888574052893768</v>
      </c>
      <c r="O12" s="297">
        <f t="shared" si="11"/>
        <v>0.57342847772445593</v>
      </c>
      <c r="P12" s="297">
        <f t="shared" si="11"/>
        <v>0.59005529184779504</v>
      </c>
      <c r="Q12" s="297">
        <f t="shared" si="11"/>
        <v>0.54834646565066081</v>
      </c>
      <c r="R12" s="297">
        <f t="shared" si="11"/>
        <v>0.59697348816995932</v>
      </c>
      <c r="S12" s="297">
        <f t="shared" si="11"/>
        <v>0.5862739307988849</v>
      </c>
      <c r="T12" s="297">
        <f t="shared" si="11"/>
        <v>0.61707902823666128</v>
      </c>
      <c r="U12" s="297">
        <f t="shared" si="11"/>
        <v>0.59171705967014232</v>
      </c>
      <c r="V12" s="297">
        <f t="shared" si="11"/>
        <v>0.61920574215306567</v>
      </c>
      <c r="W12" s="297">
        <f t="shared" si="11"/>
        <v>0.64262556661987569</v>
      </c>
      <c r="X12" s="297">
        <f t="shared" si="11"/>
        <v>0.65381139242560993</v>
      </c>
      <c r="Y12" s="297">
        <f t="shared" si="11"/>
        <v>0.64151962469828561</v>
      </c>
      <c r="Z12" s="297">
        <f t="shared" si="11"/>
        <v>0.63796352317117477</v>
      </c>
      <c r="AA12" s="297">
        <f t="shared" ref="AA12" si="12">AA10/AA11</f>
        <v>0.64839876062799318</v>
      </c>
      <c r="AB12" s="297">
        <f>AB10/AB11</f>
        <v>0.68201992821835933</v>
      </c>
      <c r="AC12" s="324"/>
      <c r="AD12" s="356">
        <f t="shared" si="9"/>
        <v>3.3621167590366152</v>
      </c>
      <c r="AE12" s="356">
        <f t="shared" si="10"/>
        <v>2.8208535792749401</v>
      </c>
      <c r="AF12" s="219"/>
    </row>
    <row r="13" spans="1:35" ht="13" customHeight="1">
      <c r="A13" s="211"/>
      <c r="AF13" s="219"/>
    </row>
    <row r="14" spans="1:35" ht="13" customHeight="1">
      <c r="B14" s="3" t="s">
        <v>851</v>
      </c>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row>
    <row r="15" spans="1:35" ht="13" customHeight="1">
      <c r="B15" s="271" t="s">
        <v>466</v>
      </c>
      <c r="C15" s="289">
        <f>C16</f>
        <v>256717</v>
      </c>
      <c r="D15" s="289">
        <f t="shared" ref="D15:H15" si="13">D16</f>
        <v>184335</v>
      </c>
      <c r="E15" s="289">
        <f t="shared" si="13"/>
        <v>543242</v>
      </c>
      <c r="F15" s="289">
        <f t="shared" si="13"/>
        <v>1972850</v>
      </c>
      <c r="G15" s="289">
        <f t="shared" si="13"/>
        <v>2887573</v>
      </c>
      <c r="H15" s="289">
        <f t="shared" si="13"/>
        <v>3311638.4190579997</v>
      </c>
      <c r="I15" s="226"/>
      <c r="J15" s="289">
        <f>J16*4</f>
        <v>262236</v>
      </c>
      <c r="K15" s="289">
        <f t="shared" ref="K15:AB15" si="14">K16*4</f>
        <v>345044</v>
      </c>
      <c r="L15" s="289">
        <f t="shared" si="14"/>
        <v>554348</v>
      </c>
      <c r="M15" s="289">
        <f t="shared" si="14"/>
        <v>1011340</v>
      </c>
      <c r="N15" s="289">
        <f t="shared" si="14"/>
        <v>1347084</v>
      </c>
      <c r="O15" s="289">
        <f t="shared" si="14"/>
        <v>1860164</v>
      </c>
      <c r="P15" s="289">
        <f t="shared" si="14"/>
        <v>2318712</v>
      </c>
      <c r="Q15" s="289">
        <f t="shared" si="14"/>
        <v>2365440</v>
      </c>
      <c r="R15" s="289">
        <f t="shared" si="14"/>
        <v>2691084</v>
      </c>
      <c r="S15" s="289">
        <f t="shared" si="14"/>
        <v>2768824</v>
      </c>
      <c r="T15" s="289">
        <f t="shared" si="14"/>
        <v>3081592</v>
      </c>
      <c r="U15" s="289">
        <f t="shared" si="14"/>
        <v>3008792.0200000005</v>
      </c>
      <c r="V15" s="289">
        <f t="shared" si="14"/>
        <v>3048987.5612000003</v>
      </c>
      <c r="W15" s="289">
        <f t="shared" si="14"/>
        <v>3090570.4360000002</v>
      </c>
      <c r="X15" s="289">
        <f t="shared" si="14"/>
        <v>3342466.872</v>
      </c>
      <c r="Y15" s="289">
        <f t="shared" si="14"/>
        <v>3764528.8070319993</v>
      </c>
      <c r="Z15" s="289">
        <f t="shared" si="14"/>
        <v>4716080</v>
      </c>
      <c r="AA15" s="289">
        <f t="shared" si="14"/>
        <v>5695832</v>
      </c>
      <c r="AB15" s="289">
        <f t="shared" si="14"/>
        <v>6615036</v>
      </c>
      <c r="AC15" s="226"/>
      <c r="AD15" s="348">
        <f>AB15/AA15-1</f>
        <v>0.16138186659999798</v>
      </c>
      <c r="AE15" s="348">
        <f>AB15/X15-1</f>
        <v>0.97908797703111539</v>
      </c>
      <c r="AG15" s="149"/>
    </row>
    <row r="16" spans="1:35" ht="13" customHeight="1">
      <c r="A16" s="211"/>
      <c r="B16" s="110" t="s">
        <v>111</v>
      </c>
      <c r="C16" s="179">
        <v>256717</v>
      </c>
      <c r="D16" s="179">
        <v>184335</v>
      </c>
      <c r="E16" s="179">
        <v>543242</v>
      </c>
      <c r="F16" s="179">
        <v>1972850</v>
      </c>
      <c r="G16" s="179">
        <v>2887573</v>
      </c>
      <c r="H16" s="179">
        <v>3311638.4190579997</v>
      </c>
      <c r="I16" s="179"/>
      <c r="J16" s="179">
        <v>65559</v>
      </c>
      <c r="K16" s="179">
        <v>86261</v>
      </c>
      <c r="L16" s="179">
        <v>138587</v>
      </c>
      <c r="M16" s="179">
        <v>252835</v>
      </c>
      <c r="N16" s="179">
        <v>336771</v>
      </c>
      <c r="O16" s="179">
        <v>465041</v>
      </c>
      <c r="P16" s="179">
        <v>579678</v>
      </c>
      <c r="Q16" s="179">
        <v>591360</v>
      </c>
      <c r="R16" s="179">
        <v>672771</v>
      </c>
      <c r="S16" s="179">
        <v>692206</v>
      </c>
      <c r="T16" s="179">
        <v>770398</v>
      </c>
      <c r="U16" s="179">
        <v>752198.00500000012</v>
      </c>
      <c r="V16" s="179">
        <v>762246.89030000009</v>
      </c>
      <c r="W16" s="179">
        <v>772642.60900000005</v>
      </c>
      <c r="X16" s="179">
        <v>835616.71799999999</v>
      </c>
      <c r="Y16" s="179">
        <v>941132.20175799984</v>
      </c>
      <c r="Z16" s="179">
        <v>1179020</v>
      </c>
      <c r="AA16" s="179">
        <v>1423958</v>
      </c>
      <c r="AB16" s="179">
        <v>1653759</v>
      </c>
      <c r="AC16" s="226"/>
      <c r="AD16" s="349">
        <f t="shared" ref="AD16:AD19" si="15">AB16/AA16-1</f>
        <v>0.16138186659999798</v>
      </c>
      <c r="AE16" s="349">
        <f t="shared" ref="AE16:AE19" si="16">AB16/X16-1</f>
        <v>0.97908797703111539</v>
      </c>
      <c r="AF16" s="149"/>
      <c r="AG16" s="149"/>
      <c r="AH16" s="208"/>
    </row>
    <row r="17" spans="1:32" ht="13" customHeight="1">
      <c r="A17" s="211"/>
      <c r="B17" s="53" t="s">
        <v>1139</v>
      </c>
      <c r="C17" s="704">
        <v>253</v>
      </c>
      <c r="D17" s="704">
        <v>251</v>
      </c>
      <c r="E17" s="704">
        <v>251</v>
      </c>
      <c r="F17" s="704">
        <v>251</v>
      </c>
      <c r="G17" s="704">
        <v>249</v>
      </c>
      <c r="H17" s="704">
        <v>253</v>
      </c>
      <c r="I17" s="222"/>
      <c r="J17" s="704">
        <v>61</v>
      </c>
      <c r="K17" s="704">
        <v>62</v>
      </c>
      <c r="L17" s="704">
        <v>65</v>
      </c>
      <c r="M17" s="704">
        <v>63</v>
      </c>
      <c r="N17" s="704">
        <v>62</v>
      </c>
      <c r="O17" s="704">
        <v>62</v>
      </c>
      <c r="P17" s="704">
        <v>65</v>
      </c>
      <c r="Q17" s="704">
        <v>62</v>
      </c>
      <c r="R17" s="704">
        <v>63</v>
      </c>
      <c r="S17" s="704">
        <v>61</v>
      </c>
      <c r="T17" s="704">
        <v>64</v>
      </c>
      <c r="U17" s="704">
        <v>61</v>
      </c>
      <c r="V17" s="704">
        <v>61</v>
      </c>
      <c r="W17" s="704">
        <v>63</v>
      </c>
      <c r="X17" s="704">
        <v>66</v>
      </c>
      <c r="Y17" s="704">
        <v>63</v>
      </c>
      <c r="Z17" s="704">
        <v>61</v>
      </c>
      <c r="AA17" s="704">
        <v>61</v>
      </c>
      <c r="AB17" s="704">
        <v>66</v>
      </c>
      <c r="AC17" s="222"/>
      <c r="AD17" s="354">
        <f t="shared" si="15"/>
        <v>8.1967213114754189E-2</v>
      </c>
      <c r="AE17" s="354">
        <f t="shared" si="16"/>
        <v>0</v>
      </c>
    </row>
    <row r="18" spans="1:32" ht="13" customHeight="1">
      <c r="A18" s="211"/>
      <c r="B18" s="702" t="s">
        <v>522</v>
      </c>
      <c r="C18" s="220">
        <f t="shared" ref="C18:G18" si="17">AVERAGE(C19:C20)</f>
        <v>6974552</v>
      </c>
      <c r="D18" s="220">
        <f t="shared" si="17"/>
        <v>10635449.5</v>
      </c>
      <c r="E18" s="220">
        <f t="shared" si="17"/>
        <v>18670032</v>
      </c>
      <c r="F18" s="220">
        <f t="shared" si="17"/>
        <v>27780267.5</v>
      </c>
      <c r="G18" s="220">
        <f t="shared" si="17"/>
        <v>38014925</v>
      </c>
      <c r="H18" s="220">
        <f t="shared" ref="H18" si="18">AVERAGE(H19:H20)</f>
        <v>49289164.19822</v>
      </c>
      <c r="J18" s="220">
        <f t="shared" ref="J18:Q18" si="19">AVERAGE(J19:J20)</f>
        <v>14818087.006689999</v>
      </c>
      <c r="K18" s="220">
        <f t="shared" si="19"/>
        <v>16731200.244014997</v>
      </c>
      <c r="L18" s="220">
        <f t="shared" si="19"/>
        <v>19641228.496824998</v>
      </c>
      <c r="M18" s="220">
        <f t="shared" si="19"/>
        <v>22101800.259500001</v>
      </c>
      <c r="N18" s="220">
        <f t="shared" si="19"/>
        <v>23894688</v>
      </c>
      <c r="O18" s="220">
        <f t="shared" si="19"/>
        <v>26211898</v>
      </c>
      <c r="P18" s="220">
        <f t="shared" si="19"/>
        <v>29183363</v>
      </c>
      <c r="Q18" s="220">
        <f t="shared" si="19"/>
        <v>31602703.5</v>
      </c>
      <c r="R18" s="220">
        <f t="shared" ref="R18:AB18" si="20">AVERAGE(R19:R20)</f>
        <v>33024751.5</v>
      </c>
      <c r="S18" s="220">
        <f t="shared" si="20"/>
        <v>34598886.020369999</v>
      </c>
      <c r="T18" s="220">
        <f t="shared" si="20"/>
        <v>37618356.800609998</v>
      </c>
      <c r="U18" s="220">
        <f t="shared" si="20"/>
        <v>41542329.280239999</v>
      </c>
      <c r="V18" s="220">
        <f t="shared" si="20"/>
        <v>43648306.502857968</v>
      </c>
      <c r="W18" s="220">
        <f t="shared" si="20"/>
        <v>45771591.04785797</v>
      </c>
      <c r="X18" s="220">
        <f t="shared" si="20"/>
        <v>49013724.09087</v>
      </c>
      <c r="Y18" s="220">
        <f t="shared" si="20"/>
        <v>52666571.744089998</v>
      </c>
      <c r="Z18" s="220">
        <f t="shared" si="20"/>
        <v>57069702.19822</v>
      </c>
      <c r="AA18" s="220">
        <f t="shared" si="20"/>
        <v>60657909</v>
      </c>
      <c r="AB18" s="220">
        <f t="shared" si="20"/>
        <v>65095187</v>
      </c>
      <c r="AD18" s="353">
        <f t="shared" si="15"/>
        <v>7.3152505141580226E-2</v>
      </c>
      <c r="AE18" s="353">
        <f t="shared" si="16"/>
        <v>0.32810122485929538</v>
      </c>
      <c r="AF18" s="185"/>
    </row>
    <row r="19" spans="1:32" ht="13" customHeight="1">
      <c r="B19" s="111" t="s">
        <v>400</v>
      </c>
      <c r="C19" s="221">
        <f t="shared" ref="C19:G20" si="21">C8</f>
        <v>6974552</v>
      </c>
      <c r="D19" s="221">
        <f t="shared" si="21"/>
        <v>14296347</v>
      </c>
      <c r="E19" s="221">
        <f t="shared" si="21"/>
        <v>23043717</v>
      </c>
      <c r="F19" s="221">
        <f t="shared" si="21"/>
        <v>32516818</v>
      </c>
      <c r="G19" s="221">
        <f t="shared" si="21"/>
        <v>43513032</v>
      </c>
      <c r="H19" s="221">
        <f t="shared" ref="H19" si="22">H8</f>
        <v>55065296.396439999</v>
      </c>
      <c r="J19" s="221">
        <f t="shared" ref="J19:Q19" si="23">J8</f>
        <v>15339827.01338</v>
      </c>
      <c r="K19" s="221">
        <f t="shared" si="23"/>
        <v>18122573.474649996</v>
      </c>
      <c r="L19" s="221">
        <f t="shared" si="23"/>
        <v>21159883.519000001</v>
      </c>
      <c r="M19" s="221">
        <f t="shared" si="23"/>
        <v>23043717</v>
      </c>
      <c r="N19" s="221">
        <f t="shared" si="23"/>
        <v>24745659</v>
      </c>
      <c r="O19" s="221">
        <f t="shared" si="23"/>
        <v>27678137</v>
      </c>
      <c r="P19" s="221">
        <f t="shared" si="23"/>
        <v>30688589</v>
      </c>
      <c r="Q19" s="221">
        <f t="shared" si="23"/>
        <v>32516818</v>
      </c>
      <c r="R19" s="221">
        <f>R8</f>
        <v>33532685</v>
      </c>
      <c r="S19" s="221">
        <f t="shared" ref="S19:AB19" si="24">S8</f>
        <v>35665087.040739998</v>
      </c>
      <c r="T19" s="221">
        <f t="shared" si="24"/>
        <v>39571626.560479999</v>
      </c>
      <c r="U19" s="221">
        <f t="shared" si="24"/>
        <v>43513032</v>
      </c>
      <c r="V19" s="221">
        <f t="shared" si="24"/>
        <v>43783581.005715944</v>
      </c>
      <c r="W19" s="221">
        <f t="shared" si="24"/>
        <v>47759601.090000004</v>
      </c>
      <c r="X19" s="221">
        <f t="shared" si="24"/>
        <v>50267847.091739997</v>
      </c>
      <c r="Y19" s="221">
        <f t="shared" si="24"/>
        <v>55065296.396439999</v>
      </c>
      <c r="Z19" s="221">
        <f t="shared" si="24"/>
        <v>59074108</v>
      </c>
      <c r="AA19" s="221">
        <f t="shared" si="24"/>
        <v>62241710</v>
      </c>
      <c r="AB19" s="221">
        <f t="shared" si="24"/>
        <v>67948664</v>
      </c>
      <c r="AD19" s="354">
        <f t="shared" si="15"/>
        <v>9.1690186532471518E-2</v>
      </c>
      <c r="AE19" s="354">
        <f t="shared" si="16"/>
        <v>0.35173212960547318</v>
      </c>
      <c r="AF19" s="185"/>
    </row>
    <row r="20" spans="1:32" ht="13" customHeight="1">
      <c r="B20" s="703" t="s">
        <v>568</v>
      </c>
      <c r="C20" s="220">
        <f t="shared" si="21"/>
        <v>6974552</v>
      </c>
      <c r="D20" s="220">
        <f t="shared" si="21"/>
        <v>6974552</v>
      </c>
      <c r="E20" s="220">
        <f t="shared" si="21"/>
        <v>14296347</v>
      </c>
      <c r="F20" s="220">
        <f t="shared" si="21"/>
        <v>23043717</v>
      </c>
      <c r="G20" s="220">
        <f t="shared" si="21"/>
        <v>32516818</v>
      </c>
      <c r="H20" s="220">
        <f t="shared" ref="H20" si="25">H9</f>
        <v>43513032</v>
      </c>
      <c r="J20" s="220">
        <f t="shared" ref="J20:Q20" si="26">J9</f>
        <v>14296347</v>
      </c>
      <c r="K20" s="220">
        <f t="shared" si="26"/>
        <v>15339827.01338</v>
      </c>
      <c r="L20" s="220">
        <f t="shared" si="26"/>
        <v>18122573.474649996</v>
      </c>
      <c r="M20" s="220">
        <f t="shared" si="26"/>
        <v>21159883.519000001</v>
      </c>
      <c r="N20" s="220">
        <f t="shared" si="26"/>
        <v>23043717</v>
      </c>
      <c r="O20" s="220">
        <f t="shared" si="26"/>
        <v>24745659</v>
      </c>
      <c r="P20" s="220">
        <f t="shared" si="26"/>
        <v>27678137</v>
      </c>
      <c r="Q20" s="220">
        <f t="shared" si="26"/>
        <v>30688589</v>
      </c>
      <c r="R20" s="220">
        <f>R9</f>
        <v>32516818</v>
      </c>
      <c r="S20" s="220">
        <f t="shared" ref="S20:AB20" si="27">S9</f>
        <v>33532685</v>
      </c>
      <c r="T20" s="220">
        <f t="shared" si="27"/>
        <v>35665087.040739998</v>
      </c>
      <c r="U20" s="220">
        <f t="shared" si="27"/>
        <v>39571626.560479999</v>
      </c>
      <c r="V20" s="220">
        <f t="shared" si="27"/>
        <v>43513032</v>
      </c>
      <c r="W20" s="220">
        <f t="shared" si="27"/>
        <v>43783581.005715944</v>
      </c>
      <c r="X20" s="220">
        <f t="shared" si="27"/>
        <v>47759601.090000004</v>
      </c>
      <c r="Y20" s="220">
        <f t="shared" si="27"/>
        <v>50267847.091739997</v>
      </c>
      <c r="Z20" s="220">
        <f t="shared" si="27"/>
        <v>55065296.396439999</v>
      </c>
      <c r="AA20" s="220">
        <f t="shared" si="27"/>
        <v>59074108</v>
      </c>
      <c r="AB20" s="220">
        <f t="shared" si="27"/>
        <v>62241710</v>
      </c>
      <c r="AD20" s="353">
        <f t="shared" ref="AD20" si="28">AB20/AA20-1</f>
        <v>5.3620818108671253E-2</v>
      </c>
      <c r="AE20" s="353">
        <f t="shared" ref="AE20" si="29">AB20/X20-1</f>
        <v>0.30322926865970601</v>
      </c>
    </row>
    <row r="21" spans="1:32" ht="13" customHeight="1">
      <c r="B21" s="112" t="s">
        <v>609</v>
      </c>
      <c r="C21" s="361">
        <f t="shared" ref="C21:H21" si="30">C11</f>
        <v>5.9375494071146499E-2</v>
      </c>
      <c r="D21" s="361">
        <f t="shared" si="30"/>
        <v>2.7735059760956016E-2</v>
      </c>
      <c r="E21" s="361">
        <f t="shared" si="30"/>
        <v>4.4600000000000001E-2</v>
      </c>
      <c r="F21" s="361">
        <f t="shared" si="30"/>
        <v>0.124527888446216</v>
      </c>
      <c r="G21" s="361">
        <f t="shared" si="30"/>
        <v>0.1320823293</v>
      </c>
      <c r="H21" s="361">
        <f t="shared" si="30"/>
        <v>0.10831818181818199</v>
      </c>
      <c r="J21" s="361">
        <f t="shared" ref="J21:Q21" si="31">J11</f>
        <v>2.022950819672133E-2</v>
      </c>
      <c r="K21" s="361">
        <f t="shared" si="31"/>
        <v>3.2427419354838741E-2</v>
      </c>
      <c r="L21" s="361">
        <f t="shared" si="31"/>
        <v>4.8576923076923101E-2</v>
      </c>
      <c r="M21" s="361">
        <f t="shared" si="31"/>
        <v>7.6261904761904697E-2</v>
      </c>
      <c r="N21" s="361">
        <f t="shared" si="31"/>
        <v>0.10270967741935499</v>
      </c>
      <c r="O21" s="361">
        <f t="shared" si="31"/>
        <v>0.123758064516129</v>
      </c>
      <c r="P21" s="361">
        <f t="shared" si="31"/>
        <v>0.13465384615384601</v>
      </c>
      <c r="Q21" s="361">
        <f t="shared" si="31"/>
        <v>0.13650000000000001</v>
      </c>
      <c r="R21" s="361">
        <f>R11</f>
        <v>0.13650000000000001</v>
      </c>
      <c r="S21" s="361">
        <f t="shared" ref="S21:AB21" si="32">S11</f>
        <v>0.13650000000000001</v>
      </c>
      <c r="T21" s="361">
        <f t="shared" si="32"/>
        <v>0.13275000000000001</v>
      </c>
      <c r="U21" s="361">
        <f t="shared" si="32"/>
        <v>0.1224016393</v>
      </c>
      <c r="V21" s="361">
        <f t="shared" si="32"/>
        <v>0.11281147540983601</v>
      </c>
      <c r="W21" s="361">
        <f t="shared" si="32"/>
        <v>0.10507142857142864</v>
      </c>
      <c r="X21" s="361">
        <f t="shared" si="32"/>
        <v>0.10430303030303033</v>
      </c>
      <c r="Y21" s="361">
        <f t="shared" si="32"/>
        <v>0.1114206349206348</v>
      </c>
      <c r="Z21" s="361">
        <f t="shared" si="32"/>
        <v>0.129532786885246</v>
      </c>
      <c r="AA21" s="361">
        <f t="shared" si="32"/>
        <v>0.14481967213114699</v>
      </c>
      <c r="AB21" s="361">
        <f t="shared" si="32"/>
        <v>0.14899999999999999</v>
      </c>
      <c r="AD21" s="344">
        <f t="shared" ref="AD21:AD22" si="33">(AB21-AA21)*100</f>
        <v>0.4180327868853001</v>
      </c>
      <c r="AE21" s="344">
        <f t="shared" ref="AE21:AE22" si="34">(AB21-X21)*100</f>
        <v>4.4696969696969662</v>
      </c>
    </row>
    <row r="22" spans="1:32" ht="13" customHeight="1">
      <c r="A22" s="211"/>
      <c r="B22" s="287" t="s">
        <v>1140</v>
      </c>
      <c r="C22" s="297">
        <f>(C15/C17*252)/C18/C21</f>
        <v>0.61746322300602696</v>
      </c>
      <c r="D22" s="297">
        <f t="shared" ref="D22:H22" si="35">(D15/D17*252)/D18/D21</f>
        <v>0.62740744347434618</v>
      </c>
      <c r="E22" s="297">
        <f t="shared" si="35"/>
        <v>0.65499839787969305</v>
      </c>
      <c r="F22" s="297">
        <f t="shared" si="35"/>
        <v>0.57255582593534171</v>
      </c>
      <c r="G22" s="297">
        <f t="shared" si="35"/>
        <v>0.58201651590433767</v>
      </c>
      <c r="H22" s="297">
        <f t="shared" si="35"/>
        <v>0.61783159902045603</v>
      </c>
      <c r="I22" s="324"/>
      <c r="J22" s="297">
        <f t="shared" ref="J22:Q22" si="36">(J15/J17*63)/J18/J21</f>
        <v>0.90349459969335033</v>
      </c>
      <c r="K22" s="297">
        <f t="shared" si="36"/>
        <v>0.64622514822211452</v>
      </c>
      <c r="L22" s="297">
        <f t="shared" si="36"/>
        <v>0.56313306369482996</v>
      </c>
      <c r="M22" s="297">
        <f t="shared" si="36"/>
        <v>0.60001469460277557</v>
      </c>
      <c r="N22" s="297">
        <f t="shared" si="36"/>
        <v>0.55773873634392046</v>
      </c>
      <c r="O22" s="297">
        <f t="shared" si="36"/>
        <v>0.58267732413936646</v>
      </c>
      <c r="P22" s="297">
        <f t="shared" si="36"/>
        <v>0.57189974440632441</v>
      </c>
      <c r="Q22" s="297">
        <f t="shared" si="36"/>
        <v>0.55719076348373597</v>
      </c>
      <c r="R22" s="297">
        <f>(R15/R17*63)/R18/R21</f>
        <v>0.59697348816995932</v>
      </c>
      <c r="S22" s="297">
        <f t="shared" ref="S22:Z22" si="37">(S15/S17*63)/S18/S21</f>
        <v>0.60549602689065163</v>
      </c>
      <c r="T22" s="297">
        <f t="shared" si="37"/>
        <v>0.60743716842046347</v>
      </c>
      <c r="U22" s="297">
        <f t="shared" si="37"/>
        <v>0.61111761900358963</v>
      </c>
      <c r="V22" s="297">
        <f t="shared" si="37"/>
        <v>0.63950756976464163</v>
      </c>
      <c r="W22" s="297">
        <f t="shared" si="37"/>
        <v>0.64262556661987569</v>
      </c>
      <c r="X22" s="297">
        <f t="shared" si="37"/>
        <v>0.62409269276990043</v>
      </c>
      <c r="Y22" s="297">
        <f t="shared" si="37"/>
        <v>0.64151962469828561</v>
      </c>
      <c r="Z22" s="297">
        <f t="shared" si="37"/>
        <v>0.65888035999645922</v>
      </c>
      <c r="AA22" s="297">
        <f t="shared" ref="AA22" si="38">(AA15/AA17*63)/AA18/AA21</f>
        <v>0.66965773638628801</v>
      </c>
      <c r="AB22" s="297">
        <f t="shared" ref="AB22" si="39">(AB15/AB17*63)/AB18/AB21</f>
        <v>0.65101902239025189</v>
      </c>
      <c r="AC22" s="324"/>
      <c r="AD22" s="356">
        <f t="shared" si="33"/>
        <v>-1.8638713996036116</v>
      </c>
      <c r="AE22" s="356">
        <f t="shared" si="34"/>
        <v>2.6926329620351463</v>
      </c>
      <c r="AF22" s="219"/>
    </row>
  </sheetData>
  <sheetProtection algorithmName="SHA-512" hashValue="B9ZjK0MsDiFtsa3sB5n97o/OUJmhqxISKe+uv4vBgs89iAu02pzNYHFlEgCi78F+XP0pqIAlrQffZqSEJ94MFg==" saltValue="yUGnszHbc3EgEdiYnfZ2/A=="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ignoredErrors>
    <ignoredError sqref="C2:AB5 AD5:AE13 R19:AB20 R18:AB18 R21:AB21 C10:AB10 C9:I9 J9:AB9 J18:Q21 C18:H22 R22:AB22 J22:Q22 C7:AB8 I6 I16 C12:AB15 I11" unlockedFormula="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F6CFC-0E74-4E4D-B57A-D30C5D0FD116}">
  <sheetPr codeName="Sheet20">
    <tabColor rgb="FFF7CAB0"/>
  </sheetPr>
  <dimension ref="A1:AI34"/>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94" customWidth="1"/>
    <col min="2" max="2" width="68.33203125" style="105" customWidth="1"/>
    <col min="3" max="8" width="10.83203125" style="195" customWidth="1"/>
    <col min="9" max="9" width="2.83203125" style="195" customWidth="1"/>
    <col min="10" max="28" width="10.83203125" style="195" customWidth="1"/>
    <col min="29" max="29" width="5.83203125" style="195" customWidth="1"/>
    <col min="30" max="31" width="10.83203125" style="195" customWidth="1"/>
    <col min="32" max="32" width="10.83203125" style="194" customWidth="1"/>
    <col min="33" max="16384" width="10.83203125" style="194"/>
  </cols>
  <sheetData>
    <row r="1" spans="1:35" ht="13" customHeight="1">
      <c r="AF1" s="195"/>
    </row>
    <row r="2" spans="1:35" s="10" customFormat="1" ht="13" customHeight="1">
      <c r="B2" s="267" t="str">
        <f>IF('Summary | Sumário'!D$6=Names!B$3,Names!CN1,Names!CO1)</f>
        <v>ROE (IFRS,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322"/>
      <c r="J2" s="20" t="str">
        <f>IF('Summary | Sumário'!D6=Names!B3,Names!C6,Names!D6)</f>
        <v>1Q21</v>
      </c>
      <c r="K2" s="21" t="str">
        <f>IF('Summary | Sumário'!D6=Names!B3,Names!C7,Names!D7)</f>
        <v>2Q21</v>
      </c>
      <c r="L2" s="21" t="str">
        <f>IF('Summary | Sumário'!D6=Names!B3,Names!C8,Names!D8)</f>
        <v>3Q21</v>
      </c>
      <c r="M2" s="21" t="str">
        <f>IF('Summary | Sumário'!D6=Names!B3,Names!C9,Names!D9)</f>
        <v>4Q21</v>
      </c>
      <c r="N2" s="21" t="str">
        <f>IF('Summary | Sumário'!D6=Names!B3,Names!C10,Names!D10)</f>
        <v>1Q22</v>
      </c>
      <c r="O2" s="21" t="str">
        <f>IF('Summary | Sumário'!D6=Names!B3,Names!C11,Names!D11)</f>
        <v>2Q22</v>
      </c>
      <c r="P2" s="21" t="str">
        <f>IF('Summary | Sumário'!D6=Names!B3,Names!C12,Names!D12)</f>
        <v>3Q22</v>
      </c>
      <c r="Q2" s="21" t="str">
        <f>IF('Summary | Sumário'!D6=Names!B3,Names!C13,Names!D13)</f>
        <v>4Q22</v>
      </c>
      <c r="R2" s="21" t="str">
        <f>IF('Summary | Sumário'!D6=Names!B3,Names!C14,Names!D14)</f>
        <v>1Q23</v>
      </c>
      <c r="S2" s="21" t="str">
        <f>IF('Summary | Sumário'!D6=Names!B3,Names!C15,Names!D15)</f>
        <v>2Q23</v>
      </c>
      <c r="T2" s="21" t="str">
        <f>IF('Summary | Sumário'!D6=Names!B3,Names!C16,Names!D16)</f>
        <v>3Q23</v>
      </c>
      <c r="U2" s="21" t="str">
        <f>IF('Summary | Sumário'!D6=Names!B3,Names!C17,Names!D17)</f>
        <v>4Q23</v>
      </c>
      <c r="V2" s="21" t="str">
        <f>IF('Summary | Sumário'!D6=Names!B3,Names!C19,Names!D19)</f>
        <v>1Q24</v>
      </c>
      <c r="W2" s="21" t="str">
        <f>IF('Summary | Sumário'!D6=Names!B3,Names!C20,Names!D20)</f>
        <v>2Q24</v>
      </c>
      <c r="X2" s="21" t="str">
        <f>IF('Summary | Sumário'!D6=Names!B3,Names!C21,Names!D21)</f>
        <v>3Q24</v>
      </c>
      <c r="Y2" s="21" t="str">
        <f>IF('Summary | Sumário'!D6=Names!B3,Names!C22,Names!D22)</f>
        <v>4Q24</v>
      </c>
      <c r="Z2" s="21" t="str">
        <f>IF('Summary | Sumário'!D6=Names!B3,Names!C24,Names!D24)</f>
        <v>1Q25</v>
      </c>
      <c r="AA2" s="21" t="str">
        <f>IF('Summary | Sumário'!D6=Names!B3,Names!C25,Names!D25)</f>
        <v>2Q25</v>
      </c>
      <c r="AB2" s="269" t="str">
        <f>IF('Summary | Sumário'!D6=Names!B3,Names!C26,Names!D26)</f>
        <v>3Q25</v>
      </c>
      <c r="AC2" s="326"/>
      <c r="AD2" s="104" t="str">
        <f>IF('Summary | Sumário'!$D$6=Names!$B$3,Names!$I$24,Names!$J$24)</f>
        <v>QoQ Variation</v>
      </c>
      <c r="AE2" s="104" t="str">
        <f>IF('Summary | Sumário'!$D$6=Names!$B$3,Names!$I$25,Names!$J$25)</f>
        <v>YoY Variation</v>
      </c>
      <c r="AF2" s="11"/>
      <c r="AH2" s="12"/>
      <c r="AI2" s="13"/>
    </row>
    <row r="3" spans="1:35" ht="13" customHeight="1">
      <c r="B3" s="10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7"/>
    </row>
    <row r="4" spans="1:35" s="199" customFormat="1" ht="13" customHeight="1">
      <c r="A4" s="198"/>
      <c r="B4" s="606" t="str">
        <f>IF('Summary | Sumário'!D$6=Names!B$3,Names!CN3,Names!CO3)</f>
        <v>ROE Including Minority Interest (%)</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row>
    <row r="5" spans="1:35" ht="13" customHeight="1">
      <c r="B5" s="288" t="str">
        <f>IF('Summary | Sumário'!D$6=Names!B$3,Names!CN4,Names!CO4)</f>
        <v>Annualized net income including minority interest</v>
      </c>
      <c r="C5" s="289">
        <f>C6</f>
        <v>30370</v>
      </c>
      <c r="D5" s="289">
        <f>D6</f>
        <v>30686</v>
      </c>
      <c r="E5" s="289">
        <f t="shared" ref="E5:H5" si="0">E6</f>
        <v>-55067</v>
      </c>
      <c r="F5" s="289">
        <f t="shared" si="0"/>
        <v>-14079</v>
      </c>
      <c r="G5" s="289">
        <f t="shared" si="0"/>
        <v>352260</v>
      </c>
      <c r="H5" s="289">
        <f t="shared" si="0"/>
        <v>972841</v>
      </c>
      <c r="I5" s="179"/>
      <c r="J5" s="289">
        <f>J6*4</f>
        <v>-10772</v>
      </c>
      <c r="K5" s="289">
        <f>K6*4</f>
        <v>-121992</v>
      </c>
      <c r="L5" s="289">
        <f t="shared" ref="L5:AB5" si="1">L6*4</f>
        <v>137390.97371999966</v>
      </c>
      <c r="M5" s="289">
        <f t="shared" si="1"/>
        <v>-224894.97371999966</v>
      </c>
      <c r="N5" s="289">
        <f t="shared" si="1"/>
        <v>-115288</v>
      </c>
      <c r="O5" s="289">
        <f t="shared" si="1"/>
        <v>62100</v>
      </c>
      <c r="P5" s="289">
        <f t="shared" si="1"/>
        <v>-118380</v>
      </c>
      <c r="Q5" s="289">
        <f t="shared" si="1"/>
        <v>115252</v>
      </c>
      <c r="R5" s="289">
        <f t="shared" si="1"/>
        <v>96860</v>
      </c>
      <c r="S5" s="289">
        <f t="shared" si="1"/>
        <v>256688</v>
      </c>
      <c r="T5" s="289">
        <f t="shared" si="1"/>
        <v>416644</v>
      </c>
      <c r="U5" s="289">
        <f t="shared" si="1"/>
        <v>638848</v>
      </c>
      <c r="V5" s="289">
        <f t="shared" si="1"/>
        <v>780880</v>
      </c>
      <c r="W5" s="289">
        <f t="shared" si="1"/>
        <v>890660</v>
      </c>
      <c r="X5" s="289">
        <f t="shared" si="1"/>
        <v>1040044</v>
      </c>
      <c r="Y5" s="289">
        <f t="shared" si="1"/>
        <v>1179780</v>
      </c>
      <c r="Z5" s="289">
        <f t="shared" si="1"/>
        <v>1227151.6000000006</v>
      </c>
      <c r="AA5" s="289">
        <f t="shared" si="1"/>
        <v>1328668.7999999998</v>
      </c>
      <c r="AB5" s="289">
        <f t="shared" si="1"/>
        <v>1424021.6</v>
      </c>
      <c r="AC5" s="179"/>
      <c r="AD5" s="337">
        <f>AB5/AA5-1</f>
        <v>7.1765665002444745E-2</v>
      </c>
      <c r="AE5" s="337">
        <f>AB5/X5-1</f>
        <v>0.36919361103953308</v>
      </c>
    </row>
    <row r="6" spans="1:35" ht="13" customHeight="1">
      <c r="B6" s="55" t="str">
        <f>IF('Summary | Sumário'!D$6=Names!B$3,Names!CN5,Names!CO5)</f>
        <v>Net income including minority interest</v>
      </c>
      <c r="C6" s="179">
        <f>'3. IS | DRE'!C29-'3. IS | DRE'!C28</f>
        <v>30370</v>
      </c>
      <c r="D6" s="179">
        <f>'3. IS | DRE'!D29-'3. IS | DRE'!D28</f>
        <v>30686</v>
      </c>
      <c r="E6" s="179">
        <f>'3. IS | DRE'!E29-'3. IS | DRE'!E28</f>
        <v>-55067</v>
      </c>
      <c r="F6" s="179">
        <f>'3. IS | DRE'!F29-'3. IS | DRE'!F28</f>
        <v>-14079</v>
      </c>
      <c r="G6" s="179">
        <f>'3. IS | DRE'!G29-'3. IS | DRE'!G28</f>
        <v>352260</v>
      </c>
      <c r="H6" s="179">
        <f>'3. IS | DRE'!H29-'3. IS | DRE'!H28</f>
        <v>972841</v>
      </c>
      <c r="I6" s="179"/>
      <c r="J6" s="179">
        <f>'3. IS | DRE'!J29-'3. IS | DRE'!J28</f>
        <v>-2693</v>
      </c>
      <c r="K6" s="179">
        <f>'3. IS | DRE'!K29-'3. IS | DRE'!K28</f>
        <v>-30498</v>
      </c>
      <c r="L6" s="179">
        <f>'3. IS | DRE'!L29-'3. IS | DRE'!L28</f>
        <v>34347.743429999915</v>
      </c>
      <c r="M6" s="179">
        <f>'3. IS | DRE'!M29-'3. IS | DRE'!M28</f>
        <v>-56223.743429999915</v>
      </c>
      <c r="N6" s="179">
        <f>'3. IS | DRE'!N29-'3. IS | DRE'!N28</f>
        <v>-28822</v>
      </c>
      <c r="O6" s="179">
        <f>'3. IS | DRE'!O29-'3. IS | DRE'!O28</f>
        <v>15525</v>
      </c>
      <c r="P6" s="179">
        <f>'3. IS | DRE'!P29-'3. IS | DRE'!P28</f>
        <v>-29595</v>
      </c>
      <c r="Q6" s="179">
        <f>'3. IS | DRE'!Q29-'3. IS | DRE'!Q28</f>
        <v>28813</v>
      </c>
      <c r="R6" s="179">
        <f>'3. IS | DRE'!R29-'3. IS | DRE'!R28</f>
        <v>24215</v>
      </c>
      <c r="S6" s="179">
        <f>'3. IS | DRE'!S29-'3. IS | DRE'!S28</f>
        <v>64172</v>
      </c>
      <c r="T6" s="179">
        <f>'3. IS | DRE'!T29-'3. IS | DRE'!T28</f>
        <v>104161</v>
      </c>
      <c r="U6" s="179">
        <f>'3. IS | DRE'!U29-'3. IS | DRE'!U28</f>
        <v>159712</v>
      </c>
      <c r="V6" s="179">
        <f>'3. IS | DRE'!V29-'3. IS | DRE'!V28</f>
        <v>195220</v>
      </c>
      <c r="W6" s="179">
        <f>'3. IS | DRE'!W29-'3. IS | DRE'!W28</f>
        <v>222665</v>
      </c>
      <c r="X6" s="179">
        <f>'3. IS | DRE'!X29-'3. IS | DRE'!X28</f>
        <v>260011</v>
      </c>
      <c r="Y6" s="179">
        <f>'3. IS | DRE'!Y29-'3. IS | DRE'!Y28</f>
        <v>294945</v>
      </c>
      <c r="Z6" s="179">
        <f>'3. IS | DRE'!Z29-'3. IS | DRE'!Z28</f>
        <v>306787.90000000014</v>
      </c>
      <c r="AA6" s="179">
        <f>'3. IS | DRE'!AA29-'3. IS | DRE'!AA28</f>
        <v>332167.19999999995</v>
      </c>
      <c r="AB6" s="179">
        <f>'3. IS | DRE'!AB29-'3. IS | DRE'!AB28</f>
        <v>356005.4</v>
      </c>
      <c r="AC6" s="179"/>
      <c r="AD6" s="204">
        <f t="shared" ref="AD6:AD8" si="2">AB6/AA6-1</f>
        <v>7.1765665002444745E-2</v>
      </c>
      <c r="AE6" s="204">
        <f t="shared" ref="AE6:AE8" si="3">AB6/X6-1</f>
        <v>0.36919361103953308</v>
      </c>
    </row>
    <row r="7" spans="1:35" ht="13" customHeight="1">
      <c r="B7" s="53" t="str">
        <f>IF('Summary | Sumário'!D$6=Names!B$3,Names!CN6,Names!CO6)</f>
        <v xml:space="preserve"> (÷) Average total equity of the last two periods</v>
      </c>
      <c r="C7" s="174">
        <f>'2. BS | BP'!C38</f>
        <v>2161938</v>
      </c>
      <c r="D7" s="174">
        <f>AVERAGE(C8:D8)</f>
        <v>2743076.5</v>
      </c>
      <c r="E7" s="174">
        <f t="shared" ref="E7:H7" si="4">AVERAGE(D8:E8)</f>
        <v>5886999.2936204048</v>
      </c>
      <c r="F7" s="174">
        <f t="shared" si="4"/>
        <v>7769443.7936204048</v>
      </c>
      <c r="G7" s="174">
        <f t="shared" si="4"/>
        <v>7342897.5</v>
      </c>
      <c r="H7" s="174">
        <f t="shared" si="4"/>
        <v>8334499</v>
      </c>
      <c r="I7" s="179"/>
      <c r="J7" s="174">
        <f>AVERAGE(J8,D8)</f>
        <v>3287415.5</v>
      </c>
      <c r="K7" s="174">
        <f t="shared" ref="K7" si="5">AVERAGE(J8:K8)</f>
        <v>5971620.8960000006</v>
      </c>
      <c r="L7" s="174">
        <f t="shared" ref="L7" si="6">AVERAGE(K8:L8)</f>
        <v>8615476.4862966407</v>
      </c>
      <c r="M7" s="174">
        <f t="shared" ref="M7" si="7">AVERAGE(L8:M8)</f>
        <v>8494055.3839170448</v>
      </c>
      <c r="N7" s="174">
        <f t="shared" ref="N7" si="8">AVERAGE(M8:N8)</f>
        <v>8402074.7936204039</v>
      </c>
      <c r="O7" s="174">
        <f t="shared" ref="O7" si="9">AVERAGE(N8:O8)</f>
        <v>7734873.5</v>
      </c>
      <c r="P7" s="174">
        <f t="shared" ref="P7" si="10">AVERAGE(O8:P8)</f>
        <v>7127888</v>
      </c>
      <c r="Q7" s="174">
        <f t="shared" ref="Q7" si="11">AVERAGE(P8:Q8)</f>
        <v>7114749.5</v>
      </c>
      <c r="R7" s="174">
        <f t="shared" ref="R7" si="12">AVERAGE(Q8:R8)</f>
        <v>7114505</v>
      </c>
      <c r="S7" s="174">
        <f t="shared" ref="S7" si="13">AVERAGE(R8:S8)</f>
        <v>7228782</v>
      </c>
      <c r="T7" s="174">
        <f t="shared" ref="T7" si="14">AVERAGE(S8:T8)</f>
        <v>7342942.5</v>
      </c>
      <c r="U7" s="174">
        <f t="shared" ref="U7" si="15">AVERAGE(T8:U8)</f>
        <v>7482459</v>
      </c>
      <c r="V7" s="174">
        <f t="shared" ref="V7" si="16">AVERAGE(U8:V8)</f>
        <v>8067571.5004530167</v>
      </c>
      <c r="W7" s="174">
        <f t="shared" ref="W7" si="17">AVERAGE(V8:W8)</f>
        <v>8572993.7814530171</v>
      </c>
      <c r="X7" s="174">
        <f t="shared" ref="X7" si="18">AVERAGE(W8:X8)</f>
        <v>8737436.7809999995</v>
      </c>
      <c r="Y7" s="174">
        <f t="shared" ref="Y7" si="19">AVERAGE(X8:Y8)</f>
        <v>8969822.5</v>
      </c>
      <c r="Z7" s="174">
        <f t="shared" ref="Z7:AB7" si="20">AVERAGE(Y8:Z8)</f>
        <v>9042578.5</v>
      </c>
      <c r="AA7" s="174">
        <f t="shared" si="20"/>
        <v>9200341</v>
      </c>
      <c r="AB7" s="174">
        <f t="shared" si="20"/>
        <v>9597982</v>
      </c>
      <c r="AC7" s="179"/>
      <c r="AD7" s="203">
        <f t="shared" si="2"/>
        <v>4.3220245858278439E-2</v>
      </c>
      <c r="AE7" s="203">
        <f t="shared" si="3"/>
        <v>9.8489435811575765E-2</v>
      </c>
    </row>
    <row r="8" spans="1:35" ht="13" customHeight="1">
      <c r="B8" s="55" t="str">
        <f>IF('Summary | Sumário'!D$6=Names!B$3,Names!CN7,Names!CO7)</f>
        <v>Total equity</v>
      </c>
      <c r="C8" s="179">
        <f>'2. BS | BP'!C38</f>
        <v>2161938</v>
      </c>
      <c r="D8" s="179">
        <f>'2. BS | BP'!D38</f>
        <v>3324215</v>
      </c>
      <c r="E8" s="179">
        <f>'2. BS | BP'!E38</f>
        <v>8449783.5872408096</v>
      </c>
      <c r="F8" s="179">
        <f>'2. BS | BP'!F38</f>
        <v>7089104</v>
      </c>
      <c r="G8" s="179">
        <f>'2. BS | BP'!G38</f>
        <v>7596691</v>
      </c>
      <c r="H8" s="179">
        <f>'2. BS | BP'!H38</f>
        <v>9072307</v>
      </c>
      <c r="I8" s="179"/>
      <c r="J8" s="179">
        <f>'2. BS | BP'!J38</f>
        <v>3250616</v>
      </c>
      <c r="K8" s="179">
        <f>'2. BS | BP'!K38</f>
        <v>8692625.7920000013</v>
      </c>
      <c r="L8" s="179">
        <f>'2. BS | BP'!L38</f>
        <v>8538327.1805932801</v>
      </c>
      <c r="M8" s="179">
        <f>'2. BS | BP'!M38</f>
        <v>8449783.5872408096</v>
      </c>
      <c r="N8" s="179">
        <f>'2. BS | BP'!N38</f>
        <v>8354366</v>
      </c>
      <c r="O8" s="179">
        <f>'2. BS | BP'!O38</f>
        <v>7115381</v>
      </c>
      <c r="P8" s="179">
        <f>'2. BS | BP'!P38</f>
        <v>7140395</v>
      </c>
      <c r="Q8" s="179">
        <f>'2. BS | BP'!Q38</f>
        <v>7089104</v>
      </c>
      <c r="R8" s="179">
        <f>'2. BS | BP'!R38</f>
        <v>7139906</v>
      </c>
      <c r="S8" s="179">
        <f>'2. BS | BP'!S38</f>
        <v>7317658</v>
      </c>
      <c r="T8" s="179">
        <f>'2. BS | BP'!T38</f>
        <v>7368227</v>
      </c>
      <c r="U8" s="179">
        <f>'2. BS | BP'!U38</f>
        <v>7596691</v>
      </c>
      <c r="V8" s="179">
        <f>'2. BS | BP'!V38</f>
        <v>8538452.0009060334</v>
      </c>
      <c r="W8" s="179">
        <f>'2. BS | BP'!W38</f>
        <v>8607535.5620000008</v>
      </c>
      <c r="X8" s="179">
        <f>'2. BS | BP'!X38</f>
        <v>8867338</v>
      </c>
      <c r="Y8" s="179">
        <f>'2. BS | BP'!Y38</f>
        <v>9072307</v>
      </c>
      <c r="Z8" s="179">
        <f>'2. BS | BP'!Z38</f>
        <v>9012850</v>
      </c>
      <c r="AA8" s="179">
        <f>'2. BS | BP'!AA38</f>
        <v>9387832</v>
      </c>
      <c r="AB8" s="179">
        <f>'2. BS | BP'!AB38</f>
        <v>9808132</v>
      </c>
      <c r="AC8" s="179"/>
      <c r="AD8" s="204">
        <f t="shared" si="2"/>
        <v>4.477072022592643E-2</v>
      </c>
      <c r="AE8" s="204">
        <f t="shared" si="3"/>
        <v>0.10609655344140489</v>
      </c>
      <c r="AF8" s="618"/>
    </row>
    <row r="9" spans="1:35" s="617" customFormat="1" ht="13" customHeight="1">
      <c r="B9" s="615" t="str">
        <f>IF('Summary | Sumário'!D$6=Names!B$3,Names!CN8,Names!CO8)</f>
        <v>ROE including minority interest (%)</v>
      </c>
      <c r="C9" s="616">
        <f t="shared" ref="C9:H9" si="21">C5/C7</f>
        <v>1.4047581382999882E-2</v>
      </c>
      <c r="D9" s="616">
        <f t="shared" si="21"/>
        <v>1.1186709521225529E-2</v>
      </c>
      <c r="E9" s="616">
        <f t="shared" si="21"/>
        <v>-9.3540014621158081E-3</v>
      </c>
      <c r="F9" s="616">
        <f t="shared" si="21"/>
        <v>-1.8120988289484065E-3</v>
      </c>
      <c r="G9" s="616">
        <f t="shared" si="21"/>
        <v>4.7972888086753221E-2</v>
      </c>
      <c r="H9" s="616">
        <f t="shared" si="21"/>
        <v>0.11672459256399215</v>
      </c>
      <c r="I9" s="182"/>
      <c r="J9" s="616">
        <f t="shared" ref="J9:Y9" si="22">J5/J7</f>
        <v>-3.2767382157807556E-3</v>
      </c>
      <c r="K9" s="616">
        <f t="shared" si="22"/>
        <v>-2.0428624342465292E-2</v>
      </c>
      <c r="L9" s="616">
        <f t="shared" si="22"/>
        <v>1.594699654029897E-2</v>
      </c>
      <c r="M9" s="616">
        <f t="shared" si="22"/>
        <v>-2.6476749156336327E-2</v>
      </c>
      <c r="N9" s="616">
        <f t="shared" si="22"/>
        <v>-1.3721372736117133E-2</v>
      </c>
      <c r="O9" s="616">
        <f t="shared" si="22"/>
        <v>8.0285734472580576E-3</v>
      </c>
      <c r="P9" s="616">
        <f t="shared" si="22"/>
        <v>-1.6608005064052633E-2</v>
      </c>
      <c r="Q9" s="616">
        <f t="shared" si="22"/>
        <v>1.619902429453068E-2</v>
      </c>
      <c r="R9" s="616">
        <f t="shared" si="22"/>
        <v>1.3614439795881794E-2</v>
      </c>
      <c r="S9" s="616">
        <f t="shared" si="22"/>
        <v>3.5509163231094806E-2</v>
      </c>
      <c r="T9" s="616">
        <f t="shared" si="22"/>
        <v>5.6740741194691365E-2</v>
      </c>
      <c r="U9" s="616">
        <f t="shared" si="22"/>
        <v>8.5379418717830599E-2</v>
      </c>
      <c r="V9" s="616">
        <f t="shared" si="22"/>
        <v>9.6792448626721359E-2</v>
      </c>
      <c r="W9" s="616">
        <f t="shared" si="22"/>
        <v>0.10389136195652811</v>
      </c>
      <c r="X9" s="616">
        <f t="shared" si="22"/>
        <v>0.1190330787012535</v>
      </c>
      <c r="Y9" s="616">
        <f t="shared" si="22"/>
        <v>0.13152768630594419</v>
      </c>
      <c r="Z9" s="616">
        <f>Z5/Z7</f>
        <v>0.13570815005918949</v>
      </c>
      <c r="AA9" s="616">
        <f>AA5/AA7</f>
        <v>0.14441516895949832</v>
      </c>
      <c r="AB9" s="616">
        <f>AB5/AB7</f>
        <v>0.14836677126504302</v>
      </c>
      <c r="AC9" s="183"/>
      <c r="AD9" s="355">
        <f>(AB9-AA9)*100</f>
        <v>0.39516023055446992</v>
      </c>
      <c r="AE9" s="355">
        <f>(AB9-X9)*100</f>
        <v>2.9333692563789522</v>
      </c>
    </row>
    <row r="10" spans="1:35" ht="13" customHeight="1">
      <c r="B10" s="54"/>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204"/>
      <c r="AE10" s="204"/>
    </row>
    <row r="11" spans="1:35" s="199" customFormat="1" ht="13" customHeight="1">
      <c r="A11" s="198"/>
      <c r="B11" s="606" t="str">
        <f>IF('Summary | Sumário'!D$6=Names!B$3,Names!CN10,Names!CO10)</f>
        <v>ROE (%)</v>
      </c>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row>
    <row r="12" spans="1:35" ht="13" customHeight="1">
      <c r="B12" s="288" t="str">
        <f>IF('Summary | Sumário'!D$6=Names!B$3,Names!CN11,Names!CO11)</f>
        <v>Annualized net income</v>
      </c>
      <c r="C12" s="289">
        <f>C13</f>
        <v>27683</v>
      </c>
      <c r="D12" s="289">
        <f t="shared" ref="D12:H12" si="23">D13</f>
        <v>17911</v>
      </c>
      <c r="E12" s="289">
        <f t="shared" si="23"/>
        <v>-72664</v>
      </c>
      <c r="F12" s="289">
        <f t="shared" si="23"/>
        <v>-11090</v>
      </c>
      <c r="G12" s="289">
        <f t="shared" si="23"/>
        <v>302343</v>
      </c>
      <c r="H12" s="289">
        <f t="shared" si="23"/>
        <v>907132</v>
      </c>
      <c r="I12" s="179"/>
      <c r="J12" s="289">
        <f>J13*4</f>
        <v>-34636</v>
      </c>
      <c r="K12" s="289">
        <f t="shared" ref="K12:AB12" si="24">K13*4</f>
        <v>-48116</v>
      </c>
      <c r="L12" s="289">
        <f t="shared" si="24"/>
        <v>12595.833239999987</v>
      </c>
      <c r="M12" s="289">
        <f t="shared" si="24"/>
        <v>-220499.83324000001</v>
      </c>
      <c r="N12" s="289">
        <f t="shared" si="24"/>
        <v>13088</v>
      </c>
      <c r="O12" s="289">
        <f t="shared" si="24"/>
        <v>-66360</v>
      </c>
      <c r="P12" s="289">
        <f t="shared" si="24"/>
        <v>-120032</v>
      </c>
      <c r="Q12" s="289">
        <f t="shared" si="24"/>
        <v>128944</v>
      </c>
      <c r="R12" s="289">
        <f t="shared" si="24"/>
        <v>45620</v>
      </c>
      <c r="S12" s="289">
        <f t="shared" si="24"/>
        <v>194984</v>
      </c>
      <c r="T12" s="289">
        <f t="shared" si="24"/>
        <v>365164</v>
      </c>
      <c r="U12" s="289">
        <f t="shared" si="24"/>
        <v>603604</v>
      </c>
      <c r="V12" s="289">
        <f t="shared" si="24"/>
        <v>731172</v>
      </c>
      <c r="W12" s="289">
        <f t="shared" si="24"/>
        <v>825916</v>
      </c>
      <c r="X12" s="289">
        <f t="shared" si="24"/>
        <v>970684</v>
      </c>
      <c r="Y12" s="289">
        <f t="shared" si="24"/>
        <v>1100756</v>
      </c>
      <c r="Z12" s="289">
        <f t="shared" si="24"/>
        <v>1146088</v>
      </c>
      <c r="AA12" s="289">
        <f t="shared" si="24"/>
        <v>1260523.2</v>
      </c>
      <c r="AB12" s="289">
        <f t="shared" si="24"/>
        <v>1345380.8</v>
      </c>
      <c r="AC12" s="179"/>
      <c r="AD12" s="337">
        <f>AB12/AA12-1</f>
        <v>6.7319348029453163E-2</v>
      </c>
      <c r="AE12" s="337">
        <f>AB12/X12-1</f>
        <v>0.38601316185287904</v>
      </c>
    </row>
    <row r="13" spans="1:35" ht="13" customHeight="1">
      <c r="B13" s="55" t="str">
        <f>IF('Summary | Sumário'!D$6=Names!B$3,Names!CN12,Names!CO12)</f>
        <v>Net income excluding minority interest</v>
      </c>
      <c r="C13" s="202">
        <f>'3. IS | DRE'!C29</f>
        <v>27683</v>
      </c>
      <c r="D13" s="202">
        <f>'3. IS | DRE'!D29</f>
        <v>17911</v>
      </c>
      <c r="E13" s="202">
        <f>'3. IS | DRE'!E29</f>
        <v>-72664</v>
      </c>
      <c r="F13" s="202">
        <f>'3. IS | DRE'!F29</f>
        <v>-11090</v>
      </c>
      <c r="G13" s="202">
        <f>'3. IS | DRE'!G29</f>
        <v>302343</v>
      </c>
      <c r="H13" s="202">
        <f>'3. IS | DRE'!H29</f>
        <v>907132</v>
      </c>
      <c r="I13" s="202"/>
      <c r="J13" s="202">
        <f>'3. IS | DRE'!J29</f>
        <v>-8659</v>
      </c>
      <c r="K13" s="202">
        <f>'3. IS | DRE'!K29</f>
        <v>-12029</v>
      </c>
      <c r="L13" s="202">
        <f>'3. IS | DRE'!L29</f>
        <v>3148.9583099999968</v>
      </c>
      <c r="M13" s="202">
        <f>'3. IS | DRE'!M29</f>
        <v>-55124.958310000002</v>
      </c>
      <c r="N13" s="202">
        <f>'3. IS | DRE'!N29</f>
        <v>3272</v>
      </c>
      <c r="O13" s="202">
        <f>'3. IS | DRE'!O29</f>
        <v>-16590</v>
      </c>
      <c r="P13" s="202">
        <f>'3. IS | DRE'!P29</f>
        <v>-30008</v>
      </c>
      <c r="Q13" s="202">
        <f>'3. IS | DRE'!Q29</f>
        <v>32236</v>
      </c>
      <c r="R13" s="202">
        <f>'3. IS | DRE'!R29</f>
        <v>11405</v>
      </c>
      <c r="S13" s="202">
        <f>'3. IS | DRE'!S29</f>
        <v>48746</v>
      </c>
      <c r="T13" s="202">
        <f>'3. IS | DRE'!T29</f>
        <v>91291</v>
      </c>
      <c r="U13" s="202">
        <f>'3. IS | DRE'!U29</f>
        <v>150901</v>
      </c>
      <c r="V13" s="202">
        <f>'3. IS | DRE'!V29</f>
        <v>182793</v>
      </c>
      <c r="W13" s="202">
        <f>'3. IS | DRE'!W29</f>
        <v>206479</v>
      </c>
      <c r="X13" s="202">
        <f>'3. IS | DRE'!X29</f>
        <v>242671</v>
      </c>
      <c r="Y13" s="202">
        <f>'3. IS | DRE'!Y29</f>
        <v>275189</v>
      </c>
      <c r="Z13" s="202">
        <f>'3. IS | DRE'!Z29</f>
        <v>286522</v>
      </c>
      <c r="AA13" s="202">
        <f>'3. IS | DRE'!AA29</f>
        <v>315130.8</v>
      </c>
      <c r="AB13" s="202">
        <f>'3. IS | DRE'!AB29</f>
        <v>336345.2</v>
      </c>
      <c r="AC13" s="179"/>
      <c r="AD13" s="204">
        <f t="shared" ref="AD13:AD15" si="25">AB13/AA13-1</f>
        <v>6.7319348029453163E-2</v>
      </c>
      <c r="AE13" s="204">
        <f t="shared" ref="AE13:AE15" si="26">AB13/X13-1</f>
        <v>0.38601316185287904</v>
      </c>
    </row>
    <row r="14" spans="1:35" ht="13" customHeight="1">
      <c r="B14" s="53" t="str">
        <f>IF('Summary | Sumário'!D$6=Names!B$3,Names!CN13,Names!CO13)</f>
        <v xml:space="preserve"> (÷) Average equity attributable to owners of the Company of the last two periods</v>
      </c>
      <c r="C14" s="174">
        <f>C15</f>
        <v>2157761</v>
      </c>
      <c r="D14" s="174">
        <f>AVERAGE(C15:D15)</f>
        <v>2716697.5</v>
      </c>
      <c r="E14" s="174">
        <f t="shared" ref="E14" si="27">AVERAGE(D15:E15)</f>
        <v>2965879.4270890998</v>
      </c>
      <c r="F14" s="174">
        <f t="shared" ref="F14" si="28">AVERAGE(E15:F15)</f>
        <v>4824253.4270890998</v>
      </c>
      <c r="G14" s="174">
        <f t="shared" ref="G14" si="29">AVERAGE(F15:G15)</f>
        <v>7232096</v>
      </c>
      <c r="H14" s="174">
        <f t="shared" ref="H14" si="30">AVERAGE(G15:H15)</f>
        <v>8183492.5</v>
      </c>
      <c r="I14" s="179"/>
      <c r="J14" s="174">
        <f>AVERAGE(J15,D15)</f>
        <v>3238302.5</v>
      </c>
      <c r="K14" s="174">
        <f t="shared" ref="K14" si="31">AVERAGE(J15:K15)</f>
        <v>2963276.5</v>
      </c>
      <c r="L14" s="174">
        <f t="shared" ref="L14" si="32">AVERAGE(K15:L15)</f>
        <v>2705015.8902966403</v>
      </c>
      <c r="M14" s="174">
        <f t="shared" ref="M14" si="33">AVERAGE(L15:M15)</f>
        <v>2670287.3173857401</v>
      </c>
      <c r="N14" s="174">
        <f t="shared" ref="N14" si="34">AVERAGE(M15:N15)</f>
        <v>2635980.0466781999</v>
      </c>
      <c r="O14" s="174">
        <f t="shared" ref="O14" si="35">AVERAGE(N15:O15)</f>
        <v>4824947.1195890997</v>
      </c>
      <c r="P14" s="174">
        <f t="shared" ref="P14" si="36">AVERAGE(O15:P15)</f>
        <v>7039234.5</v>
      </c>
      <c r="Q14" s="174">
        <f t="shared" ref="Q14" si="37">AVERAGE(P15:Q15)</f>
        <v>7018396</v>
      </c>
      <c r="R14" s="174">
        <f t="shared" ref="R14" si="38">AVERAGE(Q15:R15)</f>
        <v>7011674</v>
      </c>
      <c r="S14" s="174">
        <f t="shared" ref="S14" si="39">AVERAGE(R15:S15)</f>
        <v>7117461.5</v>
      </c>
      <c r="T14" s="174">
        <f t="shared" ref="T14" si="40">AVERAGE(S15:T15)</f>
        <v>7232162.5</v>
      </c>
      <c r="U14" s="174">
        <f t="shared" ref="U14" si="41">AVERAGE(T15:U15)</f>
        <v>7366089</v>
      </c>
      <c r="V14" s="174">
        <f t="shared" ref="V14" si="42">AVERAGE(U15:V15)</f>
        <v>7932142.0004530167</v>
      </c>
      <c r="W14" s="174">
        <f t="shared" ref="W14" si="43">AVERAGE(V15:W15)</f>
        <v>8427232.4739530161</v>
      </c>
      <c r="X14" s="174">
        <f t="shared" ref="X14" si="44">AVERAGE(W15:X15)</f>
        <v>8584620.9735000003</v>
      </c>
      <c r="Y14" s="174">
        <f t="shared" ref="Y14" si="45">AVERAGE(X15:Y15)</f>
        <v>8801213</v>
      </c>
      <c r="Z14" s="174">
        <f t="shared" ref="Z14:AB14" si="46">AVERAGE(Y15:Z15)</f>
        <v>8897865.5</v>
      </c>
      <c r="AA14" s="174">
        <f t="shared" si="46"/>
        <v>9095082</v>
      </c>
      <c r="AB14" s="174">
        <f t="shared" si="46"/>
        <v>9484711.5</v>
      </c>
      <c r="AC14" s="179"/>
      <c r="AD14" s="203">
        <f t="shared" si="25"/>
        <v>4.2839580775632324E-2</v>
      </c>
      <c r="AE14" s="203">
        <f t="shared" si="26"/>
        <v>0.1048491866185477</v>
      </c>
    </row>
    <row r="15" spans="1:35" ht="13" customHeight="1">
      <c r="B15" s="55" t="str">
        <f>IF('Summary | Sumário'!D$6=Names!B$3,Names!CN14,Names!CO14)</f>
        <v>Equity attributable to owners of the Company</v>
      </c>
      <c r="C15" s="179">
        <f>'2. BS | BP'!C32</f>
        <v>2157761</v>
      </c>
      <c r="D15" s="179">
        <f>'2. BS | BP'!D32</f>
        <v>3275634</v>
      </c>
      <c r="E15" s="179">
        <f>'2. BS | BP'!E32</f>
        <v>2656124.8541782</v>
      </c>
      <c r="F15" s="179">
        <f>'2. BS | BP'!F32</f>
        <v>6992382</v>
      </c>
      <c r="G15" s="179">
        <f>'2. BS | BP'!G32</f>
        <v>7471810</v>
      </c>
      <c r="H15" s="179">
        <f>'2. BS | BP'!H32</f>
        <v>8895175</v>
      </c>
      <c r="I15" s="179"/>
      <c r="J15" s="179">
        <f>'2. BS | BP'!J32</f>
        <v>3200971</v>
      </c>
      <c r="K15" s="179">
        <f>'2. BS | BP'!K32</f>
        <v>2725582.0000000005</v>
      </c>
      <c r="L15" s="179">
        <f>'2. BS | BP'!L32</f>
        <v>2684449.7805932802</v>
      </c>
      <c r="M15" s="179">
        <f>'2. BS | BP'!M32</f>
        <v>2656124.8541782</v>
      </c>
      <c r="N15" s="179">
        <f>'2. BS | BP'!N32</f>
        <v>2615835.2391781998</v>
      </c>
      <c r="O15" s="179">
        <f>'2. BS | BP'!O32</f>
        <v>7034059</v>
      </c>
      <c r="P15" s="179">
        <f>'2. BS | BP'!P32</f>
        <v>7044410</v>
      </c>
      <c r="Q15" s="179">
        <f>'2. BS | BP'!Q32</f>
        <v>6992382</v>
      </c>
      <c r="R15" s="179">
        <f>'2. BS | BP'!R32</f>
        <v>7030966</v>
      </c>
      <c r="S15" s="179">
        <f>'2. BS | BP'!S32</f>
        <v>7203957</v>
      </c>
      <c r="T15" s="179">
        <f>'2. BS | BP'!T32</f>
        <v>7260368</v>
      </c>
      <c r="U15" s="179">
        <f>'2. BS | BP'!U32</f>
        <v>7471810</v>
      </c>
      <c r="V15" s="179">
        <f>'2. BS | BP'!V32</f>
        <v>8392474.0009060334</v>
      </c>
      <c r="W15" s="179">
        <f>'2. BS | BP'!W32</f>
        <v>8461990.9470000006</v>
      </c>
      <c r="X15" s="179">
        <f>'2. BS | BP'!X32</f>
        <v>8707251</v>
      </c>
      <c r="Y15" s="179">
        <f>'2. BS | BP'!Y32</f>
        <v>8895175</v>
      </c>
      <c r="Z15" s="179">
        <f>'2. BS | BP'!Z32</f>
        <v>8900556</v>
      </c>
      <c r="AA15" s="179">
        <f>'2. BS | BP'!AA32</f>
        <v>9289608</v>
      </c>
      <c r="AB15" s="179">
        <f>'2. BS | BP'!AB32</f>
        <v>9679815</v>
      </c>
      <c r="AC15" s="179"/>
      <c r="AD15" s="204">
        <f t="shared" si="25"/>
        <v>4.2004678776542459E-2</v>
      </c>
      <c r="AE15" s="204">
        <f t="shared" si="26"/>
        <v>0.11169587278464821</v>
      </c>
      <c r="AF15" s="618"/>
    </row>
    <row r="16" spans="1:35" s="617" customFormat="1" ht="13" customHeight="1">
      <c r="B16" s="615" t="str">
        <f>IF('Summary | Sumário'!D$6=Names!B$3,Names!CN15,Names!CO15)</f>
        <v>ROE (%)</v>
      </c>
      <c r="C16" s="616">
        <f t="shared" ref="C16:G16" si="47">C12/C14</f>
        <v>1.2829502433309343E-2</v>
      </c>
      <c r="D16" s="616">
        <f t="shared" si="47"/>
        <v>6.5929313072213601E-3</v>
      </c>
      <c r="E16" s="616">
        <f t="shared" si="47"/>
        <v>-2.4499984502511288E-2</v>
      </c>
      <c r="F16" s="616">
        <f t="shared" si="47"/>
        <v>-2.2988012896933527E-3</v>
      </c>
      <c r="G16" s="616">
        <f t="shared" si="47"/>
        <v>4.180572271164542E-2</v>
      </c>
      <c r="H16" s="616">
        <f>H12/H14</f>
        <v>0.11084900487169751</v>
      </c>
      <c r="I16" s="182"/>
      <c r="J16" s="616">
        <f t="shared" ref="J16:Y16" si="48">J12/J14</f>
        <v>-1.0695727159522619E-2</v>
      </c>
      <c r="K16" s="616">
        <f t="shared" si="48"/>
        <v>-1.623743177526633E-2</v>
      </c>
      <c r="L16" s="616">
        <f t="shared" si="48"/>
        <v>4.6564729195060989E-3</v>
      </c>
      <c r="M16" s="616">
        <f t="shared" si="48"/>
        <v>-8.2575321316311887E-2</v>
      </c>
      <c r="N16" s="616">
        <f t="shared" si="48"/>
        <v>4.9651362181186423E-3</v>
      </c>
      <c r="O16" s="616">
        <f t="shared" si="48"/>
        <v>-1.375351860968195E-2</v>
      </c>
      <c r="P16" s="616">
        <f t="shared" si="48"/>
        <v>-1.7051854146924641E-2</v>
      </c>
      <c r="Q16" s="616">
        <f t="shared" si="48"/>
        <v>1.8372289052940301E-2</v>
      </c>
      <c r="R16" s="616">
        <f t="shared" si="48"/>
        <v>6.506292220659432E-3</v>
      </c>
      <c r="S16" s="616">
        <f t="shared" si="48"/>
        <v>2.7395160479617629E-2</v>
      </c>
      <c r="T16" s="616">
        <f t="shared" si="48"/>
        <v>5.0491675207795732E-2</v>
      </c>
      <c r="U16" s="616">
        <f t="shared" si="48"/>
        <v>8.194362028479428E-2</v>
      </c>
      <c r="V16" s="616">
        <f t="shared" si="48"/>
        <v>9.2178380059035961E-2</v>
      </c>
      <c r="W16" s="616">
        <f t="shared" si="48"/>
        <v>9.8005602972595141E-2</v>
      </c>
      <c r="X16" s="616">
        <f t="shared" si="48"/>
        <v>0.1130724353464666</v>
      </c>
      <c r="Y16" s="616">
        <f t="shared" si="48"/>
        <v>0.12506866951180479</v>
      </c>
      <c r="Z16" s="616">
        <f>Z12/Z14</f>
        <v>0.12880482403335947</v>
      </c>
      <c r="AA16" s="616">
        <f>AA12/AA14</f>
        <v>0.13859393461213435</v>
      </c>
      <c r="AB16" s="616">
        <f>AB12/AB14</f>
        <v>0.1418473086925206</v>
      </c>
      <c r="AC16" s="183"/>
      <c r="AD16" s="355">
        <f>(AB16-AA16)*100</f>
        <v>0.32533740803862565</v>
      </c>
      <c r="AE16" s="355">
        <f>(AB16-X16)*100</f>
        <v>2.8774873346053997</v>
      </c>
    </row>
    <row r="17" spans="2:31" ht="13" customHeight="1">
      <c r="B17" s="51"/>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row>
    <row r="18" spans="2:31" ht="13" customHeight="1">
      <c r="B18" s="55"/>
      <c r="C18" s="179"/>
      <c r="D18" s="179"/>
      <c r="E18" s="179"/>
      <c r="F18" s="179"/>
      <c r="G18" s="179"/>
      <c r="H18" s="179"/>
      <c r="I18" s="179"/>
      <c r="J18" s="202"/>
      <c r="K18" s="202"/>
      <c r="L18" s="202"/>
      <c r="M18" s="202"/>
      <c r="N18" s="179"/>
      <c r="O18" s="179"/>
      <c r="P18" s="179"/>
      <c r="Q18" s="179"/>
      <c r="R18" s="179"/>
      <c r="S18" s="179"/>
      <c r="T18" s="179"/>
      <c r="U18" s="179"/>
      <c r="V18" s="179"/>
      <c r="W18" s="179"/>
      <c r="X18" s="179"/>
      <c r="Y18" s="179"/>
      <c r="Z18" s="179"/>
      <c r="AA18" s="179"/>
      <c r="AB18" s="179"/>
      <c r="AC18" s="179"/>
      <c r="AD18" s="204"/>
      <c r="AE18" s="204"/>
    </row>
    <row r="19" spans="2:31" ht="13" customHeight="1">
      <c r="B19" s="55"/>
      <c r="C19" s="179"/>
      <c r="D19" s="179"/>
      <c r="E19" s="179"/>
      <c r="F19" s="179"/>
      <c r="G19" s="179"/>
      <c r="H19" s="179"/>
      <c r="I19" s="179"/>
      <c r="J19" s="202"/>
      <c r="K19" s="202"/>
      <c r="L19" s="202"/>
      <c r="M19" s="202"/>
      <c r="N19" s="179"/>
      <c r="O19" s="179"/>
      <c r="P19" s="179"/>
      <c r="Q19" s="179"/>
      <c r="R19" s="179"/>
      <c r="S19" s="179"/>
      <c r="T19" s="179"/>
      <c r="U19" s="179"/>
      <c r="V19" s="179"/>
      <c r="W19" s="179"/>
      <c r="X19" s="179"/>
      <c r="Y19" s="179"/>
      <c r="Z19" s="179"/>
      <c r="AA19" s="179"/>
      <c r="AB19" s="179"/>
      <c r="AC19" s="179"/>
      <c r="AD19" s="204"/>
      <c r="AE19" s="204"/>
    </row>
    <row r="20" spans="2:31" ht="13" customHeight="1">
      <c r="B20" s="51"/>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366"/>
      <c r="AE20" s="366"/>
    </row>
    <row r="21" spans="2:31" ht="13" customHeight="1">
      <c r="B21" s="51"/>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366"/>
      <c r="AE21" s="366"/>
    </row>
    <row r="22" spans="2:31" ht="13" customHeight="1">
      <c r="B22" s="51"/>
      <c r="C22" s="204"/>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366"/>
      <c r="AE22" s="366"/>
    </row>
    <row r="23" spans="2:31" ht="13" customHeight="1">
      <c r="B23" s="107"/>
      <c r="C23" s="205"/>
      <c r="D23" s="205"/>
      <c r="E23" s="205"/>
      <c r="F23" s="205"/>
      <c r="G23" s="205"/>
      <c r="H23" s="205"/>
      <c r="I23" s="205"/>
      <c r="J23" s="205"/>
      <c r="K23" s="205"/>
      <c r="L23" s="205"/>
      <c r="M23" s="205"/>
      <c r="N23" s="205"/>
      <c r="O23" s="205"/>
      <c r="P23" s="205"/>
      <c r="Q23" s="205"/>
      <c r="R23" s="205"/>
      <c r="S23" s="205"/>
      <c r="T23" s="311"/>
      <c r="U23" s="311"/>
      <c r="V23" s="311"/>
      <c r="W23" s="311"/>
      <c r="X23" s="311"/>
      <c r="Y23" s="311"/>
      <c r="Z23" s="205"/>
      <c r="AA23" s="205"/>
      <c r="AB23" s="205"/>
      <c r="AC23" s="205"/>
      <c r="AD23" s="205"/>
      <c r="AE23" s="205"/>
    </row>
    <row r="24" spans="2:31" ht="13" customHeight="1">
      <c r="B24" s="107"/>
      <c r="C24" s="205"/>
      <c r="D24" s="205"/>
      <c r="E24" s="205"/>
      <c r="F24" s="205"/>
      <c r="G24" s="205"/>
      <c r="H24" s="205"/>
      <c r="I24" s="206"/>
      <c r="J24" s="205"/>
      <c r="K24" s="205"/>
      <c r="L24" s="205"/>
      <c r="M24" s="205"/>
      <c r="N24" s="205"/>
      <c r="O24" s="205"/>
      <c r="P24" s="205"/>
      <c r="Q24" s="205"/>
      <c r="R24" s="205"/>
      <c r="S24" s="205"/>
      <c r="T24" s="205"/>
      <c r="U24" s="205"/>
      <c r="V24" s="205"/>
      <c r="W24" s="205"/>
      <c r="X24" s="205"/>
      <c r="Y24" s="205"/>
      <c r="Z24" s="206"/>
      <c r="AA24" s="206"/>
      <c r="AB24" s="206"/>
      <c r="AC24" s="206"/>
      <c r="AD24" s="206"/>
      <c r="AE24" s="206"/>
    </row>
    <row r="25" spans="2:31" ht="13" customHeight="1">
      <c r="B25" s="107"/>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row>
    <row r="26" spans="2:31" ht="13" customHeight="1">
      <c r="B26" s="107"/>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row>
    <row r="27" spans="2:31" ht="13" customHeight="1">
      <c r="B27" s="107"/>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row>
    <row r="28" spans="2:31" ht="13" customHeight="1">
      <c r="B28" s="107"/>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row>
    <row r="29" spans="2:31" ht="13" customHeight="1">
      <c r="B29" s="107"/>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row>
    <row r="30" spans="2:31" ht="13" customHeight="1">
      <c r="B30" s="107"/>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row>
    <row r="31" spans="2:31" ht="13" customHeight="1">
      <c r="B31" s="107"/>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row>
    <row r="32" spans="2:31" ht="13" customHeight="1">
      <c r="B32" s="108"/>
      <c r="Q32" s="312"/>
      <c r="T32" s="312"/>
      <c r="U32" s="312"/>
      <c r="V32" s="312"/>
      <c r="W32" s="312"/>
      <c r="X32" s="312"/>
      <c r="Y32" s="312"/>
    </row>
    <row r="33" spans="1:25" s="195" customFormat="1" ht="13" customHeight="1">
      <c r="A33" s="194"/>
      <c r="B33" s="109"/>
    </row>
    <row r="34" spans="1:25" s="195" customFormat="1" ht="13" customHeight="1">
      <c r="A34" s="194"/>
      <c r="B34" s="105"/>
      <c r="Q34" s="312"/>
      <c r="T34" s="312"/>
      <c r="U34" s="312"/>
      <c r="V34" s="312"/>
      <c r="W34" s="312"/>
      <c r="X34" s="312"/>
      <c r="Y34" s="312"/>
    </row>
  </sheetData>
  <sheetProtection algorithmName="SHA-512" hashValue="wbjRu4HUwdkna6eWDo4dDNoeDjh6lMKJlsMXpnBZLgpr1lrUwSffB5vi1XKujB4e9hl3T/V+DXQXQSw7g+ujew==" saltValue="hpNro512JdcgMqL6QPptKw=="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1E1AB-9968-7C46-B023-60A7EC5A8032}">
  <sheetPr codeName="Sheet1">
    <tabColor rgb="FFFFFFFF"/>
  </sheetPr>
  <dimension ref="A1:L47"/>
  <sheetViews>
    <sheetView showGridLines="0" tabSelected="1" zoomScaleNormal="100" workbookViewId="0">
      <selection activeCell="D6" sqref="D6"/>
    </sheetView>
  </sheetViews>
  <sheetFormatPr baseColWidth="10" defaultColWidth="10.83203125" defaultRowHeight="22" customHeight="1"/>
  <cols>
    <col min="1" max="2" width="3.33203125" style="8" customWidth="1"/>
    <col min="3" max="3" width="3.6640625" style="8" customWidth="1"/>
    <col min="4" max="4" width="41.1640625" style="8" bestFit="1" customWidth="1"/>
    <col min="5" max="5" width="17.33203125" style="8" customWidth="1"/>
    <col min="6" max="6" width="4.83203125" style="8" bestFit="1" customWidth="1"/>
    <col min="7" max="7" width="5" style="8" customWidth="1"/>
    <col min="8" max="8" width="45.33203125" style="8" customWidth="1"/>
    <col min="9" max="9" width="3.83203125" style="89" customWidth="1"/>
    <col min="10" max="10" width="1.1640625" style="8" customWidth="1"/>
    <col min="11" max="11" width="48" style="8" customWidth="1"/>
    <col min="12" max="12" width="4.83203125" style="8" customWidth="1"/>
    <col min="13" max="16384" width="10.83203125" style="8"/>
  </cols>
  <sheetData>
    <row r="1" spans="1:12" ht="10" customHeight="1">
      <c r="A1" s="88"/>
      <c r="B1" s="88"/>
      <c r="C1" s="88"/>
      <c r="D1" s="88"/>
      <c r="E1" s="88"/>
      <c r="F1" s="595"/>
      <c r="G1" s="595"/>
      <c r="H1" s="88"/>
      <c r="I1" s="596"/>
      <c r="J1" s="595"/>
    </row>
    <row r="2" spans="1:12" ht="11" customHeight="1">
      <c r="A2" s="88"/>
      <c r="B2" s="626"/>
      <c r="C2" s="627"/>
      <c r="D2" s="627"/>
      <c r="E2" s="627"/>
      <c r="F2" s="627"/>
      <c r="G2" s="627"/>
      <c r="H2" s="627"/>
      <c r="I2" s="628"/>
      <c r="J2" s="627"/>
      <c r="K2" s="627"/>
      <c r="L2" s="629"/>
    </row>
    <row r="3" spans="1:12" ht="22" customHeight="1">
      <c r="A3" s="88"/>
      <c r="B3" s="630"/>
      <c r="C3" s="578"/>
      <c r="D3" s="580"/>
      <c r="E3" s="581"/>
      <c r="F3" s="578"/>
      <c r="G3" s="579"/>
      <c r="H3" s="578"/>
      <c r="I3" s="582"/>
      <c r="J3" s="581"/>
      <c r="K3" s="581"/>
      <c r="L3" s="631"/>
    </row>
    <row r="4" spans="1:12" ht="24" customHeight="1">
      <c r="A4" s="88"/>
      <c r="B4" s="630"/>
      <c r="C4" s="578"/>
      <c r="D4" s="594" t="s">
        <v>1026</v>
      </c>
      <c r="E4" s="578"/>
      <c r="F4" s="583"/>
      <c r="G4" s="583"/>
      <c r="H4" s="583"/>
      <c r="I4" s="584"/>
      <c r="J4" s="583"/>
      <c r="K4" s="583"/>
      <c r="L4" s="631"/>
    </row>
    <row r="5" spans="1:12" ht="9" customHeight="1">
      <c r="A5" s="88"/>
      <c r="B5" s="630"/>
      <c r="C5" s="578"/>
      <c r="D5" s="581"/>
      <c r="E5" s="578"/>
      <c r="F5" s="583"/>
      <c r="G5" s="583"/>
      <c r="H5" s="583"/>
      <c r="I5" s="584"/>
      <c r="J5" s="583"/>
      <c r="K5" s="583"/>
      <c r="L5" s="631"/>
    </row>
    <row r="6" spans="1:12" ht="25" customHeight="1">
      <c r="A6" s="88"/>
      <c r="B6" s="630"/>
      <c r="C6" s="578"/>
      <c r="D6" s="593" t="s">
        <v>103</v>
      </c>
      <c r="E6" s="578"/>
      <c r="F6" s="740" t="str">
        <f>IF('Summary | Sumário'!D6=Names!B3,Names!BL1,Names!BM1)</f>
        <v>3Q25 Historical Data</v>
      </c>
      <c r="G6" s="740"/>
      <c r="H6" s="740"/>
      <c r="I6" s="740"/>
      <c r="J6" s="740"/>
      <c r="K6" s="740"/>
      <c r="L6" s="631"/>
    </row>
    <row r="7" spans="1:12" ht="18" customHeight="1">
      <c r="A7" s="88"/>
      <c r="B7" s="630"/>
      <c r="C7" s="578"/>
      <c r="D7" s="578"/>
      <c r="E7" s="574"/>
      <c r="F7" s="740"/>
      <c r="G7" s="740"/>
      <c r="H7" s="740"/>
      <c r="I7" s="740"/>
      <c r="J7" s="740"/>
      <c r="K7" s="740"/>
      <c r="L7" s="632"/>
    </row>
    <row r="8" spans="1:12" ht="47">
      <c r="A8" s="88"/>
      <c r="B8" s="630"/>
      <c r="C8" s="578"/>
      <c r="D8" s="578"/>
      <c r="E8" s="574"/>
      <c r="F8" s="575"/>
      <c r="G8" s="575"/>
      <c r="H8" s="585"/>
      <c r="I8" s="586"/>
      <c r="J8" s="575"/>
      <c r="K8" s="585"/>
      <c r="L8" s="632"/>
    </row>
    <row r="9" spans="1:12" ht="13" customHeight="1">
      <c r="A9" s="88"/>
      <c r="B9" s="630"/>
      <c r="C9" s="578"/>
      <c r="D9" s="578"/>
      <c r="E9" s="574"/>
      <c r="F9" s="587"/>
      <c r="G9" s="587"/>
      <c r="H9" s="574"/>
      <c r="I9" s="576"/>
      <c r="J9" s="587"/>
      <c r="K9" s="574"/>
      <c r="L9" s="633"/>
    </row>
    <row r="10" spans="1:12" ht="22" customHeight="1">
      <c r="A10" s="88"/>
      <c r="B10" s="630"/>
      <c r="C10" s="578"/>
      <c r="D10" s="578"/>
      <c r="E10" s="577"/>
      <c r="F10" s="597" t="s">
        <v>1027</v>
      </c>
      <c r="G10" s="604"/>
      <c r="H10" s="634" t="str">
        <f>IF('Summary | Sumário'!D6=Names!B3,Names!I30,Names!J30)</f>
        <v>Highlights</v>
      </c>
      <c r="I10" s="597" t="s">
        <v>1027</v>
      </c>
      <c r="J10" s="598"/>
      <c r="K10" s="634" t="str">
        <f>IF('Summary | Sumário'!D6=Names!B3,Names!I13,Names!J13)</f>
        <v>Inter Invest</v>
      </c>
      <c r="L10" s="631"/>
    </row>
    <row r="11" spans="1:12" ht="10" customHeight="1">
      <c r="A11" s="88"/>
      <c r="B11" s="630"/>
      <c r="C11" s="578"/>
      <c r="D11" s="578"/>
      <c r="E11" s="577"/>
      <c r="F11" s="604"/>
      <c r="G11" s="604"/>
      <c r="H11" s="634"/>
      <c r="I11" s="597"/>
      <c r="J11" s="598"/>
      <c r="K11" s="634"/>
      <c r="L11" s="631"/>
    </row>
    <row r="12" spans="1:12" ht="22" customHeight="1">
      <c r="A12" s="88"/>
      <c r="B12" s="630"/>
      <c r="C12" s="578"/>
      <c r="D12" s="578"/>
      <c r="E12" s="577"/>
      <c r="F12" s="597" t="s">
        <v>1028</v>
      </c>
      <c r="G12" s="598"/>
      <c r="H12" s="634" t="str">
        <f>IF('Summary | Sumário'!D6=Names!B3,Names!I31,Names!J31)</f>
        <v>Balance Sheet</v>
      </c>
      <c r="I12" s="597" t="s">
        <v>1028</v>
      </c>
      <c r="J12" s="598"/>
      <c r="K12" s="634" t="str">
        <f>IF('Summary | Sumário'!D6=Names!B3,Names!I14,Names!J14)</f>
        <v>Inter Seguros</v>
      </c>
      <c r="L12" s="631"/>
    </row>
    <row r="13" spans="1:12" ht="10" customHeight="1">
      <c r="A13" s="88"/>
      <c r="B13" s="630"/>
      <c r="C13" s="578"/>
      <c r="D13" s="578"/>
      <c r="E13" s="577"/>
      <c r="F13" s="597"/>
      <c r="G13" s="598"/>
      <c r="H13" s="634"/>
      <c r="I13" s="597"/>
      <c r="J13" s="598"/>
      <c r="K13" s="634"/>
      <c r="L13" s="631"/>
    </row>
    <row r="14" spans="1:12" ht="22" customHeight="1">
      <c r="A14" s="88"/>
      <c r="B14" s="630"/>
      <c r="C14" s="578"/>
      <c r="D14" s="578"/>
      <c r="E14" s="577"/>
      <c r="F14" s="597" t="s">
        <v>1029</v>
      </c>
      <c r="G14" s="598"/>
      <c r="H14" s="634" t="str">
        <f>IF('Summary | Sumário'!D6=Names!B3,Names!I32,Names!J32)</f>
        <v>Income Statement</v>
      </c>
      <c r="I14" s="597" t="s">
        <v>1029</v>
      </c>
      <c r="J14" s="598"/>
      <c r="K14" s="634" t="str">
        <f>IF('Summary | Sumário'!D6=Names!B3,Names!I15,Names!J15)</f>
        <v>Inter Shop</v>
      </c>
      <c r="L14" s="631"/>
    </row>
    <row r="15" spans="1:12" ht="10" customHeight="1">
      <c r="A15" s="88"/>
      <c r="B15" s="630"/>
      <c r="C15" s="578"/>
      <c r="D15" s="578"/>
      <c r="E15" s="577"/>
      <c r="F15" s="597"/>
      <c r="G15" s="598"/>
      <c r="H15" s="634"/>
      <c r="I15" s="597"/>
      <c r="J15" s="598"/>
      <c r="K15" s="634"/>
      <c r="L15" s="635"/>
    </row>
    <row r="16" spans="1:12" ht="22" customHeight="1">
      <c r="A16" s="88"/>
      <c r="B16" s="630"/>
      <c r="C16" s="578"/>
      <c r="D16" s="578"/>
      <c r="E16" s="577"/>
      <c r="F16" s="597" t="s">
        <v>1030</v>
      </c>
      <c r="G16" s="598"/>
      <c r="H16" s="634" t="str">
        <f>IF('Summary | Sumário'!D6=Names!B3,Names!I33,Names!J33)</f>
        <v>Funding</v>
      </c>
      <c r="I16" s="597" t="s">
        <v>1030</v>
      </c>
      <c r="J16" s="598"/>
      <c r="K16" s="634" t="str">
        <f>IF('Summary | Sumário'!D6=Names!B3,Names!I16,Names!J16)</f>
        <v>Digital Account</v>
      </c>
      <c r="L16" s="635"/>
    </row>
    <row r="17" spans="1:12" ht="10" customHeight="1">
      <c r="A17" s="88"/>
      <c r="B17" s="630"/>
      <c r="C17" s="578"/>
      <c r="D17" s="578"/>
      <c r="E17" s="577"/>
      <c r="F17" s="597"/>
      <c r="G17" s="598"/>
      <c r="H17" s="634"/>
      <c r="I17" s="597"/>
      <c r="J17" s="598"/>
      <c r="K17" s="634"/>
      <c r="L17" s="635"/>
    </row>
    <row r="18" spans="1:12" ht="22" customHeight="1">
      <c r="A18" s="88"/>
      <c r="B18" s="630"/>
      <c r="C18" s="578"/>
      <c r="D18" s="578"/>
      <c r="E18" s="577"/>
      <c r="F18" s="597" t="s">
        <v>1031</v>
      </c>
      <c r="G18" s="598"/>
      <c r="H18" s="634" t="str">
        <f>IF('Summary | Sumário'!D6=Names!B3,Names!I34,Names!J34)</f>
        <v>Interest Earning Portfolio</v>
      </c>
      <c r="I18" s="597" t="s">
        <v>1031</v>
      </c>
      <c r="J18" s="598"/>
      <c r="K18" s="634" t="str">
        <f>IF('Summary | Sumário'!D6=Names!B3,Names!I17,Names!J17)</f>
        <v>Operational KPIs</v>
      </c>
      <c r="L18" s="635"/>
    </row>
    <row r="19" spans="1:12" ht="10" customHeight="1">
      <c r="B19" s="636"/>
      <c r="C19" s="588"/>
      <c r="D19" s="588"/>
      <c r="E19" s="589"/>
      <c r="F19" s="597"/>
      <c r="G19" s="598"/>
      <c r="H19" s="634"/>
      <c r="I19" s="600"/>
      <c r="J19" s="598"/>
      <c r="K19" s="634"/>
      <c r="L19" s="635"/>
    </row>
    <row r="20" spans="1:12" ht="22" customHeight="1">
      <c r="B20" s="636"/>
      <c r="C20" s="590"/>
      <c r="D20" s="590"/>
      <c r="E20" s="591"/>
      <c r="F20" s="597" t="s">
        <v>1032</v>
      </c>
      <c r="G20" s="598"/>
      <c r="H20" s="634" t="str">
        <f>IF('Summary | Sumário'!D6=Names!B3,Names!I35,Names!J35)</f>
        <v>Net Interest Income</v>
      </c>
      <c r="I20" s="600"/>
      <c r="J20" s="598"/>
      <c r="K20" s="634"/>
      <c r="L20" s="635"/>
    </row>
    <row r="21" spans="1:12" ht="10" customHeight="1">
      <c r="B21" s="636"/>
      <c r="C21" s="590"/>
      <c r="D21" s="590"/>
      <c r="E21" s="591"/>
      <c r="F21" s="597"/>
      <c r="G21" s="598"/>
      <c r="H21" s="634"/>
      <c r="I21" s="600"/>
      <c r="J21" s="601"/>
      <c r="K21" s="634"/>
      <c r="L21" s="635"/>
    </row>
    <row r="22" spans="1:12" ht="22" customHeight="1">
      <c r="B22" s="636"/>
      <c r="C22" s="588"/>
      <c r="D22" s="588"/>
      <c r="E22" s="589"/>
      <c r="F22" s="597" t="s">
        <v>1033</v>
      </c>
      <c r="G22" s="598"/>
      <c r="H22" s="634" t="str">
        <f>IF('Summary | Sumário'!D6=Names!B3,Names!I36,Names!J36)</f>
        <v>Fee Revenue</v>
      </c>
      <c r="I22" s="600"/>
      <c r="J22" s="601"/>
      <c r="K22" s="634"/>
      <c r="L22" s="635"/>
    </row>
    <row r="23" spans="1:12" ht="10" customHeight="1">
      <c r="B23" s="636"/>
      <c r="C23" s="588"/>
      <c r="D23" s="588"/>
      <c r="E23" s="589"/>
      <c r="F23" s="601"/>
      <c r="G23" s="601"/>
      <c r="H23" s="634"/>
      <c r="I23" s="600"/>
      <c r="J23" s="601"/>
      <c r="K23" s="634"/>
      <c r="L23" s="635"/>
    </row>
    <row r="24" spans="1:12" ht="22" customHeight="1">
      <c r="B24" s="636"/>
      <c r="C24" s="578"/>
      <c r="D24" s="578"/>
      <c r="E24" s="592"/>
      <c r="F24" s="597" t="s">
        <v>1034</v>
      </c>
      <c r="G24" s="601"/>
      <c r="H24" s="634" t="str">
        <f>IF('Summary | Sumário'!D6=Names!B3,Names!I37,Names!J37)</f>
        <v>Expenses</v>
      </c>
      <c r="I24" s="597" t="s">
        <v>1027</v>
      </c>
      <c r="J24" s="601"/>
      <c r="K24" s="634" t="str">
        <f>IF('Summary | Sumário'!D6=Names!B3,Names!I27,Names!J27)</f>
        <v>Market Data</v>
      </c>
      <c r="L24" s="635"/>
    </row>
    <row r="25" spans="1:12" ht="10" customHeight="1">
      <c r="B25" s="636"/>
      <c r="C25" s="578"/>
      <c r="D25" s="578"/>
      <c r="E25" s="592"/>
      <c r="F25" s="601"/>
      <c r="G25" s="601"/>
      <c r="H25" s="634"/>
      <c r="I25" s="600"/>
      <c r="J25" s="601"/>
      <c r="K25" s="634"/>
      <c r="L25" s="635"/>
    </row>
    <row r="26" spans="1:12" ht="22" customHeight="1">
      <c r="B26" s="636"/>
      <c r="C26" s="578"/>
      <c r="D26" s="578"/>
      <c r="E26" s="592"/>
      <c r="F26" s="597" t="s">
        <v>1035</v>
      </c>
      <c r="G26" s="601"/>
      <c r="H26" s="634" t="str">
        <f>IF('Summary | Sumário'!D6=Names!B3,Names!I38,Names!J38)</f>
        <v>Financial KPIs</v>
      </c>
      <c r="I26" s="597" t="s">
        <v>1028</v>
      </c>
      <c r="J26" s="601"/>
      <c r="K26" s="634" t="str">
        <f>IF('Summary | Sumário'!D6=Names!B3,Names!I20,Names!J20)</f>
        <v>Disclaimer</v>
      </c>
      <c r="L26" s="635"/>
    </row>
    <row r="27" spans="1:12" ht="10" customHeight="1">
      <c r="B27" s="636"/>
      <c r="C27" s="578"/>
      <c r="D27" s="578"/>
      <c r="E27" s="592"/>
      <c r="F27" s="601"/>
      <c r="G27" s="601"/>
      <c r="H27" s="634"/>
      <c r="I27" s="600"/>
      <c r="J27" s="601"/>
      <c r="K27" s="634"/>
      <c r="L27" s="635"/>
    </row>
    <row r="28" spans="1:12" ht="22" customHeight="1">
      <c r="B28" s="636"/>
      <c r="C28" s="578"/>
      <c r="D28" s="578"/>
      <c r="E28" s="592"/>
      <c r="F28" s="601" t="s">
        <v>1035</v>
      </c>
      <c r="G28" s="601" t="s">
        <v>1036</v>
      </c>
      <c r="H28" s="634" t="str">
        <f>IF('Summary | Sumário'!D6=Names!B3,Names!I39,Names!J39)</f>
        <v>Asset Quality</v>
      </c>
      <c r="I28" s="597" t="s">
        <v>1029</v>
      </c>
      <c r="J28" s="601"/>
      <c r="K28" s="634" t="str">
        <f>IF('Summary | Sumário'!D6=Names!B3,Names!I21,Names!J21)</f>
        <v>Glossary</v>
      </c>
      <c r="L28" s="635"/>
    </row>
    <row r="29" spans="1:12" ht="10" customHeight="1">
      <c r="B29" s="636"/>
      <c r="C29" s="578"/>
      <c r="D29" s="578"/>
      <c r="E29" s="592"/>
      <c r="F29" s="601"/>
      <c r="G29" s="601"/>
      <c r="H29" s="634"/>
      <c r="I29" s="600"/>
      <c r="J29" s="601"/>
      <c r="K29" s="634"/>
      <c r="L29" s="635"/>
    </row>
    <row r="30" spans="1:12" ht="22" customHeight="1">
      <c r="B30" s="636"/>
      <c r="C30" s="578"/>
      <c r="D30" s="578"/>
      <c r="E30" s="592"/>
      <c r="F30" s="601" t="s">
        <v>1035</v>
      </c>
      <c r="G30" s="601" t="s">
        <v>1037</v>
      </c>
      <c r="H30" s="634" t="str">
        <f>IF('Summary | Sumário'!D6=Names!B3,Names!I40,Names!J40)</f>
        <v>NIM &amp; Yields</v>
      </c>
      <c r="I30" s="597"/>
      <c r="J30" s="601"/>
      <c r="K30" s="602"/>
      <c r="L30" s="635"/>
    </row>
    <row r="31" spans="1:12" ht="10" customHeight="1">
      <c r="B31" s="636"/>
      <c r="C31" s="578"/>
      <c r="D31" s="578"/>
      <c r="E31" s="592"/>
      <c r="F31" s="601"/>
      <c r="G31" s="601"/>
      <c r="H31" s="634"/>
      <c r="I31" s="600"/>
      <c r="J31" s="601"/>
      <c r="K31" s="602"/>
      <c r="L31" s="635"/>
    </row>
    <row r="32" spans="1:12" ht="22" customHeight="1">
      <c r="B32" s="636"/>
      <c r="C32" s="578"/>
      <c r="D32" s="578"/>
      <c r="E32" s="592"/>
      <c r="F32" s="601" t="s">
        <v>1035</v>
      </c>
      <c r="G32" s="601" t="s">
        <v>1038</v>
      </c>
      <c r="H32" s="634" t="str">
        <f>IF('Summary | Sumário'!D6=Names!B3,Names!I41,Names!J41)</f>
        <v>Fee Income Ratio</v>
      </c>
      <c r="I32" s="600"/>
      <c r="J32" s="601"/>
      <c r="K32" s="602"/>
      <c r="L32" s="635"/>
    </row>
    <row r="33" spans="2:12" ht="10" customHeight="1">
      <c r="B33" s="636"/>
      <c r="C33" s="578"/>
      <c r="D33" s="578"/>
      <c r="E33" s="578"/>
      <c r="F33" s="601"/>
      <c r="G33" s="601"/>
      <c r="H33" s="634"/>
      <c r="I33" s="600"/>
      <c r="J33" s="602"/>
      <c r="K33" s="599"/>
      <c r="L33" s="635"/>
    </row>
    <row r="34" spans="2:12" ht="22" customHeight="1">
      <c r="B34" s="636"/>
      <c r="C34" s="581"/>
      <c r="D34" s="581"/>
      <c r="E34" s="581"/>
      <c r="F34" s="601" t="s">
        <v>1035</v>
      </c>
      <c r="G34" s="601" t="s">
        <v>1039</v>
      </c>
      <c r="H34" s="634" t="str">
        <f>IF('Summary | Sumário'!D6=Names!B3,Names!I42,Names!J42)</f>
        <v>Efficiency Ratio</v>
      </c>
      <c r="I34" s="600"/>
      <c r="J34" s="599"/>
      <c r="K34" s="599"/>
      <c r="L34" s="635"/>
    </row>
    <row r="35" spans="2:12" ht="10" customHeight="1">
      <c r="B35" s="636"/>
      <c r="C35" s="581"/>
      <c r="D35" s="581"/>
      <c r="E35" s="581"/>
      <c r="F35" s="605"/>
      <c r="G35" s="601"/>
      <c r="H35" s="634"/>
      <c r="I35" s="582"/>
      <c r="J35" s="581"/>
      <c r="K35" s="581"/>
      <c r="L35" s="635"/>
    </row>
    <row r="36" spans="2:12" ht="22" customHeight="1">
      <c r="B36" s="636"/>
      <c r="C36" s="581"/>
      <c r="D36" s="581"/>
      <c r="E36" s="581"/>
      <c r="F36" s="601" t="s">
        <v>1035</v>
      </c>
      <c r="G36" s="601" t="s">
        <v>1040</v>
      </c>
      <c r="H36" s="634" t="str">
        <f>IF('Summary | Sumário'!D6=Names!B3,Names!I43,Names!J43)</f>
        <v>Cost-to-Serve</v>
      </c>
      <c r="I36" s="582"/>
      <c r="J36" s="581"/>
      <c r="K36" s="581"/>
      <c r="L36" s="635"/>
    </row>
    <row r="37" spans="2:12" ht="10" customHeight="1">
      <c r="B37" s="636"/>
      <c r="C37" s="581"/>
      <c r="D37" s="581"/>
      <c r="E37" s="581"/>
      <c r="F37" s="605"/>
      <c r="G37" s="601"/>
      <c r="H37" s="634"/>
      <c r="I37" s="582"/>
      <c r="J37" s="581"/>
      <c r="K37" s="581"/>
      <c r="L37" s="635"/>
    </row>
    <row r="38" spans="2:12" ht="22" customHeight="1">
      <c r="B38" s="636"/>
      <c r="C38" s="581"/>
      <c r="D38" s="581"/>
      <c r="E38" s="581"/>
      <c r="F38" s="601" t="s">
        <v>1035</v>
      </c>
      <c r="G38" s="601" t="s">
        <v>1041</v>
      </c>
      <c r="H38" s="634" t="str">
        <f>IF('Summary | Sumário'!D6=Names!B3,Names!I44,Names!J44)</f>
        <v>ARPAC</v>
      </c>
      <c r="I38" s="582"/>
      <c r="J38" s="581"/>
      <c r="K38" s="581"/>
      <c r="L38" s="635"/>
    </row>
    <row r="39" spans="2:12" ht="10" customHeight="1">
      <c r="B39" s="636"/>
      <c r="C39" s="581"/>
      <c r="D39" s="581"/>
      <c r="E39" s="581"/>
      <c r="F39" s="605"/>
      <c r="G39" s="601"/>
      <c r="H39" s="634"/>
      <c r="I39" s="582"/>
      <c r="J39" s="581"/>
      <c r="K39" s="581"/>
      <c r="L39" s="635"/>
    </row>
    <row r="40" spans="2:12" ht="22" customHeight="1">
      <c r="B40" s="636"/>
      <c r="C40" s="581"/>
      <c r="D40" s="581"/>
      <c r="E40" s="581"/>
      <c r="F40" s="601" t="s">
        <v>1035</v>
      </c>
      <c r="G40" s="601" t="s">
        <v>1042</v>
      </c>
      <c r="H40" s="634" t="str">
        <f>IF('Summary | Sumário'!D6=Names!B3,Names!I45,Names!J45)</f>
        <v>Cost of Funding</v>
      </c>
      <c r="I40" s="582"/>
      <c r="J40" s="581"/>
      <c r="K40" s="581"/>
      <c r="L40" s="635"/>
    </row>
    <row r="41" spans="2:12" ht="10" customHeight="1">
      <c r="B41" s="636"/>
      <c r="C41" s="581"/>
      <c r="D41" s="581"/>
      <c r="E41" s="581"/>
      <c r="F41" s="605"/>
      <c r="G41" s="601"/>
      <c r="H41" s="634"/>
      <c r="I41" s="582"/>
      <c r="J41" s="581"/>
      <c r="K41" s="581"/>
      <c r="L41" s="635"/>
    </row>
    <row r="42" spans="2:12" ht="23" customHeight="1">
      <c r="B42" s="636"/>
      <c r="C42" s="581"/>
      <c r="D42" s="581"/>
      <c r="E42" s="581"/>
      <c r="F42" s="601" t="s">
        <v>1035</v>
      </c>
      <c r="G42" s="601" t="s">
        <v>1043</v>
      </c>
      <c r="H42" s="634" t="s">
        <v>1044</v>
      </c>
      <c r="I42" s="582"/>
      <c r="J42" s="581"/>
      <c r="K42" s="581"/>
      <c r="L42" s="635"/>
    </row>
    <row r="43" spans="2:12" ht="10" customHeight="1">
      <c r="B43" s="636"/>
      <c r="C43" s="581"/>
      <c r="D43" s="581"/>
      <c r="E43" s="581"/>
      <c r="F43" s="605"/>
      <c r="G43" s="601"/>
      <c r="H43" s="634"/>
      <c r="I43" s="582"/>
      <c r="J43" s="581"/>
      <c r="K43" s="581"/>
      <c r="L43" s="635"/>
    </row>
    <row r="44" spans="2:12" ht="22" customHeight="1">
      <c r="B44" s="636"/>
      <c r="C44" s="581"/>
      <c r="D44" s="581"/>
      <c r="E44" s="581"/>
      <c r="F44" s="601" t="s">
        <v>1035</v>
      </c>
      <c r="G44" s="601" t="s">
        <v>1045</v>
      </c>
      <c r="H44" s="634" t="str">
        <f>IF('Summary | Sumário'!D6=Names!B3,Names!I46,Names!J46)</f>
        <v>Capital</v>
      </c>
      <c r="I44" s="582"/>
      <c r="J44" s="581"/>
      <c r="K44" s="581"/>
      <c r="L44" s="635"/>
    </row>
    <row r="45" spans="2:12" ht="10" customHeight="1">
      <c r="B45" s="636"/>
      <c r="C45" s="581"/>
      <c r="D45" s="581"/>
      <c r="E45" s="581"/>
      <c r="F45" s="605"/>
      <c r="G45" s="601"/>
      <c r="H45" s="634"/>
      <c r="I45" s="582"/>
      <c r="J45" s="581"/>
      <c r="K45" s="581"/>
      <c r="L45" s="635"/>
    </row>
    <row r="46" spans="2:12" ht="22" customHeight="1">
      <c r="B46" s="636"/>
      <c r="C46" s="581"/>
      <c r="D46" s="581"/>
      <c r="E46" s="581"/>
      <c r="F46" s="601" t="s">
        <v>1035</v>
      </c>
      <c r="G46" s="601" t="s">
        <v>1120</v>
      </c>
      <c r="H46" s="634" t="str">
        <f>IF('Summary | Sumário'!D6=Names!B3,Names!BF84,Names!BG84)</f>
        <v>Effective Tax Rate</v>
      </c>
      <c r="I46" s="582"/>
      <c r="J46" s="581"/>
      <c r="K46" s="581"/>
      <c r="L46" s="635"/>
    </row>
    <row r="47" spans="2:12" ht="22" customHeight="1">
      <c r="B47" s="637"/>
      <c r="C47" s="638"/>
      <c r="D47" s="638"/>
      <c r="E47" s="638"/>
      <c r="F47" s="639"/>
      <c r="G47" s="639"/>
      <c r="H47" s="640"/>
      <c r="I47" s="641"/>
      <c r="J47" s="638"/>
      <c r="K47" s="638"/>
      <c r="L47" s="642"/>
    </row>
  </sheetData>
  <sheetProtection algorithmName="SHA-512" hashValue="r3OUfpZX9t2VQXl4f307a5xgKVi11EwLkpmclSz8mVc0whX6p8lTDJSZ91nKpPZDcYVqXfNXt8Sq0PQcAODqaQ==" saltValue="JOkCkgkIvV/hrlNv48kCCg==" spinCount="100000" sheet="1" formatCells="0" formatColumns="0" formatRows="0" insertColumns="0" insertRows="0" insertHyperlinks="0" deleteColumns="0" deleteRows="0" sort="0" autoFilter="0" pivotTables="0"/>
  <mergeCells count="1">
    <mergeCell ref="F6:K7"/>
  </mergeCells>
  <hyperlinks>
    <hyperlink ref="H10" location="'1. Highlights'!A1" display="'1. Highlights'!A1" xr:uid="{FACC69DB-CBF5-A34F-B97A-124C19E74A49}"/>
    <hyperlink ref="H12" location="'2. BS | BP'!A1" display="'2. BS | BP'!A1" xr:uid="{209443F7-93AA-2247-B726-2F80A26880B2}"/>
    <hyperlink ref="H14" location="'3. IS | DRE'!A1" display="'3. IS | DRE'!A1" xr:uid="{B38745B5-3202-B349-89A3-72CC686D8833}"/>
    <hyperlink ref="H16" location="'4. Funding'!A1" display="'4. Funding'!A1" xr:uid="{78546F37-5C08-AB45-9845-4282B0C68A13}"/>
    <hyperlink ref="H18" location="'5. IEP'!A1" display="'5. IEP'!A1" xr:uid="{110A099D-5445-694A-8074-7774874617A0}"/>
    <hyperlink ref="H20" location="'6. NII'!A1" display="'6. NII'!A1" xr:uid="{8EAA7680-06EE-F44F-BFB4-EBB9CE65037D}"/>
    <hyperlink ref="H22" location="'7. Fee Revenue | R. de Serv '!A1" display="'7. Fee Revenue | R. de Serv '!A1" xr:uid="{43F13BAF-D3DB-9343-A013-0F7B6BF440DF}"/>
    <hyperlink ref="H24" location="'8. Expenses'!A1" display="'8. Expenses'!A1" xr:uid="{73DD4A3A-62EE-1E43-9813-160E560D7A96}"/>
    <hyperlink ref="H26" location="'9. Financial KPIs | KPIs Fin.'!A1" display="'9. Financial KPIs | KPIs Fin.'!A1" xr:uid="{414A726D-EDFF-8A49-B000-DC168828338A}"/>
    <hyperlink ref="H28" location="'9.1 Asset Quality'!A1" display="'9.1 Asset Quality'!A1" xr:uid="{08F2EAED-F7A2-EA43-9ECA-19EDE1A91168}"/>
    <hyperlink ref="H30" location="'9.2 NIM &amp; Yields'!A1" display="'9.2 NIM &amp; Yields'!A1" xr:uid="{FC9B6088-835F-2E44-AAB1-2DA4E09B87FC}"/>
    <hyperlink ref="H32" location="'9.3 Fee Income Ratio'!A1" display="'9.3 Fee Income Ratio'!A1" xr:uid="{48DEF271-5967-B54C-8261-CB3DF1099F3C}"/>
    <hyperlink ref="H34" location="'9.4 Efficiency | Eficiência'!A1" display="'9.4 Efficiency | Eficiência'!A1" xr:uid="{AEB00480-D740-EC40-AF19-8798B800FD9C}"/>
    <hyperlink ref="H36" location="'9.5 CTS | Custo de servir '!A1" display="'9.5 CTS | Custo de servir '!A1" xr:uid="{EEBAABF5-9A08-E848-806E-CE9C6EB20710}"/>
    <hyperlink ref="H38" location="'9.6 ARPAC'!A1" display="'9.6 ARPAC'!A1" xr:uid="{476617FD-5F80-E34E-8725-C5E22EC5026C}"/>
    <hyperlink ref="H40" location="'9.7 Cost of Funding'!A1" display="'9.7 Cost of Funding'!A1" xr:uid="{0F95E136-BD2C-8549-9A40-2CB91D20F424}"/>
    <hyperlink ref="K10" location="'1. Inter Invest'!A1" display="'1. Inter Invest'!A1" xr:uid="{7F7E0A68-72ED-3340-A4FD-8B19C26620BD}"/>
    <hyperlink ref="K12" location="'2. Inter Seguros'!A1" display="'2. Inter Seguros'!A1" xr:uid="{814C70A0-1725-0441-A362-7BB113C87D68}"/>
    <hyperlink ref="K14" location="'3. Inter Shop'!A1" display="'3. Inter Shop'!A1" xr:uid="{95981D1D-0760-2642-9505-BE5408BEEF9F}"/>
    <hyperlink ref="K16" location="'4. Digital Acou. | Conta Di'!A1" display="'4. Digital Acou. | Conta Di'!A1" xr:uid="{D3FF2661-0A63-D541-B3D3-E95A0ED67126}"/>
    <hyperlink ref="K18" location="'5. Oper. KPIs | KPIs Oper.'!A1" display="'5. Oper. KPIs | KPIs Oper.'!A1" xr:uid="{E1FE6317-8C70-C44A-8144-0B6271B1CE18}"/>
    <hyperlink ref="K24" location="'1. Market Data | Dado de Mer.'!A1" display="'1. Market Data | Dado de Mer.'!A1" xr:uid="{80276634-E00D-6641-94ED-2DF1DAB8497E}"/>
    <hyperlink ref="K26" location="'3. Disclaimer'!A1" display="'3. Disclaimer'!A1" xr:uid="{CF27AB98-099D-314F-9137-E851052151A7}"/>
    <hyperlink ref="K28" location="'4. Glossary | Glossário'!A1" display="'4. Glossary | Glossário'!A1" xr:uid="{562D68B8-F964-DE4B-84B3-D889A86C566F}"/>
    <hyperlink ref="H44" location="'9.9 Capital | Basileia'!A1" display="'9.9 Capital | Basileia'!A1" xr:uid="{49BD3F82-03A2-2E48-B7B4-BE88A7B74E8C}"/>
    <hyperlink ref="H42" location="'9.8 ROE'!A1" display="ROE" xr:uid="{71723839-09C2-F048-B147-9887FAADF456}"/>
  </hyperlinks>
  <pageMargins left="0.511811024" right="0.511811024" top="0.78740157499999996" bottom="0.78740157499999996" header="0.31496062000000002" footer="0.31496062000000002"/>
  <pageSetup paperSize="9" orientation="portrait" horizontalDpi="0" verticalDpi="0"/>
  <ignoredErrors>
    <ignoredError sqref="I10:I18 I24:I28 F10:F22 F24:H41 F42:G42 F44:H44" numberStoredAsText="1"/>
  </ignoredErrors>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E1FC904-540E-3A45-9E98-258CEE4A444F}">
          <x14:formula1>
            <xm:f>Names!$B$2:$B$3</xm:f>
          </x14:formula1>
          <xm:sqref>D6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43826-A11D-4D47-A4CA-CD6B44ECF723}">
  <sheetPr codeName="Sheet21">
    <tabColor rgb="FFF7CAB0"/>
  </sheetPr>
  <dimension ref="A1:AI35"/>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94" customWidth="1"/>
    <col min="2" max="2" width="68.33203125" style="105" customWidth="1"/>
    <col min="3" max="8" width="10.83203125" style="195" customWidth="1"/>
    <col min="9" max="9" width="2.83203125" style="195" customWidth="1"/>
    <col min="10" max="28" width="10.83203125" style="195" customWidth="1"/>
    <col min="29" max="29" width="5.83203125" style="195" customWidth="1"/>
    <col min="30" max="31" width="10.83203125" style="195" customWidth="1"/>
    <col min="32" max="32" width="10.83203125" style="194" customWidth="1"/>
    <col min="33" max="16384" width="10.83203125" style="194"/>
  </cols>
  <sheetData>
    <row r="1" spans="1:35" ht="13" customHeight="1">
      <c r="AF1" s="195"/>
    </row>
    <row r="2" spans="1:35" s="10" customFormat="1" ht="13" customHeight="1">
      <c r="B2" s="267" t="str">
        <f>IF('Summary | Sumário'!D$6=Names!B$3,Names!AH1,Names!AI1)</f>
        <v>Capital Ratio (Banco Inter S.A.,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322"/>
      <c r="J2" s="20" t="str">
        <f>IF('Summary | Sumário'!D6=Names!B3,Names!C6,Names!D6)</f>
        <v>1Q21</v>
      </c>
      <c r="K2" s="21" t="str">
        <f>IF('Summary | Sumário'!D6=Names!B3,Names!C7,Names!D7)</f>
        <v>2Q21</v>
      </c>
      <c r="L2" s="21" t="str">
        <f>IF('Summary | Sumário'!D6=Names!B3,Names!C8,Names!D8)</f>
        <v>3Q21</v>
      </c>
      <c r="M2" s="21" t="str">
        <f>IF('Summary | Sumário'!D6=Names!B3,Names!C9,Names!D9)</f>
        <v>4Q21</v>
      </c>
      <c r="N2" s="21" t="str">
        <f>IF('Summary | Sumário'!D6=Names!B3,Names!C10,Names!D10)</f>
        <v>1Q22</v>
      </c>
      <c r="O2" s="21" t="str">
        <f>IF('Summary | Sumário'!D6=Names!B3,Names!C11,Names!D11)</f>
        <v>2Q22</v>
      </c>
      <c r="P2" s="21" t="str">
        <f>IF('Summary | Sumário'!D6=Names!B3,Names!C12,Names!D12)</f>
        <v>3Q22</v>
      </c>
      <c r="Q2" s="21" t="str">
        <f>IF('Summary | Sumário'!D6=Names!B3,Names!C13,Names!D13)</f>
        <v>4Q22</v>
      </c>
      <c r="R2" s="21" t="str">
        <f>IF('Summary | Sumário'!D6=Names!B3,Names!C14,Names!D14)</f>
        <v>1Q23</v>
      </c>
      <c r="S2" s="21" t="str">
        <f>IF('Summary | Sumário'!D6=Names!B3,Names!C15,Names!D15)</f>
        <v>2Q23</v>
      </c>
      <c r="T2" s="21" t="str">
        <f>IF('Summary | Sumário'!D6=Names!B3,Names!C16,Names!D16)</f>
        <v>3Q23</v>
      </c>
      <c r="U2" s="21" t="str">
        <f>IF('Summary | Sumário'!D6=Names!B3,Names!C17,Names!D17)</f>
        <v>4Q23</v>
      </c>
      <c r="V2" s="21" t="str">
        <f>IF('Summary | Sumário'!D6=Names!B3,Names!C19,Names!D19)</f>
        <v>1Q24</v>
      </c>
      <c r="W2" s="21" t="str">
        <f>IF('Summary | Sumário'!D6=Names!B3,Names!C20,Names!D20)</f>
        <v>2Q24</v>
      </c>
      <c r="X2" s="21" t="str">
        <f>IF('Summary | Sumário'!D6=Names!B3,Names!C21,Names!D21)</f>
        <v>3Q24</v>
      </c>
      <c r="Y2" s="21" t="str">
        <f>IF('Summary | Sumário'!D6=Names!B3,Names!C22,Names!D22)</f>
        <v>4Q24</v>
      </c>
      <c r="Z2" s="21" t="str">
        <f>IF('Summary | Sumário'!D6=Names!B3,Names!C24,Names!D24)</f>
        <v>1Q25</v>
      </c>
      <c r="AA2" s="21" t="str">
        <f>IF('Summary | Sumário'!D6=Names!B3,Names!C25,Names!D25)</f>
        <v>2Q25</v>
      </c>
      <c r="AB2" s="269" t="str">
        <f>IF('Summary | Sumário'!D6=Names!B3,Names!C26,Names!D26)</f>
        <v>3Q25</v>
      </c>
      <c r="AC2" s="326"/>
      <c r="AD2" s="104" t="str">
        <f>IF('Summary | Sumário'!$D$6=Names!$B$3,Names!$I$24,Names!$J$24)</f>
        <v>QoQ Variation</v>
      </c>
      <c r="AE2" s="104" t="str">
        <f>IF('Summary | Sumário'!$D$6=Names!$B$3,Names!$I$25,Names!$J$25)</f>
        <v>YoY Variation</v>
      </c>
      <c r="AF2" s="11"/>
      <c r="AH2" s="12"/>
      <c r="AI2" s="13"/>
    </row>
    <row r="3" spans="1:35" ht="13" customHeight="1">
      <c r="B3" s="10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7"/>
    </row>
    <row r="4" spans="1:35" s="199" customFormat="1" ht="13" customHeight="1">
      <c r="A4" s="198"/>
      <c r="B4" s="3" t="str">
        <f>IF('Summary | Sumário'!D$6=Names!B$3,Names!AH3,Names!AI3)</f>
        <v>Capital ratio</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row>
    <row r="5" spans="1:35" ht="13" customHeight="1">
      <c r="B5" s="288" t="str">
        <f>IF('Summary | Sumário'!D$6=Names!B$3,Names!AH4,Names!AI4)</f>
        <v>Referential equity (RE)</v>
      </c>
      <c r="C5" s="289">
        <v>2123127</v>
      </c>
      <c r="D5" s="289">
        <v>3077952</v>
      </c>
      <c r="E5" s="289">
        <f>M5</f>
        <v>7955237.9140799996</v>
      </c>
      <c r="F5" s="289">
        <f>Q5</f>
        <v>5913329</v>
      </c>
      <c r="G5" s="289">
        <f>U5</f>
        <v>6138173.4993100008</v>
      </c>
      <c r="H5" s="289">
        <f>Y5</f>
        <v>5262320.5900600003</v>
      </c>
      <c r="I5" s="179"/>
      <c r="J5" s="289">
        <v>2815602.88809</v>
      </c>
      <c r="K5" s="289">
        <v>2682250.3591399998</v>
      </c>
      <c r="L5" s="289">
        <v>7955022.5986299999</v>
      </c>
      <c r="M5" s="289">
        <v>7955237.9140799996</v>
      </c>
      <c r="N5" s="289">
        <v>7042015</v>
      </c>
      <c r="O5" s="289">
        <v>7080872</v>
      </c>
      <c r="P5" s="289">
        <v>7162093</v>
      </c>
      <c r="Q5" s="289">
        <v>5913329</v>
      </c>
      <c r="R5" s="289">
        <v>5829384</v>
      </c>
      <c r="S5" s="289">
        <v>5959738</v>
      </c>
      <c r="T5" s="289">
        <v>5964109</v>
      </c>
      <c r="U5" s="289">
        <v>6138173.4993100008</v>
      </c>
      <c r="V5" s="289">
        <v>5852972.8847599998</v>
      </c>
      <c r="W5" s="289">
        <v>5895210.8120200001</v>
      </c>
      <c r="X5" s="289">
        <v>5557930.4372699996</v>
      </c>
      <c r="Y5" s="289">
        <v>5262320.5900600003</v>
      </c>
      <c r="Z5" s="289">
        <v>5523344</v>
      </c>
      <c r="AA5" s="289">
        <v>6034565.0908400007</v>
      </c>
      <c r="AB5" s="289">
        <v>6030082.4842800004</v>
      </c>
      <c r="AC5" s="179"/>
      <c r="AD5" s="337">
        <f>AB5/AA5-1</f>
        <v>-7.4282180944651444E-4</v>
      </c>
      <c r="AE5" s="337">
        <f>AB5/X5-1</f>
        <v>8.4951053695072387E-2</v>
      </c>
    </row>
    <row r="6" spans="1:35" ht="13" customHeight="1">
      <c r="B6" s="51" t="str">
        <f>IF('Summary | Sumário'!D$6=Names!B$3,Names!AH5,Names!AI5)</f>
        <v>Tier I referential equity</v>
      </c>
      <c r="C6" s="179">
        <v>2123127</v>
      </c>
      <c r="D6" s="179">
        <v>3077952</v>
      </c>
      <c r="E6" s="179">
        <f t="shared" ref="E6:E23" si="0">M6</f>
        <v>7955237.9140799996</v>
      </c>
      <c r="F6" s="179">
        <f t="shared" ref="F6:F7" si="1">Q6</f>
        <v>5913329</v>
      </c>
      <c r="G6" s="179">
        <f t="shared" ref="G6:G12" si="2">U6</f>
        <v>6138173.4993100008</v>
      </c>
      <c r="H6" s="179">
        <f t="shared" ref="H6:H13" si="3">Y6</f>
        <v>5262320.5900600003</v>
      </c>
      <c r="I6" s="179"/>
      <c r="J6" s="179">
        <v>2815602.88809</v>
      </c>
      <c r="K6" s="179">
        <v>2682250.3591399998</v>
      </c>
      <c r="L6" s="179">
        <v>7955022.5986299999</v>
      </c>
      <c r="M6" s="179">
        <v>7955237.9140799996</v>
      </c>
      <c r="N6" s="179">
        <v>7042015</v>
      </c>
      <c r="O6" s="179">
        <v>7080872</v>
      </c>
      <c r="P6" s="179">
        <v>7162093</v>
      </c>
      <c r="Q6" s="179">
        <v>5913329</v>
      </c>
      <c r="R6" s="179">
        <v>5829384</v>
      </c>
      <c r="S6" s="179">
        <v>5959738</v>
      </c>
      <c r="T6" s="179">
        <v>5964109</v>
      </c>
      <c r="U6" s="179">
        <v>6138173.4993100008</v>
      </c>
      <c r="V6" s="179">
        <v>5852972.8847599998</v>
      </c>
      <c r="W6" s="179">
        <v>5895210.8120200001</v>
      </c>
      <c r="X6" s="179">
        <v>5557930.4372699996</v>
      </c>
      <c r="Y6" s="179">
        <v>5262320.5900600003</v>
      </c>
      <c r="Z6" s="179">
        <v>5523344</v>
      </c>
      <c r="AA6" s="179">
        <v>5521911.2675400004</v>
      </c>
      <c r="AB6" s="179">
        <v>5496220.2442800002</v>
      </c>
      <c r="AC6" s="179"/>
      <c r="AD6" s="204">
        <f t="shared" ref="AD6:AD7" si="4">AB6/AA6-1</f>
        <v>-4.6525599589081201E-3</v>
      </c>
      <c r="AE6" s="204">
        <f t="shared" ref="AE6:AE7" si="5">AB6/X6-1</f>
        <v>-1.1103088404307404E-2</v>
      </c>
    </row>
    <row r="7" spans="1:35" ht="13" customHeight="1">
      <c r="B7" s="53" t="str">
        <f>IF('Summary | Sumário'!D$6=Names!B$3,Names!AH6,Names!AI6)</f>
        <v>Core capital (CC)</v>
      </c>
      <c r="C7" s="174">
        <v>2123127</v>
      </c>
      <c r="D7" s="174">
        <v>3077952</v>
      </c>
      <c r="E7" s="174">
        <f t="shared" si="0"/>
        <v>7955237.9140799996</v>
      </c>
      <c r="F7" s="174">
        <f t="shared" si="1"/>
        <v>5913329</v>
      </c>
      <c r="G7" s="174">
        <f t="shared" si="2"/>
        <v>6138173.4993100008</v>
      </c>
      <c r="H7" s="174">
        <f t="shared" si="3"/>
        <v>5262320.5900600003</v>
      </c>
      <c r="I7" s="179"/>
      <c r="J7" s="174">
        <v>2815602.88809</v>
      </c>
      <c r="K7" s="174">
        <v>2682250.3591399998</v>
      </c>
      <c r="L7" s="174">
        <v>7955022.5986299999</v>
      </c>
      <c r="M7" s="174">
        <v>7955237.9140799996</v>
      </c>
      <c r="N7" s="174">
        <v>7042015</v>
      </c>
      <c r="O7" s="174">
        <v>7080872</v>
      </c>
      <c r="P7" s="174">
        <v>7162093</v>
      </c>
      <c r="Q7" s="174">
        <v>5913329</v>
      </c>
      <c r="R7" s="174">
        <v>5829384</v>
      </c>
      <c r="S7" s="174">
        <v>5959738</v>
      </c>
      <c r="T7" s="174">
        <v>5964109</v>
      </c>
      <c r="U7" s="174">
        <v>6138173.4993100008</v>
      </c>
      <c r="V7" s="174">
        <v>5852972.8847599998</v>
      </c>
      <c r="W7" s="174">
        <v>5895210.8120200001</v>
      </c>
      <c r="X7" s="174">
        <v>5557930.4372699996</v>
      </c>
      <c r="Y7" s="174">
        <v>5262320.5900600003</v>
      </c>
      <c r="Z7" s="174">
        <v>5523344</v>
      </c>
      <c r="AA7" s="174">
        <v>5521911.2675400004</v>
      </c>
      <c r="AB7" s="174">
        <v>5496220.2442800002</v>
      </c>
      <c r="AC7" s="179"/>
      <c r="AD7" s="203">
        <f t="shared" si="4"/>
        <v>-4.6525599589081201E-3</v>
      </c>
      <c r="AE7" s="203">
        <f t="shared" si="5"/>
        <v>-1.1103088404307404E-2</v>
      </c>
    </row>
    <row r="8" spans="1:35" ht="13" customHeight="1">
      <c r="B8" s="51" t="str">
        <f>IF('Summary | Sumário'!D$6=Names!B$3,Names!AH22,Names!AI22)</f>
        <v>Tier II referential equity</v>
      </c>
      <c r="C8" s="179"/>
      <c r="D8" s="179"/>
      <c r="E8" s="179"/>
      <c r="F8" s="179"/>
      <c r="G8" s="179"/>
      <c r="H8" s="179"/>
      <c r="I8" s="179"/>
      <c r="J8" s="179"/>
      <c r="K8" s="179"/>
      <c r="L8" s="179"/>
      <c r="M8" s="179"/>
      <c r="N8" s="179"/>
      <c r="O8" s="179"/>
      <c r="P8" s="179"/>
      <c r="Q8" s="179"/>
      <c r="R8" s="179"/>
      <c r="S8" s="179"/>
      <c r="T8" s="179"/>
      <c r="U8" s="179"/>
      <c r="V8" s="179"/>
      <c r="W8" s="179"/>
      <c r="X8" s="179"/>
      <c r="Y8" s="179"/>
      <c r="Z8" s="179"/>
      <c r="AA8" s="179">
        <v>512653.82329999999</v>
      </c>
      <c r="AB8" s="179">
        <v>533862.24</v>
      </c>
      <c r="AC8" s="179"/>
      <c r="AD8" s="204" t="s">
        <v>1079</v>
      </c>
      <c r="AE8" s="204" t="s">
        <v>1079</v>
      </c>
    </row>
    <row r="9" spans="1:35" ht="13" customHeight="1">
      <c r="B9" s="53" t="str">
        <f>IF('Summary | Sumário'!D$6=Names!B$3,Names!AH7,Names!AI7)</f>
        <v>Risk weighted assets - RWA</v>
      </c>
      <c r="C9" s="174">
        <v>5388262</v>
      </c>
      <c r="D9" s="174">
        <v>9643109</v>
      </c>
      <c r="E9" s="174">
        <f t="shared" si="0"/>
        <v>17953262.630789999</v>
      </c>
      <c r="F9" s="174">
        <v>24950460</v>
      </c>
      <c r="G9" s="174">
        <f t="shared" si="2"/>
        <v>26745734.312450003</v>
      </c>
      <c r="H9" s="174">
        <f t="shared" si="3"/>
        <v>34653740.143590003</v>
      </c>
      <c r="I9" s="179"/>
      <c r="J9" s="174">
        <v>11661845.75979</v>
      </c>
      <c r="K9" s="174">
        <v>13664902.02272</v>
      </c>
      <c r="L9" s="174">
        <v>15993381.634679999</v>
      </c>
      <c r="M9" s="174">
        <v>17953262.630789999</v>
      </c>
      <c r="N9" s="174">
        <v>19739307</v>
      </c>
      <c r="O9" s="174">
        <v>21531298</v>
      </c>
      <c r="P9" s="174">
        <v>24039291</v>
      </c>
      <c r="Q9" s="174">
        <v>24550461</v>
      </c>
      <c r="R9" s="174">
        <v>25344975</v>
      </c>
      <c r="S9" s="174">
        <v>26110963</v>
      </c>
      <c r="T9" s="174">
        <v>25122491</v>
      </c>
      <c r="U9" s="174">
        <v>26745734.312450003</v>
      </c>
      <c r="V9" s="174">
        <v>28865752.132199999</v>
      </c>
      <c r="W9" s="174">
        <v>30562162.857720003</v>
      </c>
      <c r="X9" s="174">
        <v>32685685.686000001</v>
      </c>
      <c r="Y9" s="174">
        <v>34653740.143590003</v>
      </c>
      <c r="Z9" s="174">
        <v>37584487</v>
      </c>
      <c r="AA9" s="174">
        <v>38411293.717469998</v>
      </c>
      <c r="AB9" s="174">
        <v>41210623.556189999</v>
      </c>
      <c r="AC9" s="179"/>
      <c r="AD9" s="203">
        <f t="shared" ref="AD9:AD13" si="6">AB9/AA9-1</f>
        <v>7.2877780668106684E-2</v>
      </c>
      <c r="AE9" s="203">
        <f t="shared" ref="AE9:AE12" si="7">AB9/X9-1</f>
        <v>0.26081563507910177</v>
      </c>
      <c r="AF9" s="200"/>
    </row>
    <row r="10" spans="1:35" ht="13" customHeight="1">
      <c r="B10" s="54" t="str">
        <f>IF('Summary | Sumário'!D$6=Names!B$3,Names!AH8,Names!AI8)</f>
        <v>RWA for credit risk by standardized approach - RWACPAD</v>
      </c>
      <c r="C10" s="179">
        <v>4102332</v>
      </c>
      <c r="D10" s="179">
        <v>8064303</v>
      </c>
      <c r="E10" s="179">
        <v>16198394</v>
      </c>
      <c r="F10" s="179">
        <v>21963629</v>
      </c>
      <c r="G10" s="179">
        <f t="shared" si="2"/>
        <v>22367940.18866</v>
      </c>
      <c r="H10" s="179">
        <f t="shared" si="3"/>
        <v>27053372.237530001</v>
      </c>
      <c r="I10" s="179"/>
      <c r="J10" s="179">
        <v>9477754</v>
      </c>
      <c r="K10" s="179">
        <v>11657733</v>
      </c>
      <c r="L10" s="179">
        <v>14128834</v>
      </c>
      <c r="M10" s="179">
        <v>16198394</v>
      </c>
      <c r="N10" s="179">
        <v>17444892</v>
      </c>
      <c r="O10" s="179">
        <v>19128150</v>
      </c>
      <c r="P10" s="179">
        <v>20914461</v>
      </c>
      <c r="Q10" s="179">
        <v>20380664</v>
      </c>
      <c r="R10" s="179">
        <v>21964715</v>
      </c>
      <c r="S10" s="179">
        <v>22597089</v>
      </c>
      <c r="T10" s="179">
        <v>20745143</v>
      </c>
      <c r="U10" s="179">
        <v>22367940.18866</v>
      </c>
      <c r="V10" s="179">
        <v>23115890.775979999</v>
      </c>
      <c r="W10" s="179">
        <v>24972742.652060002</v>
      </c>
      <c r="X10" s="179">
        <v>25007291.648669999</v>
      </c>
      <c r="Y10" s="179">
        <v>27053372.237530001</v>
      </c>
      <c r="Z10" s="179">
        <v>30392108</v>
      </c>
      <c r="AA10" s="179">
        <v>31401035.994439997</v>
      </c>
      <c r="AB10" s="179">
        <v>33725395.272970006</v>
      </c>
      <c r="AC10" s="179"/>
      <c r="AD10" s="204">
        <f t="shared" si="6"/>
        <v>7.4021738612113586E-2</v>
      </c>
      <c r="AE10" s="204">
        <f t="shared" si="7"/>
        <v>0.34862246367105798</v>
      </c>
    </row>
    <row r="11" spans="1:35" ht="13" customHeight="1">
      <c r="B11" s="59" t="str">
        <f>IF('Summary | Sumário'!D$6=Names!B$3,Names!AH9,Names!AI9)</f>
        <v>RWA for market risk - RWAMPAD</v>
      </c>
      <c r="C11" s="174">
        <v>565751</v>
      </c>
      <c r="D11" s="174">
        <v>476759</v>
      </c>
      <c r="E11" s="174">
        <v>323581</v>
      </c>
      <c r="F11" s="174">
        <v>480765</v>
      </c>
      <c r="G11" s="174">
        <f t="shared" si="2"/>
        <v>342159.71365999995</v>
      </c>
      <c r="H11" s="174">
        <f t="shared" si="3"/>
        <v>1262296.1807200001</v>
      </c>
      <c r="I11" s="179"/>
      <c r="J11" s="174">
        <v>1043214</v>
      </c>
      <c r="K11" s="174">
        <v>866292</v>
      </c>
      <c r="L11" s="174">
        <v>433261</v>
      </c>
      <c r="M11" s="174">
        <v>323581</v>
      </c>
      <c r="N11" s="174">
        <v>356818</v>
      </c>
      <c r="O11" s="174">
        <v>465550</v>
      </c>
      <c r="P11" s="174">
        <v>618763</v>
      </c>
      <c r="Q11" s="174">
        <v>480765</v>
      </c>
      <c r="R11" s="174">
        <v>216277</v>
      </c>
      <c r="S11" s="174">
        <v>349892</v>
      </c>
      <c r="T11" s="174">
        <v>341714</v>
      </c>
      <c r="U11" s="174">
        <v>342159.71365999995</v>
      </c>
      <c r="V11" s="174">
        <v>754382.50448</v>
      </c>
      <c r="W11" s="174">
        <v>593941.35390999995</v>
      </c>
      <c r="X11" s="174">
        <v>1328691.41713</v>
      </c>
      <c r="Y11" s="174">
        <v>1262296.1807200001</v>
      </c>
      <c r="Z11" s="174">
        <v>1249238</v>
      </c>
      <c r="AA11" s="174">
        <v>1106293.4736300001</v>
      </c>
      <c r="AB11" s="174">
        <v>1151727.00373</v>
      </c>
      <c r="AC11" s="179"/>
      <c r="AD11" s="203">
        <f t="shared" si="6"/>
        <v>4.1068243809594396E-2</v>
      </c>
      <c r="AE11" s="203">
        <f t="shared" si="7"/>
        <v>-0.13318699219284991</v>
      </c>
    </row>
    <row r="12" spans="1:35" ht="13" customHeight="1">
      <c r="B12" s="54" t="str">
        <f>IF('Summary | Sumário'!D$6=Names!B$3,Names!AH10,Names!AI10)</f>
        <v>RWA for operating risk by standard approach - RWAOPAD</v>
      </c>
      <c r="C12" s="179">
        <v>720179</v>
      </c>
      <c r="D12" s="179">
        <v>1102047</v>
      </c>
      <c r="E12" s="179">
        <v>1431287</v>
      </c>
      <c r="F12" s="179">
        <v>2506066</v>
      </c>
      <c r="G12" s="179">
        <f t="shared" si="2"/>
        <v>4035634.4101300002</v>
      </c>
      <c r="H12" s="179">
        <f t="shared" si="3"/>
        <v>5939055.1325000003</v>
      </c>
      <c r="I12" s="179"/>
      <c r="J12" s="179">
        <v>1140877</v>
      </c>
      <c r="K12" s="179">
        <v>1140877</v>
      </c>
      <c r="L12" s="179">
        <v>1431287</v>
      </c>
      <c r="M12" s="179">
        <v>1431287</v>
      </c>
      <c r="N12" s="179">
        <v>1937597</v>
      </c>
      <c r="O12" s="179">
        <v>1937597</v>
      </c>
      <c r="P12" s="179">
        <v>2506066</v>
      </c>
      <c r="Q12" s="179">
        <v>2506066</v>
      </c>
      <c r="R12" s="179">
        <v>3163982</v>
      </c>
      <c r="S12" s="179">
        <v>3163982</v>
      </c>
      <c r="T12" s="179">
        <v>4035634</v>
      </c>
      <c r="U12" s="179">
        <v>4035634.4101300002</v>
      </c>
      <c r="V12" s="179">
        <v>4995478.8517500004</v>
      </c>
      <c r="W12" s="179">
        <v>4995478.8517500004</v>
      </c>
      <c r="X12" s="179">
        <v>5939055.1324999994</v>
      </c>
      <c r="Y12" s="179">
        <v>5939055.1325000003</v>
      </c>
      <c r="Z12" s="179">
        <v>5547874</v>
      </c>
      <c r="AA12" s="179">
        <v>5547874.1171700004</v>
      </c>
      <c r="AB12" s="179">
        <v>5996394.7797900001</v>
      </c>
      <c r="AC12" s="179"/>
      <c r="AD12" s="204">
        <f t="shared" si="6"/>
        <v>8.0845501023875554E-2</v>
      </c>
      <c r="AE12" s="204">
        <f t="shared" si="7"/>
        <v>9.654675030077442E-3</v>
      </c>
    </row>
    <row r="13" spans="1:35" ht="13" customHeight="1">
      <c r="B13" s="59" t="str">
        <f>IF('Summary | Sumário'!D$6=Names!B$3,Names!AH21,Names!AI21)</f>
        <v>RWA for payments services - RWASP</v>
      </c>
      <c r="C13" s="174"/>
      <c r="D13" s="174"/>
      <c r="E13" s="174"/>
      <c r="F13" s="174"/>
      <c r="G13" s="174"/>
      <c r="H13" s="174">
        <f t="shared" si="3"/>
        <v>399016.59284</v>
      </c>
      <c r="I13" s="179"/>
      <c r="J13" s="174"/>
      <c r="K13" s="174"/>
      <c r="L13" s="174"/>
      <c r="M13" s="174"/>
      <c r="N13" s="174"/>
      <c r="O13" s="174"/>
      <c r="P13" s="174"/>
      <c r="Q13" s="174"/>
      <c r="R13" s="174"/>
      <c r="S13" s="174"/>
      <c r="T13" s="174"/>
      <c r="U13" s="174"/>
      <c r="V13" s="174"/>
      <c r="W13" s="174"/>
      <c r="X13" s="174">
        <v>410647.4877</v>
      </c>
      <c r="Y13" s="174">
        <v>399016.59284</v>
      </c>
      <c r="Z13" s="174">
        <v>395266</v>
      </c>
      <c r="AA13" s="174">
        <v>356090.13222999999</v>
      </c>
      <c r="AB13" s="174">
        <v>337106.49969999999</v>
      </c>
      <c r="AC13" s="179"/>
      <c r="AD13" s="203">
        <f t="shared" si="6"/>
        <v>-5.3311313096815582E-2</v>
      </c>
      <c r="AE13" s="203">
        <f>AB13/X13-1</f>
        <v>-0.17908544482250832</v>
      </c>
    </row>
    <row r="14" spans="1:35" ht="13" customHeight="1">
      <c r="B14" s="51" t="str">
        <f>IF('Summary | Sumário'!D$6=Names!B$3,Names!AH11,Names!AI11)</f>
        <v>Capital requirement</v>
      </c>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row>
    <row r="15" spans="1:35" ht="13" customHeight="1">
      <c r="B15" s="59" t="str">
        <f>IF('Summary | Sumário'!D$6=Names!B$3,Names!AH12,Names!AI12)</f>
        <v>Minimum principal capital required for RWA</v>
      </c>
      <c r="C15" s="174">
        <v>242472</v>
      </c>
      <c r="D15" s="174">
        <v>433940</v>
      </c>
      <c r="E15" s="174">
        <v>807897</v>
      </c>
      <c r="F15" s="174">
        <v>1104771</v>
      </c>
      <c r="G15" s="174">
        <f t="shared" ref="G15:G17" si="8">U15</f>
        <v>1203558.04406025</v>
      </c>
      <c r="H15" s="174">
        <f t="shared" ref="H15:H23" si="9">Y15</f>
        <v>1559418.3064615501</v>
      </c>
      <c r="I15" s="179"/>
      <c r="J15" s="174">
        <v>524783</v>
      </c>
      <c r="K15" s="174">
        <v>614921</v>
      </c>
      <c r="L15" s="174">
        <v>719702</v>
      </c>
      <c r="M15" s="174">
        <v>807897</v>
      </c>
      <c r="N15" s="174">
        <v>888269</v>
      </c>
      <c r="O15" s="174">
        <v>968908</v>
      </c>
      <c r="P15" s="174">
        <v>1081768</v>
      </c>
      <c r="Q15" s="174">
        <v>1104771</v>
      </c>
      <c r="R15" s="174">
        <v>1140524</v>
      </c>
      <c r="S15" s="174">
        <v>1174993</v>
      </c>
      <c r="T15" s="174">
        <v>1130512</v>
      </c>
      <c r="U15" s="174">
        <v>1203558.04406025</v>
      </c>
      <c r="V15" s="174">
        <v>1298958.845949</v>
      </c>
      <c r="W15" s="174">
        <v>1375297.3285974001</v>
      </c>
      <c r="X15" s="174">
        <v>1470855.8558700001</v>
      </c>
      <c r="Y15" s="174">
        <v>1559418.3064615501</v>
      </c>
      <c r="Z15" s="174">
        <v>1691302</v>
      </c>
      <c r="AA15" s="174">
        <v>1728508.2172861497</v>
      </c>
      <c r="AB15" s="174">
        <v>1854478.0600300001</v>
      </c>
      <c r="AC15" s="179"/>
      <c r="AD15" s="203">
        <f t="shared" ref="AD15:AD17" si="10">AB15/AA15-1</f>
        <v>7.2877780668945569E-2</v>
      </c>
      <c r="AE15" s="203">
        <f t="shared" ref="AE15:AE17" si="11">AB15/X15-1</f>
        <v>0.26081563508008765</v>
      </c>
    </row>
    <row r="16" spans="1:35" ht="13" customHeight="1">
      <c r="B16" s="54" t="str">
        <f>IF('Summary | Sumário'!D$6=Names!B$3,Names!AH13,Names!AI13)</f>
        <v>Tier I minimum reference equity required to RWA</v>
      </c>
      <c r="C16" s="179">
        <v>323296</v>
      </c>
      <c r="D16" s="179">
        <v>578587</v>
      </c>
      <c r="E16" s="179">
        <v>1077196</v>
      </c>
      <c r="F16" s="179">
        <v>1473028</v>
      </c>
      <c r="G16" s="179">
        <f t="shared" si="8"/>
        <v>1604744.0587470001</v>
      </c>
      <c r="H16" s="179">
        <f t="shared" si="9"/>
        <v>2079224.4086154001</v>
      </c>
      <c r="I16" s="179"/>
      <c r="J16" s="179">
        <v>699711</v>
      </c>
      <c r="K16" s="179">
        <v>819894</v>
      </c>
      <c r="L16" s="179">
        <v>959603</v>
      </c>
      <c r="M16" s="179">
        <v>1077196</v>
      </c>
      <c r="N16" s="179">
        <v>1184358</v>
      </c>
      <c r="O16" s="179">
        <v>1291878</v>
      </c>
      <c r="P16" s="179">
        <v>1442357</v>
      </c>
      <c r="Q16" s="179">
        <v>1473028</v>
      </c>
      <c r="R16" s="179">
        <v>1520699</v>
      </c>
      <c r="S16" s="179">
        <v>1566658</v>
      </c>
      <c r="T16" s="179">
        <v>1507349</v>
      </c>
      <c r="U16" s="179">
        <v>1604744.0587470001</v>
      </c>
      <c r="V16" s="179">
        <v>1731945.127932</v>
      </c>
      <c r="W16" s="179">
        <v>1833729.7714632</v>
      </c>
      <c r="X16" s="179">
        <v>1961141.1411599999</v>
      </c>
      <c r="Y16" s="179">
        <v>2079224.4086154001</v>
      </c>
      <c r="Z16" s="179">
        <v>2255069</v>
      </c>
      <c r="AA16" s="179">
        <v>2304677.6230481998</v>
      </c>
      <c r="AB16" s="179">
        <v>2472637.4133700002</v>
      </c>
      <c r="AC16" s="179"/>
      <c r="AD16" s="204">
        <f t="shared" si="10"/>
        <v>7.2877780667499392E-2</v>
      </c>
      <c r="AE16" s="204">
        <f t="shared" si="11"/>
        <v>0.26081563507838812</v>
      </c>
    </row>
    <row r="17" spans="2:31" ht="13" customHeight="1">
      <c r="B17" s="59" t="str">
        <f>IF('Summary | Sumário'!D$6=Names!B$3,Names!AH14,Names!AI14)</f>
        <v>Minimum Reference Equity required to RWA</v>
      </c>
      <c r="C17" s="174">
        <v>431061</v>
      </c>
      <c r="D17" s="174">
        <v>771449</v>
      </c>
      <c r="E17" s="174">
        <v>1435261</v>
      </c>
      <c r="F17" s="174">
        <v>1964037</v>
      </c>
      <c r="G17" s="174">
        <f t="shared" si="8"/>
        <v>2139658.7449960001</v>
      </c>
      <c r="H17" s="174">
        <f t="shared" si="9"/>
        <v>2772299.2114872001</v>
      </c>
      <c r="I17" s="179"/>
      <c r="J17" s="174">
        <v>932948</v>
      </c>
      <c r="K17" s="174">
        <v>1093192</v>
      </c>
      <c r="L17" s="174">
        <v>1279471</v>
      </c>
      <c r="M17" s="174">
        <v>1436261</v>
      </c>
      <c r="N17" s="174">
        <v>1579145</v>
      </c>
      <c r="O17" s="174">
        <v>1722504</v>
      </c>
      <c r="P17" s="174">
        <v>1923143</v>
      </c>
      <c r="Q17" s="174">
        <v>1964037</v>
      </c>
      <c r="R17" s="174">
        <v>2027598</v>
      </c>
      <c r="S17" s="174">
        <v>2088877</v>
      </c>
      <c r="T17" s="174">
        <v>2009799</v>
      </c>
      <c r="U17" s="174">
        <v>2139658.7449960001</v>
      </c>
      <c r="V17" s="174">
        <v>2309260.1705760001</v>
      </c>
      <c r="W17" s="174">
        <v>2444973.0286176004</v>
      </c>
      <c r="X17" s="174">
        <v>2614854.85488</v>
      </c>
      <c r="Y17" s="174">
        <v>2772299.2114872001</v>
      </c>
      <c r="Z17" s="174">
        <v>3006759</v>
      </c>
      <c r="AA17" s="174">
        <v>3072903.4973975997</v>
      </c>
      <c r="AB17" s="174">
        <v>3296849.8844900001</v>
      </c>
      <c r="AC17" s="179"/>
      <c r="AD17" s="203">
        <f t="shared" si="10"/>
        <v>7.2877780666414482E-2</v>
      </c>
      <c r="AE17" s="203">
        <f t="shared" si="11"/>
        <v>0.26081563507711336</v>
      </c>
    </row>
    <row r="18" spans="2:31" ht="13" customHeight="1">
      <c r="B18" s="51" t="str">
        <f>IF('Summary | Sumário'!D$6=Names!B$3,Names!AH15,Names!AI15)</f>
        <v>Margin on capital requirements</v>
      </c>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row>
    <row r="19" spans="2:31" ht="13" customHeight="1">
      <c r="B19" s="60" t="str">
        <f>IF('Summary | Sumário'!D$6=Names!B$3,Names!AH16,Names!AI16)</f>
        <v>Margin on required principal capital</v>
      </c>
      <c r="C19" s="174">
        <v>1880665</v>
      </c>
      <c r="D19" s="174">
        <v>2644013</v>
      </c>
      <c r="E19" s="174">
        <v>7147341</v>
      </c>
      <c r="F19" s="174">
        <v>4808558</v>
      </c>
      <c r="G19" s="174">
        <f t="shared" ref="G19:G23" si="12">U19</f>
        <v>4934615.455249751</v>
      </c>
      <c r="H19" s="174">
        <f t="shared" si="9"/>
        <v>3702902.28359845</v>
      </c>
      <c r="I19" s="179"/>
      <c r="J19" s="201">
        <v>2290820</v>
      </c>
      <c r="K19" s="201">
        <v>2067330</v>
      </c>
      <c r="L19" s="201">
        <v>7235320</v>
      </c>
      <c r="M19" s="201" t="s">
        <v>1049</v>
      </c>
      <c r="N19" s="174">
        <v>6153746</v>
      </c>
      <c r="O19" s="174">
        <v>6111964</v>
      </c>
      <c r="P19" s="174">
        <v>6080324</v>
      </c>
      <c r="Q19" s="174">
        <v>4808558</v>
      </c>
      <c r="R19" s="174">
        <v>4688860</v>
      </c>
      <c r="S19" s="174">
        <v>4784744</v>
      </c>
      <c r="T19" s="174">
        <v>4833597</v>
      </c>
      <c r="U19" s="174">
        <v>4934615.455249751</v>
      </c>
      <c r="V19" s="174">
        <v>4554014.0388110001</v>
      </c>
      <c r="W19" s="174">
        <v>4519913.4834225997</v>
      </c>
      <c r="X19" s="174">
        <v>4087074.5813999996</v>
      </c>
      <c r="Y19" s="174">
        <v>3702902.28359845</v>
      </c>
      <c r="Z19" s="174">
        <v>3832042</v>
      </c>
      <c r="AA19" s="174">
        <v>3793403.0502538504</v>
      </c>
      <c r="AB19" s="174">
        <v>3641742.1842499999</v>
      </c>
      <c r="AC19" s="179"/>
      <c r="AD19" s="203">
        <f t="shared" ref="AD19:AD20" si="13">AB19/AA19-1</f>
        <v>-3.9980161347131671E-2</v>
      </c>
      <c r="AE19" s="203">
        <f t="shared" ref="AE19:AE20" si="14">AB19/X19-1</f>
        <v>-0.1089611623865826</v>
      </c>
    </row>
    <row r="20" spans="2:31" ht="13" customHeight="1">
      <c r="B20" s="55" t="str">
        <f>IF('Summary | Sumário'!D$6=Names!B$3,Names!AH17,Names!AI17)</f>
        <v>Margin on the tier I required reference equity</v>
      </c>
      <c r="C20" s="179">
        <v>1799831</v>
      </c>
      <c r="D20" s="179">
        <v>2499366</v>
      </c>
      <c r="E20" s="179">
        <v>6878042</v>
      </c>
      <c r="F20" s="179">
        <v>4440301</v>
      </c>
      <c r="G20" s="179">
        <f t="shared" si="12"/>
        <v>4533429.4405630007</v>
      </c>
      <c r="H20" s="179">
        <f t="shared" si="9"/>
        <v>3183096.1814446002</v>
      </c>
      <c r="I20" s="179"/>
      <c r="J20" s="202">
        <v>2115982</v>
      </c>
      <c r="K20" s="202">
        <v>1862356</v>
      </c>
      <c r="L20" s="202">
        <v>6995420</v>
      </c>
      <c r="M20" s="202">
        <v>6878042</v>
      </c>
      <c r="N20" s="179">
        <v>5857656</v>
      </c>
      <c r="O20" s="179">
        <v>5788994</v>
      </c>
      <c r="P20" s="179">
        <v>5719735</v>
      </c>
      <c r="Q20" s="179">
        <v>4440301</v>
      </c>
      <c r="R20" s="179">
        <v>4308685</v>
      </c>
      <c r="S20" s="179">
        <v>4393080</v>
      </c>
      <c r="T20" s="179">
        <v>4456759</v>
      </c>
      <c r="U20" s="179">
        <v>4533429.4405630007</v>
      </c>
      <c r="V20" s="179">
        <v>4121027.7568279998</v>
      </c>
      <c r="W20" s="179">
        <v>4061481.0405568001</v>
      </c>
      <c r="X20" s="179">
        <v>3596789.2961099995</v>
      </c>
      <c r="Y20" s="179">
        <v>3183096.1814446002</v>
      </c>
      <c r="Z20" s="179">
        <v>3268275</v>
      </c>
      <c r="AA20" s="179">
        <v>3217233.6444918006</v>
      </c>
      <c r="AB20" s="179">
        <v>3023582.83091</v>
      </c>
      <c r="AC20" s="179"/>
      <c r="AD20" s="204">
        <f t="shared" si="13"/>
        <v>-6.0191715921331546E-2</v>
      </c>
      <c r="AE20" s="204">
        <f t="shared" si="14"/>
        <v>-0.15936615075560134</v>
      </c>
    </row>
    <row r="21" spans="2:31" ht="13" customHeight="1">
      <c r="B21" s="53" t="str">
        <f>IF('Summary | Sumário'!D$6=Names!B$3,Names!AH18,Names!AI18)</f>
        <v>Core capital ratio (CC/RWA)</v>
      </c>
      <c r="C21" s="203">
        <v>0.39400000000000002</v>
      </c>
      <c r="D21" s="203">
        <v>0.31900000000000001</v>
      </c>
      <c r="E21" s="203">
        <f t="shared" si="0"/>
        <v>0.44310820142722684</v>
      </c>
      <c r="F21" s="203">
        <f>Q21</f>
        <v>0.24099999999999999</v>
      </c>
      <c r="G21" s="203">
        <f t="shared" si="12"/>
        <v>0.229501027251763</v>
      </c>
      <c r="H21" s="203">
        <f t="shared" si="9"/>
        <v>0.15185433284416736</v>
      </c>
      <c r="I21" s="204"/>
      <c r="J21" s="203">
        <v>0.24143715721212744</v>
      </c>
      <c r="K21" s="203">
        <v>0.19628756610770765</v>
      </c>
      <c r="L21" s="203">
        <v>0.4973946586368172</v>
      </c>
      <c r="M21" s="203">
        <v>0.44310820142722684</v>
      </c>
      <c r="N21" s="203">
        <v>0.35699999999999998</v>
      </c>
      <c r="O21" s="203">
        <v>0.32900000000000001</v>
      </c>
      <c r="P21" s="203">
        <v>0.29799999999999999</v>
      </c>
      <c r="Q21" s="203">
        <v>0.24099999999999999</v>
      </c>
      <c r="R21" s="203">
        <v>0.23</v>
      </c>
      <c r="S21" s="203">
        <v>0.22800000000000001</v>
      </c>
      <c r="T21" s="203">
        <v>0.2374</v>
      </c>
      <c r="U21" s="203">
        <v>0.229501027251763</v>
      </c>
      <c r="V21" s="203">
        <v>0.20276529979036845</v>
      </c>
      <c r="W21" s="203">
        <v>0.19289246116070838</v>
      </c>
      <c r="X21" s="203">
        <v>0.17004172684835503</v>
      </c>
      <c r="Y21" s="203">
        <v>0.15185433284416736</v>
      </c>
      <c r="Z21" s="203">
        <v>0.14699999999999999</v>
      </c>
      <c r="AA21" s="203">
        <v>0.14375749247489045</v>
      </c>
      <c r="AB21" s="203">
        <v>0.133369020725324</v>
      </c>
      <c r="AC21" s="204"/>
      <c r="AD21" s="365">
        <f>(AB21-AA21)*100</f>
        <v>-1.0388471749566448</v>
      </c>
      <c r="AE21" s="365">
        <f>(AB21-X21)*100</f>
        <v>-3.6672706123031027</v>
      </c>
    </row>
    <row r="22" spans="2:31" ht="13" customHeight="1">
      <c r="B22" s="51" t="str">
        <f>IF('Summary | Sumário'!D$6=Names!B$3,Names!AH19,Names!AI19)</f>
        <v>Tier I capital ratio (tier I /RWA)</v>
      </c>
      <c r="C22" s="204">
        <v>0.39400000000000002</v>
      </c>
      <c r="D22" s="204">
        <v>0.31900000000000001</v>
      </c>
      <c r="E22" s="204">
        <f t="shared" si="0"/>
        <v>0.44310820142722684</v>
      </c>
      <c r="F22" s="204">
        <f t="shared" ref="F22:F23" si="15">Q22</f>
        <v>0.24099999999999999</v>
      </c>
      <c r="G22" s="204">
        <f t="shared" si="12"/>
        <v>0.229501027251763</v>
      </c>
      <c r="H22" s="204">
        <f t="shared" si="9"/>
        <v>0.15185433284416736</v>
      </c>
      <c r="I22" s="204"/>
      <c r="J22" s="204">
        <v>0.24143715721212744</v>
      </c>
      <c r="K22" s="204">
        <v>0.19628756610770765</v>
      </c>
      <c r="L22" s="204">
        <v>0.4973946586368172</v>
      </c>
      <c r="M22" s="204">
        <v>0.44310820142722684</v>
      </c>
      <c r="N22" s="204">
        <v>0.35699999999999998</v>
      </c>
      <c r="O22" s="204">
        <v>0.32900000000000001</v>
      </c>
      <c r="P22" s="204">
        <v>0.29799999999999999</v>
      </c>
      <c r="Q22" s="204">
        <v>0.24099999999999999</v>
      </c>
      <c r="R22" s="204">
        <v>0.23</v>
      </c>
      <c r="S22" s="204">
        <v>0.22800000000000001</v>
      </c>
      <c r="T22" s="204">
        <v>0.2374</v>
      </c>
      <c r="U22" s="204">
        <v>0.229501027251763</v>
      </c>
      <c r="V22" s="204">
        <v>0.20276529979036845</v>
      </c>
      <c r="W22" s="204">
        <v>0.19289246116070838</v>
      </c>
      <c r="X22" s="204">
        <v>0.17004172684835503</v>
      </c>
      <c r="Y22" s="204">
        <v>0.15185433284416736</v>
      </c>
      <c r="Z22" s="204">
        <v>0.14699999999999999</v>
      </c>
      <c r="AA22" s="204">
        <v>0.14375749247489045</v>
      </c>
      <c r="AB22" s="204">
        <v>0.133369020725324</v>
      </c>
      <c r="AC22" s="204"/>
      <c r="AD22" s="366">
        <f t="shared" ref="AD22:AD23" si="16">(AB22-AA22)*100</f>
        <v>-1.0388471749566448</v>
      </c>
      <c r="AE22" s="366">
        <f t="shared" ref="AE22:AE23" si="17">(AB22-X22)*100</f>
        <v>-3.6672706123031027</v>
      </c>
    </row>
    <row r="23" spans="2:31" ht="13" customHeight="1">
      <c r="B23" s="53" t="str">
        <f>IF('Summary | Sumário'!D$6=Names!B$3,Names!AH20,Names!AI20)</f>
        <v>Basel ratio (RE/RWA)</v>
      </c>
      <c r="C23" s="203">
        <v>0.39400000000000002</v>
      </c>
      <c r="D23" s="203">
        <v>0.31900000000000001</v>
      </c>
      <c r="E23" s="203">
        <f t="shared" si="0"/>
        <v>0.44310820142722684</v>
      </c>
      <c r="F23" s="203">
        <f t="shared" si="15"/>
        <v>0.24099999999999999</v>
      </c>
      <c r="G23" s="203">
        <f t="shared" si="12"/>
        <v>0.229501027251763</v>
      </c>
      <c r="H23" s="203">
        <f t="shared" si="9"/>
        <v>0.15185433284416736</v>
      </c>
      <c r="I23" s="204"/>
      <c r="J23" s="203">
        <v>0.24143715721212744</v>
      </c>
      <c r="K23" s="203">
        <v>0.19628756610770765</v>
      </c>
      <c r="L23" s="203">
        <v>0.4973946586368172</v>
      </c>
      <c r="M23" s="203">
        <v>0.44310820142722684</v>
      </c>
      <c r="N23" s="203">
        <v>0.35699999999999998</v>
      </c>
      <c r="O23" s="203">
        <v>0.32900000000000001</v>
      </c>
      <c r="P23" s="203">
        <v>0.29799999999999999</v>
      </c>
      <c r="Q23" s="203">
        <v>0.24099999999999999</v>
      </c>
      <c r="R23" s="203">
        <v>0.23</v>
      </c>
      <c r="S23" s="203">
        <v>0.22800000000000001</v>
      </c>
      <c r="T23" s="203">
        <v>0.2374</v>
      </c>
      <c r="U23" s="203">
        <v>0.229501027251763</v>
      </c>
      <c r="V23" s="203">
        <v>0.20276529979036845</v>
      </c>
      <c r="W23" s="203">
        <v>0.19289246116070838</v>
      </c>
      <c r="X23" s="203">
        <v>0.17004172684835503</v>
      </c>
      <c r="Y23" s="203">
        <v>0.15185433284416736</v>
      </c>
      <c r="Z23" s="203">
        <v>0.14699999999999999</v>
      </c>
      <c r="AA23" s="203">
        <v>0.15710392717377794</v>
      </c>
      <c r="AB23" s="203">
        <v>0.14632349535048683</v>
      </c>
      <c r="AC23" s="204"/>
      <c r="AD23" s="365">
        <f t="shared" si="16"/>
        <v>-1.078043182329111</v>
      </c>
      <c r="AE23" s="365">
        <f t="shared" si="17"/>
        <v>-2.3718231497868199</v>
      </c>
    </row>
    <row r="24" spans="2:31" ht="13" customHeight="1">
      <c r="B24" s="107"/>
      <c r="C24" s="205"/>
      <c r="D24" s="205"/>
      <c r="E24" s="205"/>
      <c r="F24" s="205"/>
      <c r="G24" s="205"/>
      <c r="H24" s="205"/>
      <c r="I24" s="205"/>
      <c r="J24" s="205"/>
      <c r="K24" s="205"/>
      <c r="L24" s="205"/>
      <c r="M24" s="205"/>
      <c r="N24" s="205"/>
      <c r="O24" s="205"/>
      <c r="P24" s="205"/>
      <c r="Q24" s="205"/>
      <c r="R24" s="205"/>
      <c r="S24" s="205"/>
      <c r="T24" s="311"/>
      <c r="U24" s="311"/>
      <c r="V24" s="311"/>
      <c r="W24" s="311"/>
      <c r="X24" s="311"/>
      <c r="Y24" s="311"/>
      <c r="Z24" s="205"/>
      <c r="AA24" s="205"/>
      <c r="AB24" s="205"/>
      <c r="AC24" s="205"/>
      <c r="AD24" s="205"/>
      <c r="AE24" s="205"/>
    </row>
    <row r="25" spans="2:31" ht="13" customHeight="1">
      <c r="B25" s="107"/>
      <c r="C25" s="205"/>
      <c r="D25" s="205"/>
      <c r="E25" s="205"/>
      <c r="F25" s="205"/>
      <c r="G25" s="205"/>
      <c r="H25" s="205"/>
      <c r="I25" s="206"/>
      <c r="J25" s="205"/>
      <c r="K25" s="205"/>
      <c r="L25" s="205"/>
      <c r="M25" s="205"/>
      <c r="N25" s="205"/>
      <c r="O25" s="205"/>
      <c r="P25" s="205"/>
      <c r="Q25" s="205"/>
      <c r="R25" s="205"/>
      <c r="S25" s="205"/>
      <c r="T25" s="205"/>
      <c r="U25" s="205"/>
      <c r="V25" s="205"/>
      <c r="W25" s="205"/>
      <c r="X25" s="205"/>
      <c r="Y25" s="205"/>
      <c r="Z25" s="206"/>
      <c r="AA25" s="206"/>
      <c r="AB25" s="206"/>
      <c r="AC25" s="206"/>
      <c r="AD25" s="206"/>
      <c r="AE25" s="206"/>
    </row>
    <row r="26" spans="2:31" ht="13" customHeight="1">
      <c r="B26" s="107"/>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row>
    <row r="27" spans="2:31" ht="13" customHeight="1">
      <c r="B27" s="107"/>
      <c r="C27" s="206"/>
      <c r="D27" s="206"/>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row>
    <row r="28" spans="2:31" ht="13" customHeight="1">
      <c r="B28" s="116"/>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row>
    <row r="29" spans="2:31" ht="13" customHeight="1">
      <c r="B29" s="116"/>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row>
    <row r="30" spans="2:31" ht="13" customHeight="1">
      <c r="B30" s="116"/>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row>
    <row r="31" spans="2:31" ht="13" customHeight="1">
      <c r="B31" s="116"/>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row>
    <row r="32" spans="2:31" ht="13" customHeight="1">
      <c r="B32" s="116"/>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row>
    <row r="33" spans="2:25" ht="13" customHeight="1">
      <c r="B33" s="116"/>
      <c r="Q33" s="312"/>
      <c r="T33" s="312"/>
      <c r="U33" s="312"/>
      <c r="V33" s="312"/>
      <c r="W33" s="312"/>
      <c r="X33" s="312"/>
      <c r="Y33" s="312"/>
    </row>
    <row r="34" spans="2:25" ht="13" customHeight="1">
      <c r="B34" s="116"/>
    </row>
    <row r="35" spans="2:25" ht="13" customHeight="1">
      <c r="Q35" s="312"/>
      <c r="T35" s="312"/>
      <c r="U35" s="312"/>
      <c r="V35" s="312"/>
      <c r="W35" s="312"/>
      <c r="X35" s="312"/>
      <c r="Y35" s="312"/>
    </row>
  </sheetData>
  <sheetProtection algorithmName="SHA-512" hashValue="29SssulC/j2HeKVltrwo4+eXd57gPFcuk1Cy6VpDZPq1xMV4jOjeRanHCRaMEIE+bXxXTtEwaTNxPGjO8uPZbg==" saltValue="4xzNK/rqVctLSejaYod7CQ=="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85DB-978F-8F40-90AA-48D8BA98015E}">
  <sheetPr codeName="Sheet22">
    <tabColor rgb="FFF7CAB0"/>
  </sheetPr>
  <dimension ref="A1:AI16"/>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94" customWidth="1"/>
    <col min="2" max="2" width="68.33203125" style="105" customWidth="1"/>
    <col min="3" max="8" width="10.83203125" style="195" customWidth="1"/>
    <col min="9" max="9" width="2.83203125" style="195" customWidth="1"/>
    <col min="10" max="28" width="10.83203125" style="195" customWidth="1"/>
    <col min="29" max="29" width="5.83203125" style="195" customWidth="1"/>
    <col min="30" max="31" width="10.83203125" style="195" customWidth="1"/>
    <col min="32" max="32" width="10.83203125" style="194" customWidth="1"/>
    <col min="33" max="16384" width="10.83203125" style="194"/>
  </cols>
  <sheetData>
    <row r="1" spans="1:35" ht="13" customHeight="1">
      <c r="AF1" s="195"/>
    </row>
    <row r="2" spans="1:35" s="10" customFormat="1" ht="13" customHeight="1">
      <c r="B2" s="267" t="str">
        <f>IF('Summary | Sumário'!D$6=Names!B$3,Names!BF72,Names!BG72)</f>
        <v>Effective Tax Rate (%)</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322"/>
      <c r="J2" s="20" t="str">
        <f>IF('Summary | Sumário'!D6=Names!B3,Names!C6,Names!D6)</f>
        <v>1Q21</v>
      </c>
      <c r="K2" s="21" t="str">
        <f>IF('Summary | Sumário'!D6=Names!B3,Names!C7,Names!D7)</f>
        <v>2Q21</v>
      </c>
      <c r="L2" s="21" t="str">
        <f>IF('Summary | Sumário'!D6=Names!B3,Names!C8,Names!D8)</f>
        <v>3Q21</v>
      </c>
      <c r="M2" s="21" t="str">
        <f>IF('Summary | Sumário'!D6=Names!B3,Names!C9,Names!D9)</f>
        <v>4Q21</v>
      </c>
      <c r="N2" s="21" t="str">
        <f>IF('Summary | Sumário'!D6=Names!B3,Names!C10,Names!D10)</f>
        <v>1Q22</v>
      </c>
      <c r="O2" s="21" t="str">
        <f>IF('Summary | Sumário'!D6=Names!B3,Names!C11,Names!D11)</f>
        <v>2Q22</v>
      </c>
      <c r="P2" s="21" t="str">
        <f>IF('Summary | Sumário'!D6=Names!B3,Names!C12,Names!D12)</f>
        <v>3Q22</v>
      </c>
      <c r="Q2" s="21" t="str">
        <f>IF('Summary | Sumário'!D6=Names!B3,Names!C13,Names!D13)</f>
        <v>4Q22</v>
      </c>
      <c r="R2" s="21" t="str">
        <f>IF('Summary | Sumário'!D6=Names!B3,Names!C14,Names!D14)</f>
        <v>1Q23</v>
      </c>
      <c r="S2" s="21" t="str">
        <f>IF('Summary | Sumário'!D6=Names!B3,Names!C15,Names!D15)</f>
        <v>2Q23</v>
      </c>
      <c r="T2" s="21" t="str">
        <f>IF('Summary | Sumário'!D6=Names!B3,Names!C16,Names!D16)</f>
        <v>3Q23</v>
      </c>
      <c r="U2" s="21" t="str">
        <f>IF('Summary | Sumário'!D6=Names!B3,Names!C17,Names!D17)</f>
        <v>4Q23</v>
      </c>
      <c r="V2" s="21" t="str">
        <f>IF('Summary | Sumário'!D6=Names!B3,Names!C19,Names!D19)</f>
        <v>1Q24</v>
      </c>
      <c r="W2" s="21" t="str">
        <f>IF('Summary | Sumário'!D6=Names!B3,Names!C20,Names!D20)</f>
        <v>2Q24</v>
      </c>
      <c r="X2" s="21" t="str">
        <f>IF('Summary | Sumário'!D6=Names!B3,Names!C21,Names!D21)</f>
        <v>3Q24</v>
      </c>
      <c r="Y2" s="21" t="str">
        <f>IF('Summary | Sumário'!D6=Names!B3,Names!C22,Names!D22)</f>
        <v>4Q24</v>
      </c>
      <c r="Z2" s="21" t="str">
        <f>IF('Summary | Sumário'!D6=Names!B3,Names!C24,Names!D24)</f>
        <v>1Q25</v>
      </c>
      <c r="AA2" s="21" t="str">
        <f>IF('Summary | Sumário'!D6=Names!B3,Names!C25,Names!D25)</f>
        <v>2Q25</v>
      </c>
      <c r="AB2" s="269" t="str">
        <f>IF('Summary | Sumário'!D6=Names!B3,Names!C26,Names!D26)</f>
        <v>3Q25</v>
      </c>
      <c r="AC2" s="326"/>
      <c r="AD2" s="104" t="str">
        <f>IF('Summary | Sumário'!$D$6=Names!$B$3,Names!$I$24,Names!$J$24)</f>
        <v>QoQ Variation</v>
      </c>
      <c r="AE2" s="104" t="str">
        <f>IF('Summary | Sumário'!$D$6=Names!$B$3,Names!$I$25,Names!$J$25)</f>
        <v>YoY Variation</v>
      </c>
      <c r="AF2" s="11"/>
      <c r="AH2" s="12"/>
      <c r="AI2" s="13"/>
    </row>
    <row r="3" spans="1:35" ht="13" customHeight="1">
      <c r="B3" s="10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7"/>
    </row>
    <row r="4" spans="1:35" s="199" customFormat="1" ht="13" customHeight="1">
      <c r="A4" s="198"/>
      <c r="B4" s="3" t="str">
        <f>IF('Summary | Sumário'!D$6=Names!B$3,Names!BF81,Names!BG81)</f>
        <v>Effective tax rate - IOC adjusted (%)</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row>
    <row r="5" spans="1:35" ht="13" customHeight="1">
      <c r="B5" s="288" t="str">
        <f>IF('Summary | Sumário'!D$6=Names!B$3,Names!BF66,Names!BG66)</f>
        <v>Income tax and social contribution + tax expenses from interest on own capital (IOC)</v>
      </c>
      <c r="C5" s="289">
        <f>C6+C7</f>
        <v>29686</v>
      </c>
      <c r="D5" s="289">
        <f t="shared" ref="D5:J5" si="0">D6+D7</f>
        <v>37709</v>
      </c>
      <c r="E5" s="289">
        <f t="shared" si="0"/>
        <v>175993</v>
      </c>
      <c r="F5" s="289">
        <f t="shared" si="0"/>
        <v>164494</v>
      </c>
      <c r="G5" s="289">
        <f t="shared" si="0"/>
        <v>-103550</v>
      </c>
      <c r="H5" s="289">
        <f t="shared" si="0"/>
        <v>-317478.78587989899</v>
      </c>
      <c r="I5" s="179"/>
      <c r="J5" s="289">
        <f t="shared" si="0"/>
        <v>34867</v>
      </c>
      <c r="K5" s="289">
        <f t="shared" ref="K5" si="1">K6+K7</f>
        <v>87154</v>
      </c>
      <c r="L5" s="289">
        <f t="shared" ref="L5" si="2">L6+L7</f>
        <v>-568.73549999999886</v>
      </c>
      <c r="M5" s="289">
        <f t="shared" ref="M5" si="3">M6+M7</f>
        <v>54540.735499999995</v>
      </c>
      <c r="N5" s="289">
        <f t="shared" ref="N5" si="4">N6+N7</f>
        <v>71272</v>
      </c>
      <c r="O5" s="289">
        <f t="shared" ref="O5" si="5">O6+O7</f>
        <v>3654</v>
      </c>
      <c r="P5" s="289">
        <f t="shared" ref="P5" si="6">P6+P7</f>
        <v>40448</v>
      </c>
      <c r="Q5" s="289">
        <f t="shared" ref="Q5" si="7">Q6+Q7</f>
        <v>49120</v>
      </c>
      <c r="R5" s="289">
        <f t="shared" ref="R5" si="8">R6+R7</f>
        <v>18319</v>
      </c>
      <c r="S5" s="289">
        <f t="shared" ref="S5" si="9">S6+S7</f>
        <v>-16127</v>
      </c>
      <c r="T5" s="289">
        <f t="shared" ref="T5" si="10">T6+T7</f>
        <v>-57163</v>
      </c>
      <c r="U5" s="289">
        <f t="shared" ref="U5" si="11">U6+U7</f>
        <v>-48579</v>
      </c>
      <c r="V5" s="289">
        <f t="shared" ref="V5" si="12">V6+V7</f>
        <v>-78512</v>
      </c>
      <c r="W5" s="289">
        <f t="shared" ref="W5" si="13">W6+W7</f>
        <v>-83530.733999999997</v>
      </c>
      <c r="X5" s="289">
        <f t="shared" ref="X5" si="14">X6+X7</f>
        <v>-49057</v>
      </c>
      <c r="Y5" s="289">
        <f t="shared" ref="Y5" si="15">Y6+Y7</f>
        <v>-106379.05187989899</v>
      </c>
      <c r="Z5" s="289">
        <f t="shared" ref="Z5" si="16">Z6+Z7</f>
        <v>-69165</v>
      </c>
      <c r="AA5" s="289">
        <f t="shared" ref="AA5:AB5" si="17">AA6+AA7</f>
        <v>-77682</v>
      </c>
      <c r="AB5" s="289">
        <f t="shared" si="17"/>
        <v>-111474</v>
      </c>
      <c r="AC5" s="179"/>
      <c r="AD5" s="337">
        <f>AB5/AA5-1</f>
        <v>0.43500424808836025</v>
      </c>
      <c r="AE5" s="337">
        <f>AB5/X5-1</f>
        <v>1.2723362618994232</v>
      </c>
    </row>
    <row r="6" spans="1:35" ht="13" customHeight="1">
      <c r="B6" s="55" t="str">
        <f>'3. IS | DRE'!B25</f>
        <v>Income tax</v>
      </c>
      <c r="C6" s="179">
        <f>'3. IS | DRE'!C25</f>
        <v>29686</v>
      </c>
      <c r="D6" s="179">
        <f>'3. IS | DRE'!D25</f>
        <v>37709</v>
      </c>
      <c r="E6" s="179">
        <f>'3. IS | DRE'!E25</f>
        <v>175993</v>
      </c>
      <c r="F6" s="179">
        <f>'3. IS | DRE'!F25</f>
        <v>164494</v>
      </c>
      <c r="G6" s="179">
        <f>'3. IS | DRE'!G25</f>
        <v>-87581</v>
      </c>
      <c r="H6" s="179">
        <f>'3. IS | DRE'!H25</f>
        <v>-232708.78587989899</v>
      </c>
      <c r="I6" s="205"/>
      <c r="J6" s="179">
        <f>'3. IS | DRE'!J25</f>
        <v>34867</v>
      </c>
      <c r="K6" s="179">
        <f>'3. IS | DRE'!K25</f>
        <v>87154</v>
      </c>
      <c r="L6" s="179">
        <f>'3. IS | DRE'!L25</f>
        <v>-568.73549999999886</v>
      </c>
      <c r="M6" s="179">
        <f>'3. IS | DRE'!M25</f>
        <v>54540.735499999995</v>
      </c>
      <c r="N6" s="179">
        <f>'3. IS | DRE'!N25</f>
        <v>71272</v>
      </c>
      <c r="O6" s="179">
        <f>'3. IS | DRE'!O25</f>
        <v>3654</v>
      </c>
      <c r="P6" s="179">
        <f>'3. IS | DRE'!P25</f>
        <v>40448</v>
      </c>
      <c r="Q6" s="179">
        <f>'3. IS | DRE'!Q25</f>
        <v>49120</v>
      </c>
      <c r="R6" s="179">
        <f>'3. IS | DRE'!R25</f>
        <v>18319</v>
      </c>
      <c r="S6" s="179">
        <f>'3. IS | DRE'!S25</f>
        <v>-16127</v>
      </c>
      <c r="T6" s="179">
        <f>'3. IS | DRE'!T25</f>
        <v>-41194</v>
      </c>
      <c r="U6" s="179">
        <f>'3. IS | DRE'!U25</f>
        <v>-48579</v>
      </c>
      <c r="V6" s="179">
        <f>'3. IS | DRE'!V25</f>
        <v>-78512</v>
      </c>
      <c r="W6" s="179">
        <f>'3. IS | DRE'!W25</f>
        <v>-74943.733999999997</v>
      </c>
      <c r="X6" s="179">
        <f>'3. IS | DRE'!X25</f>
        <v>-33942</v>
      </c>
      <c r="Y6" s="179">
        <f>'3. IS | DRE'!Y25</f>
        <v>-45311.051879898987</v>
      </c>
      <c r="Z6" s="179">
        <f>'3. IS | DRE'!Z25</f>
        <v>-50759</v>
      </c>
      <c r="AA6" s="179">
        <f>'3. IS | DRE'!AA25</f>
        <v>-51361</v>
      </c>
      <c r="AB6" s="179">
        <f>'3. IS | DRE'!AB25</f>
        <v>-61920</v>
      </c>
      <c r="AC6" s="205"/>
      <c r="AD6" s="204">
        <f t="shared" ref="AD6:AD10" si="18">AB6/AA6-1</f>
        <v>0.20558400342672445</v>
      </c>
      <c r="AE6" s="204">
        <f t="shared" ref="AE6:AE10" si="19">AB6/X6-1</f>
        <v>0.82428849213363975</v>
      </c>
    </row>
    <row r="7" spans="1:35" ht="13" customHeight="1">
      <c r="B7" s="60" t="str">
        <f>IF('Summary | Sumário'!D$6=Names!B$3,Names!BF61,Names!BG61)</f>
        <v>(+) Tax expenses from interest on own capital (IOC)</v>
      </c>
      <c r="C7" s="174">
        <f>'9.4 Efficiency | Eficiência'!C14</f>
        <v>0</v>
      </c>
      <c r="D7" s="174">
        <f>'9.4 Efficiency | Eficiência'!D14</f>
        <v>0</v>
      </c>
      <c r="E7" s="174">
        <f>'9.4 Efficiency | Eficiência'!E14</f>
        <v>0</v>
      </c>
      <c r="F7" s="174">
        <f>'9.4 Efficiency | Eficiência'!F14</f>
        <v>0</v>
      </c>
      <c r="G7" s="174">
        <f>'9.4 Efficiency | Eficiência'!G14</f>
        <v>-15969</v>
      </c>
      <c r="H7" s="174">
        <f>'9.4 Efficiency | Eficiência'!H14</f>
        <v>-84770</v>
      </c>
      <c r="I7" s="205"/>
      <c r="J7" s="174">
        <f>'9.4 Efficiency | Eficiência'!J14</f>
        <v>0</v>
      </c>
      <c r="K7" s="174">
        <f>'9.4 Efficiency | Eficiência'!K14</f>
        <v>0</v>
      </c>
      <c r="L7" s="174">
        <f>'9.4 Efficiency | Eficiência'!L14</f>
        <v>0</v>
      </c>
      <c r="M7" s="174">
        <f>'9.4 Efficiency | Eficiência'!M14</f>
        <v>0</v>
      </c>
      <c r="N7" s="174">
        <f>'9.4 Efficiency | Eficiência'!N14</f>
        <v>0</v>
      </c>
      <c r="O7" s="174">
        <f>'9.4 Efficiency | Eficiência'!O14</f>
        <v>0</v>
      </c>
      <c r="P7" s="174">
        <f>'9.4 Efficiency | Eficiência'!P14</f>
        <v>0</v>
      </c>
      <c r="Q7" s="174">
        <f>'9.4 Efficiency | Eficiência'!Q14</f>
        <v>0</v>
      </c>
      <c r="R7" s="174">
        <f>'9.4 Efficiency | Eficiência'!R14</f>
        <v>0</v>
      </c>
      <c r="S7" s="174">
        <f>'9.4 Efficiency | Eficiência'!S14</f>
        <v>0</v>
      </c>
      <c r="T7" s="174">
        <f>'9.4 Efficiency | Eficiência'!T14</f>
        <v>-15969</v>
      </c>
      <c r="U7" s="174">
        <f>'9.4 Efficiency | Eficiência'!U14</f>
        <v>0</v>
      </c>
      <c r="V7" s="174">
        <f>'9.4 Efficiency | Eficiência'!V14</f>
        <v>0</v>
      </c>
      <c r="W7" s="174">
        <f>'9.4 Efficiency | Eficiência'!W14</f>
        <v>-8587</v>
      </c>
      <c r="X7" s="174">
        <f>'9.4 Efficiency | Eficiência'!X14</f>
        <v>-15115</v>
      </c>
      <c r="Y7" s="174">
        <f>'9.4 Efficiency | Eficiência'!Y14</f>
        <v>-61068</v>
      </c>
      <c r="Z7" s="174">
        <f>'9.4 Efficiency | Eficiência'!Z14</f>
        <v>-18406</v>
      </c>
      <c r="AA7" s="174">
        <f>'9.4 Efficiency | Eficiência'!AA14</f>
        <v>-26321</v>
      </c>
      <c r="AB7" s="174">
        <f>'9.4 Efficiency | Eficiência'!AB14</f>
        <v>-49554</v>
      </c>
      <c r="AC7" s="205"/>
      <c r="AD7" s="203">
        <f t="shared" si="18"/>
        <v>0.88267922951255651</v>
      </c>
      <c r="AE7" s="203">
        <f t="shared" si="19"/>
        <v>2.2784651008931527</v>
      </c>
    </row>
    <row r="8" spans="1:35" ht="13" customHeight="1">
      <c r="B8" s="51" t="str">
        <f>IF('Summary | Sumário'!D$6=Names!B$3,Names!BF69,Names!BG69)</f>
        <v>(÷) Profit / (loss) before income tax + tax expenses from interest on own capital (IOC)</v>
      </c>
      <c r="C8" s="179">
        <f t="shared" ref="C8" si="20">C9+C10</f>
        <v>683.66099999996368</v>
      </c>
      <c r="D8" s="179">
        <f t="shared" ref="D8" si="21">D9+D10</f>
        <v>-7175.1048200000077</v>
      </c>
      <c r="E8" s="179">
        <f t="shared" ref="E8" si="22">E9+E10</f>
        <v>-231061.27400000021</v>
      </c>
      <c r="F8" s="179">
        <f t="shared" ref="F8" si="23">F9+F10</f>
        <v>-178572.81500000041</v>
      </c>
      <c r="G8" s="179">
        <f t="shared" ref="G8" si="24">G9+G10</f>
        <v>455811</v>
      </c>
      <c r="H8" s="179">
        <f t="shared" ref="H8:Z8" si="25">H9+H10</f>
        <v>1290319.5823173386</v>
      </c>
      <c r="I8" s="179"/>
      <c r="J8" s="179">
        <f t="shared" si="25"/>
        <v>-37560.065000000002</v>
      </c>
      <c r="K8" s="179">
        <f t="shared" si="25"/>
        <v>-117652.24899999995</v>
      </c>
      <c r="L8" s="179">
        <f t="shared" si="25"/>
        <v>34916.880000000005</v>
      </c>
      <c r="M8" s="179">
        <f t="shared" si="25"/>
        <v>-110766.84000000008</v>
      </c>
      <c r="N8" s="179">
        <f t="shared" si="25"/>
        <v>-100093.9850000001</v>
      </c>
      <c r="O8" s="179">
        <f t="shared" si="25"/>
        <v>11871.311000000103</v>
      </c>
      <c r="P8" s="179">
        <f t="shared" si="25"/>
        <v>-70043.533000000054</v>
      </c>
      <c r="Q8" s="179">
        <f t="shared" si="25"/>
        <v>-20306.608000000007</v>
      </c>
      <c r="R8" s="179">
        <f t="shared" si="25"/>
        <v>5897.1240000000689</v>
      </c>
      <c r="S8" s="179">
        <f t="shared" si="25"/>
        <v>80299</v>
      </c>
      <c r="T8" s="179">
        <f t="shared" si="25"/>
        <v>161323</v>
      </c>
      <c r="U8" s="179">
        <f t="shared" si="25"/>
        <v>208291.87599999993</v>
      </c>
      <c r="V8" s="179">
        <f t="shared" si="25"/>
        <v>273732</v>
      </c>
      <c r="W8" s="179">
        <f t="shared" si="25"/>
        <v>306194</v>
      </c>
      <c r="X8" s="179">
        <f t="shared" si="25"/>
        <v>309067.08107357216</v>
      </c>
      <c r="Y8" s="179">
        <f t="shared" si="25"/>
        <v>401326.50124376646</v>
      </c>
      <c r="Z8" s="179">
        <f t="shared" si="25"/>
        <v>375952.90000000014</v>
      </c>
      <c r="AA8" s="179">
        <f>AA9+AA10</f>
        <v>409849.19999999995</v>
      </c>
      <c r="AB8" s="179">
        <f>AB9+AB10</f>
        <v>467479.4</v>
      </c>
      <c r="AC8" s="205"/>
      <c r="AD8" s="204">
        <f t="shared" si="18"/>
        <v>0.14061318162875525</v>
      </c>
      <c r="AE8" s="204">
        <f t="shared" si="19"/>
        <v>0.51254995639188916</v>
      </c>
    </row>
    <row r="9" spans="1:35" ht="13" customHeight="1">
      <c r="B9" s="60" t="str">
        <f>'3. IS | DRE'!B23</f>
        <v>Profit / (loss) before income tax</v>
      </c>
      <c r="C9" s="174">
        <f>'3. IS | DRE'!C23</f>
        <v>683.66099999996368</v>
      </c>
      <c r="D9" s="174">
        <f>'3. IS | DRE'!D23</f>
        <v>-7175.1048200000077</v>
      </c>
      <c r="E9" s="174">
        <f>'3. IS | DRE'!E23</f>
        <v>-231061.27400000021</v>
      </c>
      <c r="F9" s="174">
        <f>'3. IS | DRE'!F23</f>
        <v>-178572.81500000041</v>
      </c>
      <c r="G9" s="174">
        <f>'3. IS | DRE'!G23</f>
        <v>439842</v>
      </c>
      <c r="H9" s="174">
        <f>'3. IS | DRE'!H23</f>
        <v>1205549.5823173386</v>
      </c>
      <c r="I9" s="179"/>
      <c r="J9" s="174">
        <f>'3. IS | DRE'!J23</f>
        <v>-37560.065000000002</v>
      </c>
      <c r="K9" s="174">
        <f>'3. IS | DRE'!K23</f>
        <v>-117652.24899999995</v>
      </c>
      <c r="L9" s="174">
        <f>'3. IS | DRE'!L23</f>
        <v>34916.880000000005</v>
      </c>
      <c r="M9" s="174">
        <f>'3. IS | DRE'!M23</f>
        <v>-110766.84000000008</v>
      </c>
      <c r="N9" s="174">
        <f>'3. IS | DRE'!N23</f>
        <v>-100093.9850000001</v>
      </c>
      <c r="O9" s="174">
        <f>'3. IS | DRE'!O23</f>
        <v>11871.311000000103</v>
      </c>
      <c r="P9" s="174">
        <f>'3. IS | DRE'!P23</f>
        <v>-70043.533000000054</v>
      </c>
      <c r="Q9" s="174">
        <f>'3. IS | DRE'!Q23</f>
        <v>-20306.608000000007</v>
      </c>
      <c r="R9" s="174">
        <f>'3. IS | DRE'!R23</f>
        <v>5897.1240000000689</v>
      </c>
      <c r="S9" s="174">
        <f>'3. IS | DRE'!S23</f>
        <v>80299</v>
      </c>
      <c r="T9" s="174">
        <f>'3. IS | DRE'!T23</f>
        <v>145354</v>
      </c>
      <c r="U9" s="174">
        <f>'3. IS | DRE'!U23</f>
        <v>208291.87599999993</v>
      </c>
      <c r="V9" s="174">
        <f>'3. IS | DRE'!V23</f>
        <v>273732</v>
      </c>
      <c r="W9" s="174">
        <f>'3. IS | DRE'!W23</f>
        <v>297607</v>
      </c>
      <c r="X9" s="174">
        <f>'3. IS | DRE'!X23</f>
        <v>293952.08107357216</v>
      </c>
      <c r="Y9" s="174">
        <f>'3. IS | DRE'!Y23</f>
        <v>340258.50124376646</v>
      </c>
      <c r="Z9" s="174">
        <f>'3. IS | DRE'!Z23</f>
        <v>357546.90000000014</v>
      </c>
      <c r="AA9" s="174">
        <f>'3. IS | DRE'!AA23</f>
        <v>383528.19999999995</v>
      </c>
      <c r="AB9" s="174">
        <f>'3. IS | DRE'!AB23</f>
        <v>417925.4</v>
      </c>
      <c r="AC9" s="205"/>
      <c r="AD9" s="203">
        <f t="shared" si="18"/>
        <v>8.9686234284728217E-2</v>
      </c>
      <c r="AE9" s="203">
        <f t="shared" si="19"/>
        <v>0.42174669583441071</v>
      </c>
    </row>
    <row r="10" spans="1:35" s="195" customFormat="1" ht="13" customHeight="1">
      <c r="A10" s="194"/>
      <c r="B10" s="55" t="str">
        <f>IF('Summary | Sumário'!D$6=Names!B$3,Names!BF61,Names!BG61)</f>
        <v>(+) Tax expenses from interest on own capital (IOC)</v>
      </c>
      <c r="C10" s="179">
        <f t="shared" ref="C10:G10" si="26">-C7</f>
        <v>0</v>
      </c>
      <c r="D10" s="179">
        <f t="shared" si="26"/>
        <v>0</v>
      </c>
      <c r="E10" s="179">
        <f t="shared" si="26"/>
        <v>0</v>
      </c>
      <c r="F10" s="179">
        <f t="shared" si="26"/>
        <v>0</v>
      </c>
      <c r="G10" s="179">
        <f t="shared" si="26"/>
        <v>15969</v>
      </c>
      <c r="H10" s="179">
        <f t="shared" ref="H10" si="27">-H7</f>
        <v>84770</v>
      </c>
      <c r="I10" s="179"/>
      <c r="J10" s="179">
        <f t="shared" ref="J10:Z10" si="28">-J7</f>
        <v>0</v>
      </c>
      <c r="K10" s="179">
        <f t="shared" si="28"/>
        <v>0</v>
      </c>
      <c r="L10" s="179">
        <f t="shared" si="28"/>
        <v>0</v>
      </c>
      <c r="M10" s="179">
        <f t="shared" si="28"/>
        <v>0</v>
      </c>
      <c r="N10" s="179">
        <f t="shared" si="28"/>
        <v>0</v>
      </c>
      <c r="O10" s="179">
        <f t="shared" si="28"/>
        <v>0</v>
      </c>
      <c r="P10" s="179">
        <f t="shared" si="28"/>
        <v>0</v>
      </c>
      <c r="Q10" s="179">
        <f t="shared" si="28"/>
        <v>0</v>
      </c>
      <c r="R10" s="179">
        <f t="shared" si="28"/>
        <v>0</v>
      </c>
      <c r="S10" s="179">
        <f t="shared" si="28"/>
        <v>0</v>
      </c>
      <c r="T10" s="179">
        <f t="shared" si="28"/>
        <v>15969</v>
      </c>
      <c r="U10" s="179">
        <f t="shared" si="28"/>
        <v>0</v>
      </c>
      <c r="V10" s="179">
        <f t="shared" si="28"/>
        <v>0</v>
      </c>
      <c r="W10" s="179">
        <f t="shared" si="28"/>
        <v>8587</v>
      </c>
      <c r="X10" s="179">
        <f t="shared" si="28"/>
        <v>15115</v>
      </c>
      <c r="Y10" s="179">
        <f t="shared" si="28"/>
        <v>61068</v>
      </c>
      <c r="Z10" s="179">
        <f t="shared" si="28"/>
        <v>18406</v>
      </c>
      <c r="AA10" s="179">
        <f>-AA7</f>
        <v>26321</v>
      </c>
      <c r="AB10" s="179">
        <f>-AB7</f>
        <v>49554</v>
      </c>
      <c r="AD10" s="210">
        <f t="shared" si="18"/>
        <v>0.88267922951255651</v>
      </c>
      <c r="AE10" s="210">
        <f t="shared" si="19"/>
        <v>2.2784651008931527</v>
      </c>
      <c r="AF10" s="194"/>
      <c r="AG10" s="194"/>
      <c r="AH10" s="194"/>
      <c r="AI10" s="194"/>
    </row>
    <row r="11" spans="1:35" s="195" customFormat="1" ht="13" customHeight="1">
      <c r="A11" s="194"/>
      <c r="B11" s="687" t="str">
        <f>IF('Summary | Sumário'!D$6=Names!B$3,Names!BF71,Names!BG71)</f>
        <v>IOC adjusted effective tax rate (%)</v>
      </c>
      <c r="C11" s="316">
        <f t="shared" ref="C11:Z11" si="29">-C5/C8</f>
        <v>-43.422105400193338</v>
      </c>
      <c r="D11" s="316">
        <f t="shared" si="29"/>
        <v>5.2555329777049806</v>
      </c>
      <c r="E11" s="316">
        <f t="shared" si="29"/>
        <v>0.76167242114314593</v>
      </c>
      <c r="F11" s="316">
        <f t="shared" si="29"/>
        <v>0.92115924811959549</v>
      </c>
      <c r="G11" s="316">
        <f t="shared" si="29"/>
        <v>0.22717749242558868</v>
      </c>
      <c r="H11" s="316">
        <f t="shared" si="29"/>
        <v>0.24604663079647729</v>
      </c>
      <c r="I11" s="182"/>
      <c r="J11" s="316">
        <f t="shared" si="29"/>
        <v>0.92829977796896779</v>
      </c>
      <c r="K11" s="316">
        <f t="shared" si="29"/>
        <v>0.74077631954149925</v>
      </c>
      <c r="L11" s="316">
        <f t="shared" si="29"/>
        <v>1.6288268023947124E-2</v>
      </c>
      <c r="M11" s="316">
        <f t="shared" si="29"/>
        <v>0.4923922673969931</v>
      </c>
      <c r="N11" s="316">
        <f t="shared" si="29"/>
        <v>0.71205077907528536</v>
      </c>
      <c r="O11" s="316">
        <f t="shared" si="29"/>
        <v>-0.3078008823119846</v>
      </c>
      <c r="P11" s="316">
        <f t="shared" si="29"/>
        <v>0.57746944318185622</v>
      </c>
      <c r="Q11" s="316">
        <f t="shared" si="29"/>
        <v>2.4189170342974062</v>
      </c>
      <c r="R11" s="316">
        <f t="shared" si="29"/>
        <v>-3.1064295069935421</v>
      </c>
      <c r="S11" s="316">
        <f t="shared" si="29"/>
        <v>0.20083687219018917</v>
      </c>
      <c r="T11" s="316">
        <f t="shared" si="29"/>
        <v>0.35433881095690012</v>
      </c>
      <c r="U11" s="316">
        <f t="shared" si="29"/>
        <v>0.23322561077706178</v>
      </c>
      <c r="V11" s="316">
        <f t="shared" si="29"/>
        <v>0.28682068592638055</v>
      </c>
      <c r="W11" s="316">
        <f t="shared" si="29"/>
        <v>0.27280330117507201</v>
      </c>
      <c r="X11" s="316">
        <f t="shared" si="29"/>
        <v>0.1587260598236348</v>
      </c>
      <c r="Y11" s="316">
        <f t="shared" si="29"/>
        <v>0.26506859514688308</v>
      </c>
      <c r="Z11" s="316">
        <f t="shared" si="29"/>
        <v>0.18397251357816358</v>
      </c>
      <c r="AA11" s="316">
        <f>-AA5/AA8</f>
        <v>0.1895380056859938</v>
      </c>
      <c r="AB11" s="316">
        <f>-AB5/AB8</f>
        <v>0.23845756625853459</v>
      </c>
      <c r="AD11" s="688">
        <f>(AB11-AA11)*100</f>
        <v>4.8919560572540792</v>
      </c>
      <c r="AE11" s="688">
        <f>(AB11-X11)*100</f>
        <v>7.973150643489979</v>
      </c>
      <c r="AF11" s="194"/>
      <c r="AG11" s="194"/>
      <c r="AH11" s="194"/>
      <c r="AI11" s="194"/>
    </row>
    <row r="12" spans="1:35" s="195" customFormat="1" ht="13" customHeight="1">
      <c r="A12" s="194"/>
      <c r="B12" s="105"/>
      <c r="Q12" s="312"/>
      <c r="T12" s="312"/>
      <c r="U12" s="312"/>
      <c r="V12" s="312"/>
      <c r="W12" s="312"/>
      <c r="X12" s="312"/>
      <c r="Y12" s="312"/>
      <c r="AF12" s="194"/>
      <c r="AG12" s="194"/>
      <c r="AH12" s="194"/>
      <c r="AI12" s="194"/>
    </row>
    <row r="13" spans="1:35" s="199" customFormat="1" ht="13" customHeight="1">
      <c r="B13" s="540" t="str">
        <f>IF('Summary | Sumário'!D$6=Names!B$3,Names!BF82,Names!BG82)</f>
        <v>Effective tax rate(%)</v>
      </c>
      <c r="C13" s="693"/>
      <c r="D13" s="693"/>
      <c r="E13" s="693"/>
      <c r="F13" s="693"/>
      <c r="G13" s="693"/>
      <c r="H13" s="693"/>
      <c r="I13" s="693"/>
      <c r="J13" s="693"/>
      <c r="K13" s="693"/>
      <c r="L13" s="693"/>
      <c r="M13" s="693"/>
      <c r="N13" s="693"/>
      <c r="O13" s="693"/>
      <c r="P13" s="693"/>
      <c r="Q13" s="693"/>
      <c r="R13" s="693"/>
      <c r="S13" s="693"/>
      <c r="T13" s="693"/>
      <c r="U13" s="693"/>
      <c r="V13" s="693"/>
      <c r="W13" s="693"/>
      <c r="X13" s="693"/>
      <c r="Y13" s="693"/>
      <c r="Z13" s="693"/>
      <c r="AA13" s="693"/>
      <c r="AB13" s="693"/>
      <c r="AC13" s="184"/>
      <c r="AD13" s="693"/>
      <c r="AE13" s="693"/>
    </row>
    <row r="14" spans="1:35" ht="13" customHeight="1">
      <c r="B14" s="507" t="str">
        <f t="shared" ref="B14:H14" si="30">B6</f>
        <v>Income tax</v>
      </c>
      <c r="C14" s="690">
        <f t="shared" si="30"/>
        <v>29686</v>
      </c>
      <c r="D14" s="690">
        <f t="shared" si="30"/>
        <v>37709</v>
      </c>
      <c r="E14" s="690">
        <f t="shared" si="30"/>
        <v>175993</v>
      </c>
      <c r="F14" s="690">
        <f t="shared" si="30"/>
        <v>164494</v>
      </c>
      <c r="G14" s="690">
        <f t="shared" si="30"/>
        <v>-87581</v>
      </c>
      <c r="H14" s="690">
        <f t="shared" si="30"/>
        <v>-232708.78587989899</v>
      </c>
      <c r="I14" s="175"/>
      <c r="J14" s="690">
        <f>J6</f>
        <v>34867</v>
      </c>
      <c r="K14" s="690">
        <f>K6</f>
        <v>87154</v>
      </c>
      <c r="L14" s="690">
        <f>L6</f>
        <v>-568.73549999999886</v>
      </c>
      <c r="M14" s="690">
        <f>M6</f>
        <v>54540.735499999995</v>
      </c>
      <c r="N14" s="690">
        <f t="shared" ref="N14:AA14" si="31">N6</f>
        <v>71272</v>
      </c>
      <c r="O14" s="690">
        <f t="shared" si="31"/>
        <v>3654</v>
      </c>
      <c r="P14" s="690">
        <f t="shared" si="31"/>
        <v>40448</v>
      </c>
      <c r="Q14" s="690">
        <f t="shared" si="31"/>
        <v>49120</v>
      </c>
      <c r="R14" s="690">
        <f t="shared" si="31"/>
        <v>18319</v>
      </c>
      <c r="S14" s="690">
        <f t="shared" si="31"/>
        <v>-16127</v>
      </c>
      <c r="T14" s="690">
        <f t="shared" si="31"/>
        <v>-41194</v>
      </c>
      <c r="U14" s="690">
        <f t="shared" si="31"/>
        <v>-48579</v>
      </c>
      <c r="V14" s="690">
        <f t="shared" si="31"/>
        <v>-78512</v>
      </c>
      <c r="W14" s="690">
        <f t="shared" si="31"/>
        <v>-74943.733999999997</v>
      </c>
      <c r="X14" s="690">
        <f t="shared" si="31"/>
        <v>-33942</v>
      </c>
      <c r="Y14" s="690">
        <f t="shared" si="31"/>
        <v>-45311.051879898987</v>
      </c>
      <c r="Z14" s="690">
        <f t="shared" si="31"/>
        <v>-50759</v>
      </c>
      <c r="AA14" s="690">
        <f t="shared" si="31"/>
        <v>-51361</v>
      </c>
      <c r="AB14" s="690">
        <f t="shared" ref="AB14" si="32">AB6</f>
        <v>-61920</v>
      </c>
      <c r="AC14" s="175"/>
      <c r="AD14" s="691">
        <f>AB14/AA14-1</f>
        <v>0.20558400342672445</v>
      </c>
      <c r="AE14" s="691">
        <f>AB14/X14-1</f>
        <v>0.82428849213363975</v>
      </c>
    </row>
    <row r="15" spans="1:35" ht="13" customHeight="1">
      <c r="B15" s="78" t="str">
        <f>IF('Summary | Sumário'!D$6=Names!B$3,Names!BF78,Names!BG78)</f>
        <v>(÷) Profit / (loss) before income tax</v>
      </c>
      <c r="C15" s="176">
        <f t="shared" ref="C15:H15" si="33">C9</f>
        <v>683.66099999996368</v>
      </c>
      <c r="D15" s="176">
        <f t="shared" si="33"/>
        <v>-7175.1048200000077</v>
      </c>
      <c r="E15" s="176">
        <f t="shared" si="33"/>
        <v>-231061.27400000021</v>
      </c>
      <c r="F15" s="176">
        <f t="shared" si="33"/>
        <v>-178572.81500000041</v>
      </c>
      <c r="G15" s="176">
        <f t="shared" si="33"/>
        <v>439842</v>
      </c>
      <c r="H15" s="176">
        <f t="shared" si="33"/>
        <v>1205549.5823173386</v>
      </c>
      <c r="I15" s="176"/>
      <c r="J15" s="176">
        <f>J9</f>
        <v>-37560.065000000002</v>
      </c>
      <c r="K15" s="176">
        <f>K9</f>
        <v>-117652.24899999995</v>
      </c>
      <c r="L15" s="176">
        <f>L9</f>
        <v>34916.880000000005</v>
      </c>
      <c r="M15" s="176">
        <f>M9</f>
        <v>-110766.84000000008</v>
      </c>
      <c r="N15" s="176">
        <f t="shared" ref="N15:AA15" si="34">N9</f>
        <v>-100093.9850000001</v>
      </c>
      <c r="O15" s="176">
        <f t="shared" si="34"/>
        <v>11871.311000000103</v>
      </c>
      <c r="P15" s="176">
        <f t="shared" si="34"/>
        <v>-70043.533000000054</v>
      </c>
      <c r="Q15" s="176">
        <f t="shared" si="34"/>
        <v>-20306.608000000007</v>
      </c>
      <c r="R15" s="176">
        <f t="shared" si="34"/>
        <v>5897.1240000000689</v>
      </c>
      <c r="S15" s="176">
        <f t="shared" si="34"/>
        <v>80299</v>
      </c>
      <c r="T15" s="176">
        <f t="shared" si="34"/>
        <v>145354</v>
      </c>
      <c r="U15" s="176">
        <f t="shared" si="34"/>
        <v>208291.87599999993</v>
      </c>
      <c r="V15" s="176">
        <f t="shared" si="34"/>
        <v>273732</v>
      </c>
      <c r="W15" s="176">
        <f t="shared" si="34"/>
        <v>297607</v>
      </c>
      <c r="X15" s="176">
        <f t="shared" si="34"/>
        <v>293952.08107357216</v>
      </c>
      <c r="Y15" s="176">
        <f t="shared" si="34"/>
        <v>340258.50124376646</v>
      </c>
      <c r="Z15" s="176">
        <f t="shared" si="34"/>
        <v>357546.90000000014</v>
      </c>
      <c r="AA15" s="176">
        <f t="shared" si="34"/>
        <v>383528.19999999995</v>
      </c>
      <c r="AB15" s="176">
        <f t="shared" ref="AB15" si="35">AB9</f>
        <v>417925.4</v>
      </c>
      <c r="AD15" s="341">
        <f>AB15/AA15-1</f>
        <v>8.9686234284728217E-2</v>
      </c>
      <c r="AE15" s="341">
        <f>AB15/X15-1</f>
        <v>0.42174669583441071</v>
      </c>
    </row>
    <row r="16" spans="1:35" s="195" customFormat="1" ht="13" customHeight="1">
      <c r="A16" s="194"/>
      <c r="B16" s="692" t="str">
        <f>IF('Summary | Sumário'!D$6=Names!B$3,Names!BF72,Names!BG72)</f>
        <v>Effective Tax Rate (%)</v>
      </c>
      <c r="C16" s="327">
        <f>-C14/C15</f>
        <v>-43.422105400193338</v>
      </c>
      <c r="D16" s="327">
        <f t="shared" ref="D16:M16" si="36">-D14/D15</f>
        <v>5.2555329777049806</v>
      </c>
      <c r="E16" s="327">
        <f t="shared" si="36"/>
        <v>0.76167242114314593</v>
      </c>
      <c r="F16" s="327">
        <f t="shared" si="36"/>
        <v>0.92115924811959549</v>
      </c>
      <c r="G16" s="327">
        <f t="shared" si="36"/>
        <v>0.19911922917775018</v>
      </c>
      <c r="H16" s="327">
        <f t="shared" si="36"/>
        <v>0.19303128572495554</v>
      </c>
      <c r="I16" s="327"/>
      <c r="J16" s="327">
        <f t="shared" si="36"/>
        <v>0.92829977796896779</v>
      </c>
      <c r="K16" s="327">
        <f t="shared" si="36"/>
        <v>0.74077631954149925</v>
      </c>
      <c r="L16" s="327">
        <f t="shared" si="36"/>
        <v>1.6288268023947124E-2</v>
      </c>
      <c r="M16" s="327">
        <f t="shared" si="36"/>
        <v>0.4923922673969931</v>
      </c>
      <c r="N16" s="327">
        <f t="shared" ref="N16" si="37">-N14/N15</f>
        <v>0.71205077907528536</v>
      </c>
      <c r="O16" s="327">
        <f t="shared" ref="O16" si="38">-O14/O15</f>
        <v>-0.3078008823119846</v>
      </c>
      <c r="P16" s="327">
        <f t="shared" ref="P16" si="39">-P14/P15</f>
        <v>0.57746944318185622</v>
      </c>
      <c r="Q16" s="327">
        <f t="shared" ref="Q16" si="40">-Q14/Q15</f>
        <v>2.4189170342974062</v>
      </c>
      <c r="R16" s="327">
        <f t="shared" ref="R16" si="41">-R14/R15</f>
        <v>-3.1064295069935421</v>
      </c>
      <c r="S16" s="327">
        <f t="shared" ref="S16" si="42">-S14/S15</f>
        <v>0.20083687219018917</v>
      </c>
      <c r="T16" s="327">
        <f t="shared" ref="T16" si="43">-T14/T15</f>
        <v>0.28340465346670884</v>
      </c>
      <c r="U16" s="327">
        <f t="shared" ref="U16" si="44">-U14/U15</f>
        <v>0.23322561077706178</v>
      </c>
      <c r="V16" s="327">
        <f t="shared" ref="V16:W16" si="45">-V14/V15</f>
        <v>0.28682068592638055</v>
      </c>
      <c r="W16" s="327">
        <f t="shared" si="45"/>
        <v>0.25182113995974553</v>
      </c>
      <c r="X16" s="327">
        <f t="shared" ref="X16" si="46">-X14/X15</f>
        <v>0.11546779963603926</v>
      </c>
      <c r="Y16" s="327">
        <f t="shared" ref="Y16" si="47">-Y14/Y15</f>
        <v>0.1331665534123935</v>
      </c>
      <c r="Z16" s="327">
        <f t="shared" ref="Z16" si="48">-Z14/Z15</f>
        <v>0.14196459261708039</v>
      </c>
      <c r="AA16" s="327">
        <f t="shared" ref="AA16:AB16" si="49">-AA14/AA15</f>
        <v>0.13391714090385012</v>
      </c>
      <c r="AB16" s="327">
        <f t="shared" si="49"/>
        <v>0.14816041331778351</v>
      </c>
      <c r="AD16" s="689">
        <f>(AB16-AA16)*100</f>
        <v>1.424327241393339</v>
      </c>
      <c r="AE16" s="689">
        <f>(AB16-X16)*100</f>
        <v>3.2692613681744254</v>
      </c>
      <c r="AF16" s="194"/>
      <c r="AG16" s="194"/>
      <c r="AH16" s="194"/>
      <c r="AI16" s="194"/>
    </row>
  </sheetData>
  <sheetProtection algorithmName="SHA-512" hashValue="gsl7iGnXeliOkkTinRj73Zo4Lhft3c4OClKKt5zAckzEsiQq4psK38kYb4S3jYvX0AOSCRks+IKXEGkunWRn8A==" saltValue="1hZp8Klcz1s04YTwiHpgtw=="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16715-8043-E342-8521-0D7278F43B4B}">
  <sheetPr codeName="Sheet23">
    <tabColor rgb="FFFFE9D0"/>
  </sheetPr>
  <dimension ref="A1:AF64"/>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5" style="145" customWidth="1"/>
    <col min="2" max="2" width="68.33203125" style="145" customWidth="1"/>
    <col min="3" max="23" width="10.83203125" style="145" customWidth="1"/>
    <col min="24" max="24" width="5.83203125" style="145" customWidth="1"/>
    <col min="25" max="26" width="10.83203125" style="145" customWidth="1"/>
    <col min="27" max="16384" width="10.83203125" style="145"/>
  </cols>
  <sheetData>
    <row r="1" spans="1:32" s="116" customFormat="1" ht="13" customHeight="1">
      <c r="C1" s="151" t="s">
        <v>66</v>
      </c>
      <c r="D1" s="151" t="s">
        <v>104</v>
      </c>
      <c r="E1" s="151"/>
      <c r="F1" s="151"/>
      <c r="G1" s="117"/>
      <c r="H1" s="117"/>
      <c r="I1" s="117"/>
      <c r="J1" s="117"/>
      <c r="K1" s="117"/>
      <c r="L1" s="117"/>
      <c r="M1" s="117"/>
      <c r="N1" s="117"/>
      <c r="O1" s="117"/>
      <c r="P1" s="117"/>
      <c r="Q1" s="117"/>
      <c r="R1" s="117"/>
      <c r="S1" s="117"/>
      <c r="T1" s="117"/>
      <c r="U1" s="117"/>
      <c r="V1" s="117"/>
      <c r="W1" s="117"/>
      <c r="X1" s="117"/>
      <c r="Y1" s="117"/>
      <c r="Z1" s="117"/>
      <c r="AA1" s="117"/>
    </row>
    <row r="2" spans="1:32" s="122" customFormat="1" ht="13" customHeight="1">
      <c r="B2" s="267" t="str">
        <f>IF('Summary | Sumário'!D$6=Names!B$3,Names!BH1,Names!BI1)</f>
        <v>Inter Invest (Managerial, R$ Million)</v>
      </c>
      <c r="C2" s="20" t="str">
        <f>IF('Summary | Sumário'!D$6=Names!B$3,Names!E2,Names!F2)</f>
        <v>4Q19</v>
      </c>
      <c r="D2" s="20" t="str">
        <f>IF('Summary | Sumário'!D$6=Names!B$3,Names!E3,Names!F3)</f>
        <v>4Q20</v>
      </c>
      <c r="E2" s="20" t="str">
        <f>IF('Summary | Sumário'!D$6=Names!B$3,Names!E4,Names!F4)</f>
        <v>1Q21</v>
      </c>
      <c r="F2" s="20" t="str">
        <f>IF('Summary | Sumário'!D$6=Names!B$3,Names!E5,Names!F5)</f>
        <v>2Q21</v>
      </c>
      <c r="G2" s="20" t="str">
        <f>IF('Summary | Sumário'!D$6=Names!B$3,Names!E6,Names!F6)</f>
        <v>3Q21</v>
      </c>
      <c r="H2" s="21" t="str">
        <f>IF('Summary | Sumário'!D$6=Names!B$3,Names!E7,Names!F7)</f>
        <v>4Q21</v>
      </c>
      <c r="I2" s="21" t="str">
        <f>IF('Summary | Sumário'!D$6=Names!B$3,Names!E8,Names!F8)</f>
        <v>1Q22</v>
      </c>
      <c r="J2" s="21" t="str">
        <f>IF('Summary | Sumário'!D$6=Names!B$3,Names!E9,Names!F9)</f>
        <v>2Q22</v>
      </c>
      <c r="K2" s="21" t="str">
        <f>IF('Summary | Sumário'!D$6=Names!B$3,Names!E10,Names!F10)</f>
        <v>3Q22</v>
      </c>
      <c r="L2" s="21" t="str">
        <f>IF('Summary | Sumário'!D$6=Names!B$3,Names!E11,Names!F11)</f>
        <v>4Q22</v>
      </c>
      <c r="M2" s="21" t="str">
        <f>IF('Summary | Sumário'!D$6=Names!B$3,Names!E12,Names!F12)</f>
        <v>1Q23</v>
      </c>
      <c r="N2" s="21" t="str">
        <f>IF('Summary | Sumário'!D$6=Names!B$3,Names!E13,Names!F13)</f>
        <v>2Q23</v>
      </c>
      <c r="O2" s="21" t="str">
        <f>IF('Summary | Sumário'!D$6=Names!B$3,Names!E14,Names!F14)</f>
        <v>3Q23</v>
      </c>
      <c r="P2" s="21" t="str">
        <f>IF('Summary | Sumário'!D$6=Names!B$3,Names!E15,Names!F15)</f>
        <v>4Q23</v>
      </c>
      <c r="Q2" s="21" t="str">
        <f>IF('Summary | Sumário'!D$6=Names!B$3,Names!E16,Names!F16)</f>
        <v>1Q24</v>
      </c>
      <c r="R2" s="21" t="str">
        <f>IF('Summary | Sumário'!D$6=Names!B$3,Names!E17,Names!F17)</f>
        <v>2Q24</v>
      </c>
      <c r="S2" s="21" t="str">
        <f>IF('Summary | Sumário'!D$6=Names!B$3,Names!E18,Names!F18)</f>
        <v>3Q24</v>
      </c>
      <c r="T2" s="21" t="str">
        <f>IF('Summary | Sumário'!D$6=Names!B$3,Names!E19,Names!F19)</f>
        <v>4Q24</v>
      </c>
      <c r="U2" s="21" t="str">
        <f>IF('Summary | Sumário'!D$6=Names!B$3,Names!E20,Names!F20)</f>
        <v>1Q25</v>
      </c>
      <c r="V2" s="21" t="str">
        <f>IF('Summary | Sumário'!D$6=Names!B$3,Names!E21,Names!F21)</f>
        <v>2Q25</v>
      </c>
      <c r="W2" s="268" t="str">
        <f>IF('Summary | Sumário'!E$6=Names!C$3,Names!F21,Names!G21)</f>
        <v>3Q25</v>
      </c>
      <c r="X2" s="321"/>
      <c r="Y2" s="104" t="str">
        <f>IF('Summary | Sumário'!$D$6=Names!$B$3,Names!$I$24,Names!$J$24)</f>
        <v>QoQ Variation</v>
      </c>
      <c r="Z2" s="104" t="str">
        <f>IF('Summary | Sumário'!$D$6=Names!$B$3,Names!$I$25,Names!$J$25)</f>
        <v>YoY Variation</v>
      </c>
      <c r="AA2" s="119"/>
      <c r="AB2" s="120"/>
      <c r="AC2" s="121"/>
      <c r="AE2" s="123"/>
      <c r="AF2" s="124"/>
    </row>
    <row r="3" spans="1:32" s="116" customFormat="1" ht="13" customHeight="1">
      <c r="B3" s="14"/>
      <c r="C3" s="126"/>
      <c r="D3" s="126"/>
      <c r="E3" s="127"/>
      <c r="F3" s="127"/>
      <c r="G3" s="127"/>
      <c r="H3" s="127"/>
      <c r="I3" s="127"/>
      <c r="J3" s="127"/>
      <c r="K3" s="127"/>
      <c r="L3" s="127"/>
      <c r="M3" s="127"/>
      <c r="N3" s="127"/>
      <c r="O3" s="127"/>
      <c r="P3" s="127"/>
      <c r="Q3" s="127"/>
      <c r="R3" s="127"/>
      <c r="S3" s="127"/>
      <c r="T3" s="127"/>
      <c r="U3" s="127"/>
      <c r="V3" s="127"/>
      <c r="W3" s="127"/>
      <c r="X3" s="127"/>
      <c r="Y3" s="127"/>
      <c r="Z3" s="127"/>
      <c r="AA3" s="127"/>
    </row>
    <row r="4" spans="1:32" ht="13" customHeight="1">
      <c r="A4" s="143"/>
      <c r="B4" s="3" t="str">
        <f>IF('Summary | Sumário'!D$6=Names!B$3,Names!BH3,Names!BI3)</f>
        <v>Inter invest</v>
      </c>
      <c r="C4" s="147"/>
      <c r="D4" s="147"/>
      <c r="E4" s="147"/>
      <c r="F4" s="147"/>
      <c r="G4" s="147"/>
      <c r="H4" s="147"/>
      <c r="I4" s="147"/>
      <c r="J4" s="147"/>
      <c r="K4" s="147"/>
      <c r="L4" s="147"/>
      <c r="M4" s="147"/>
      <c r="N4" s="147"/>
      <c r="O4" s="147"/>
      <c r="P4" s="147"/>
      <c r="Q4" s="147"/>
      <c r="R4" s="147"/>
      <c r="S4" s="147"/>
      <c r="T4" s="147"/>
      <c r="U4" s="147"/>
      <c r="V4" s="147"/>
      <c r="W4" s="147"/>
      <c r="X4" s="147"/>
      <c r="Y4" s="147"/>
      <c r="Z4" s="147"/>
    </row>
    <row r="5" spans="1:32" ht="13" customHeight="1">
      <c r="A5" s="143"/>
      <c r="B5" s="302" t="str">
        <f>IF('Summary | Sumário'!D$6=Names!B$3,Names!BH4,Names!BI4)</f>
        <v>Total AUC</v>
      </c>
      <c r="C5" s="303">
        <f t="shared" ref="C5:U5" si="0">SUM(C6:C8)</f>
        <v>18334.29077</v>
      </c>
      <c r="D5" s="303">
        <f t="shared" si="0"/>
        <v>44099.232784510008</v>
      </c>
      <c r="E5" s="303">
        <f t="shared" si="0"/>
        <v>52376.706477599975</v>
      </c>
      <c r="F5" s="303">
        <f t="shared" si="0"/>
        <v>63464.019114700051</v>
      </c>
      <c r="G5" s="303">
        <f t="shared" si="0"/>
        <v>60324.526333440008</v>
      </c>
      <c r="H5" s="303">
        <f t="shared" si="0"/>
        <v>56887.303352699601</v>
      </c>
      <c r="I5" s="303">
        <f t="shared" si="0"/>
        <v>58138.286373499977</v>
      </c>
      <c r="J5" s="303">
        <f t="shared" si="0"/>
        <v>54559.79457161</v>
      </c>
      <c r="K5" s="303">
        <f t="shared" si="0"/>
        <v>62349.211153180004</v>
      </c>
      <c r="L5" s="303">
        <f t="shared" si="0"/>
        <v>66723.736438719992</v>
      </c>
      <c r="M5" s="303">
        <f t="shared" si="0"/>
        <v>67986.417997459968</v>
      </c>
      <c r="N5" s="303">
        <f t="shared" si="0"/>
        <v>76842.170568875445</v>
      </c>
      <c r="O5" s="303">
        <f t="shared" si="0"/>
        <v>82892.927662269998</v>
      </c>
      <c r="P5" s="303">
        <f t="shared" si="0"/>
        <v>91798.553434000001</v>
      </c>
      <c r="Q5" s="303">
        <f t="shared" si="0"/>
        <v>94882.291527389752</v>
      </c>
      <c r="R5" s="303">
        <f t="shared" si="0"/>
        <v>105218.94690225135</v>
      </c>
      <c r="S5" s="303">
        <f t="shared" si="0"/>
        <v>122489.5022303232</v>
      </c>
      <c r="T5" s="303">
        <f t="shared" si="0"/>
        <v>141240.89867975749</v>
      </c>
      <c r="U5" s="303">
        <f t="shared" si="0"/>
        <v>145966.75700367001</v>
      </c>
      <c r="V5" s="303">
        <f t="shared" ref="V5" si="1">SUM(V6:V8)</f>
        <v>154469.03082499997</v>
      </c>
      <c r="W5" s="303">
        <f t="shared" ref="W5" si="2">SUM(W6:W8)</f>
        <v>169979.36709707999</v>
      </c>
      <c r="X5" s="371"/>
      <c r="Y5" s="379">
        <f>W5/V5-1</f>
        <v>0.10041065312083108</v>
      </c>
      <c r="Z5" s="379">
        <f>W5/S5-1</f>
        <v>0.38770559110820124</v>
      </c>
    </row>
    <row r="6" spans="1:32" ht="13" customHeight="1">
      <c r="A6" s="143"/>
      <c r="B6" s="77" t="str">
        <f>IF('Summary | Sumário'!D$6=Names!B$3,Names!BH5,Names!BI5)</f>
        <v>Funding (includes deposits and other on-balance funding)</v>
      </c>
      <c r="C6" s="146">
        <v>6434.0190000000002</v>
      </c>
      <c r="D6" s="146">
        <v>14166.066999999999</v>
      </c>
      <c r="E6" s="146">
        <v>15097.571</v>
      </c>
      <c r="F6" s="146">
        <v>17710.853999999999</v>
      </c>
      <c r="G6" s="146">
        <v>20186.793000000001</v>
      </c>
      <c r="H6" s="146">
        <v>21905.634999999998</v>
      </c>
      <c r="I6" s="146">
        <v>23239.074000000001</v>
      </c>
      <c r="J6" s="146">
        <v>25850.632000000001</v>
      </c>
      <c r="K6" s="146">
        <v>28368.945</v>
      </c>
      <c r="L6" s="146">
        <v>29844.969000000001</v>
      </c>
      <c r="M6" s="146">
        <v>30822.562999999998</v>
      </c>
      <c r="N6" s="146">
        <v>33305.51704074</v>
      </c>
      <c r="O6" s="146">
        <v>36526.552537269999</v>
      </c>
      <c r="P6" s="146">
        <v>40746.661999999997</v>
      </c>
      <c r="Q6" s="146">
        <v>40892.586921435941</v>
      </c>
      <c r="R6" s="146">
        <v>44521.566244000001</v>
      </c>
      <c r="S6" s="146">
        <v>48177.41561366</v>
      </c>
      <c r="T6" s="146">
        <v>52693.448118564796</v>
      </c>
      <c r="U6" s="146">
        <v>54345.737000000001</v>
      </c>
      <c r="V6" s="146">
        <v>58045.601999999999</v>
      </c>
      <c r="W6" s="146">
        <v>63738.752</v>
      </c>
      <c r="X6" s="146"/>
      <c r="Y6" s="358">
        <f t="shared" ref="Y6:Y11" si="3">W6/V6-1</f>
        <v>9.8080643560213288E-2</v>
      </c>
      <c r="Z6" s="358">
        <f t="shared" ref="Z6:Z11" si="4">W6/S6-1</f>
        <v>0.32300064642587034</v>
      </c>
    </row>
    <row r="7" spans="1:32" ht="13" customHeight="1">
      <c r="A7" s="143"/>
      <c r="B7" s="76" t="str">
        <f>IF('Summary | Sumário'!D$6=Names!B$3,Names!BH6,Names!BI6)</f>
        <v>Inter Asset AuM + Inter Securities AuM</v>
      </c>
      <c r="C7" s="144">
        <v>0</v>
      </c>
      <c r="D7" s="144">
        <v>3732.8115669999997</v>
      </c>
      <c r="E7" s="144">
        <v>4166.4707679100002</v>
      </c>
      <c r="F7" s="144">
        <v>4701</v>
      </c>
      <c r="G7" s="144">
        <v>5087</v>
      </c>
      <c r="H7" s="144">
        <v>5208</v>
      </c>
      <c r="I7" s="144">
        <v>5383</v>
      </c>
      <c r="J7" s="144">
        <v>5781</v>
      </c>
      <c r="K7" s="144">
        <v>7156</v>
      </c>
      <c r="L7" s="144">
        <v>8391.2768336400004</v>
      </c>
      <c r="M7" s="144">
        <v>7657</v>
      </c>
      <c r="N7" s="144">
        <v>7870.6031021400004</v>
      </c>
      <c r="O7" s="144">
        <v>8194.2440079999997</v>
      </c>
      <c r="P7" s="144">
        <v>9276.8147730000001</v>
      </c>
      <c r="Q7" s="144">
        <v>9534.9427183100015</v>
      </c>
      <c r="R7" s="144">
        <v>10577.920844316301</v>
      </c>
      <c r="S7" s="144">
        <v>17593.237260040001</v>
      </c>
      <c r="T7" s="144">
        <v>22223.029831</v>
      </c>
      <c r="U7" s="144">
        <v>23352.726465000003</v>
      </c>
      <c r="V7" s="144">
        <v>24042.609559999997</v>
      </c>
      <c r="W7" s="144">
        <v>27846.894571999997</v>
      </c>
      <c r="X7" s="146"/>
      <c r="Y7" s="359">
        <f t="shared" si="3"/>
        <v>0.15823095253059538</v>
      </c>
      <c r="Z7" s="359">
        <f t="shared" si="4"/>
        <v>0.58281811132334393</v>
      </c>
    </row>
    <row r="8" spans="1:32" ht="13" customHeight="1">
      <c r="A8" s="142"/>
      <c r="B8" s="77" t="str">
        <f>IF('Summary | Sumário'!D$6=Names!B$3,Names!BH7,Names!BI7)</f>
        <v>Inter DTVM - management, distribution and custody</v>
      </c>
      <c r="C8" s="215">
        <v>11900.271769999999</v>
      </c>
      <c r="D8" s="215">
        <v>26200.354217510005</v>
      </c>
      <c r="E8" s="215">
        <v>33112.664709689976</v>
      </c>
      <c r="F8" s="215">
        <v>41052.165114700052</v>
      </c>
      <c r="G8" s="215">
        <v>35050.733333440003</v>
      </c>
      <c r="H8" s="215">
        <v>29773.668352699602</v>
      </c>
      <c r="I8" s="215">
        <v>29516.212373499977</v>
      </c>
      <c r="J8" s="215">
        <v>22928.162571609999</v>
      </c>
      <c r="K8" s="215">
        <v>26824.26615318</v>
      </c>
      <c r="L8" s="215">
        <v>28487.490605079998</v>
      </c>
      <c r="M8" s="215">
        <v>29506.854997459966</v>
      </c>
      <c r="N8" s="215">
        <v>35666.050425995447</v>
      </c>
      <c r="O8" s="215">
        <v>38172.131116999997</v>
      </c>
      <c r="P8" s="215">
        <v>41775.076660999999</v>
      </c>
      <c r="Q8" s="215">
        <v>44454.761887643806</v>
      </c>
      <c r="R8" s="215">
        <v>50119.459813935049</v>
      </c>
      <c r="S8" s="215">
        <v>56718.849356623192</v>
      </c>
      <c r="T8" s="215">
        <v>66324.420730192709</v>
      </c>
      <c r="U8" s="215">
        <v>68268.293538669997</v>
      </c>
      <c r="V8" s="215">
        <v>72380.819264999984</v>
      </c>
      <c r="W8" s="215">
        <v>78393.720525079989</v>
      </c>
      <c r="X8" s="146"/>
      <c r="Y8" s="358">
        <f t="shared" si="3"/>
        <v>8.3073130715274557E-2</v>
      </c>
      <c r="Z8" s="358">
        <f t="shared" si="4"/>
        <v>0.38214581949952353</v>
      </c>
      <c r="AA8" s="166"/>
    </row>
    <row r="9" spans="1:32" ht="13" customHeight="1">
      <c r="A9" s="143"/>
      <c r="B9" s="74" t="str">
        <f>IF('Summary | Sumário'!D$6=Names!B$3,Names!BH8,Names!BI8)</f>
        <v>Inter Invest net revenues</v>
      </c>
      <c r="C9" s="646"/>
      <c r="D9" s="646"/>
      <c r="E9" s="647">
        <v>14.775224</v>
      </c>
      <c r="F9" s="647">
        <v>15.423358</v>
      </c>
      <c r="G9" s="647">
        <v>33.671531000000002</v>
      </c>
      <c r="H9" s="647">
        <v>31.725574999999999</v>
      </c>
      <c r="I9" s="647">
        <v>32.118471</v>
      </c>
      <c r="J9" s="647">
        <v>34.942397999999997</v>
      </c>
      <c r="K9" s="647">
        <v>39.631746</v>
      </c>
      <c r="L9" s="647">
        <v>25.204698</v>
      </c>
      <c r="M9" s="647">
        <v>42.040458000000001</v>
      </c>
      <c r="N9" s="647">
        <v>43.381656999999997</v>
      </c>
      <c r="O9" s="647">
        <v>41.514320970000007</v>
      </c>
      <c r="P9" s="647">
        <v>60.850385709999991</v>
      </c>
      <c r="Q9" s="647">
        <v>55.912393019999989</v>
      </c>
      <c r="R9" s="647">
        <v>64.249784560000009</v>
      </c>
      <c r="S9" s="647">
        <v>73.302822420000012</v>
      </c>
      <c r="T9" s="647">
        <v>70.965000000000003</v>
      </c>
      <c r="U9" s="647">
        <v>59.969000000000001</v>
      </c>
      <c r="V9" s="647">
        <v>78.88</v>
      </c>
      <c r="W9" s="647">
        <v>66.789000000000001</v>
      </c>
      <c r="X9" s="372"/>
      <c r="Y9" s="645">
        <f t="shared" si="3"/>
        <v>-0.15328346855983765</v>
      </c>
      <c r="Z9" s="645">
        <f t="shared" si="4"/>
        <v>-8.8861822846029614E-2</v>
      </c>
    </row>
    <row r="10" spans="1:32" ht="13" customHeight="1">
      <c r="B10" s="77" t="str">
        <f>IF('Summary | Sumário'!D$6=Names!B$3,Names!BH9,Names!BI9)</f>
        <v>Inter Invest net fee revenues</v>
      </c>
      <c r="C10" s="146"/>
      <c r="D10" s="146"/>
      <c r="E10" s="167">
        <v>13.879148000000001</v>
      </c>
      <c r="F10" s="167">
        <v>11.610353</v>
      </c>
      <c r="G10" s="167">
        <v>29.902488000000002</v>
      </c>
      <c r="H10" s="167">
        <v>26.472512999999999</v>
      </c>
      <c r="I10" s="167">
        <v>25.550785999999999</v>
      </c>
      <c r="J10" s="167">
        <v>27.531547</v>
      </c>
      <c r="K10" s="167">
        <v>32.406441000000001</v>
      </c>
      <c r="L10" s="167">
        <v>16.431895000000001</v>
      </c>
      <c r="M10" s="167">
        <v>25.844162000000001</v>
      </c>
      <c r="N10" s="167">
        <v>26.447693999999998</v>
      </c>
      <c r="O10" s="167">
        <v>26.742655840000001</v>
      </c>
      <c r="P10" s="167">
        <v>39.535309839999996</v>
      </c>
      <c r="Q10" s="167">
        <v>32.179000000000002</v>
      </c>
      <c r="R10" s="167">
        <v>35.137999999999998</v>
      </c>
      <c r="S10" s="167">
        <v>40.073</v>
      </c>
      <c r="T10" s="167">
        <v>44.146000000000001</v>
      </c>
      <c r="U10" s="167">
        <v>35.468000000000004</v>
      </c>
      <c r="V10" s="167">
        <v>41.51</v>
      </c>
      <c r="W10" s="167">
        <v>41.405000000000001</v>
      </c>
      <c r="X10" s="167"/>
      <c r="Y10" s="380">
        <f t="shared" si="3"/>
        <v>-2.5295109612141209E-3</v>
      </c>
      <c r="Z10" s="380">
        <f t="shared" si="4"/>
        <v>3.3239338207770919E-2</v>
      </c>
    </row>
    <row r="11" spans="1:32" ht="13" customHeight="1">
      <c r="B11" s="76" t="str">
        <f>IF('Summary | Sumário'!D$6=Names!B$3,Names!BH10,Names!BI10)</f>
        <v>Inter Invest net interest revenues</v>
      </c>
      <c r="C11" s="144"/>
      <c r="D11" s="144"/>
      <c r="E11" s="168">
        <v>0.89607599999999998</v>
      </c>
      <c r="F11" s="168">
        <v>3.813005</v>
      </c>
      <c r="G11" s="168">
        <v>3.7690429999999999</v>
      </c>
      <c r="H11" s="168">
        <v>5.2530619999999999</v>
      </c>
      <c r="I11" s="168">
        <v>6.567685</v>
      </c>
      <c r="J11" s="168">
        <v>7.4108510000000001</v>
      </c>
      <c r="K11" s="168">
        <v>7.2253049999999996</v>
      </c>
      <c r="L11" s="168">
        <v>8.7728029999999997</v>
      </c>
      <c r="M11" s="168">
        <v>16.196296</v>
      </c>
      <c r="N11" s="168">
        <v>16.933962999999999</v>
      </c>
      <c r="O11" s="168">
        <v>14.771665130000006</v>
      </c>
      <c r="P11" s="168">
        <v>21.315075869999998</v>
      </c>
      <c r="Q11" s="168">
        <v>21.742000000000001</v>
      </c>
      <c r="R11" s="168">
        <v>25.555</v>
      </c>
      <c r="S11" s="168">
        <v>30.029</v>
      </c>
      <c r="T11" s="168">
        <v>26.818999999999999</v>
      </c>
      <c r="U11" s="168">
        <v>24.501000000000001</v>
      </c>
      <c r="V11" s="168">
        <v>37.369999999999997</v>
      </c>
      <c r="W11" s="168">
        <v>25.384</v>
      </c>
      <c r="X11" s="167"/>
      <c r="Y11" s="381">
        <f t="shared" si="3"/>
        <v>-0.32073856034252068</v>
      </c>
      <c r="Z11" s="381">
        <f t="shared" si="4"/>
        <v>-0.15468380565453399</v>
      </c>
    </row>
    <row r="12" spans="1:32" ht="13" customHeight="1">
      <c r="C12" s="169"/>
      <c r="D12" s="169"/>
      <c r="E12" s="169"/>
      <c r="F12" s="170"/>
      <c r="G12" s="170"/>
      <c r="H12" s="170"/>
      <c r="I12" s="169"/>
      <c r="J12" s="169"/>
      <c r="K12" s="169"/>
      <c r="L12" s="169"/>
      <c r="M12" s="169"/>
      <c r="N12" s="169"/>
      <c r="O12" s="169"/>
      <c r="P12" s="169"/>
      <c r="Q12" s="169"/>
      <c r="R12" s="169"/>
      <c r="S12" s="169"/>
      <c r="T12" s="169"/>
      <c r="U12" s="169"/>
      <c r="V12" s="169"/>
      <c r="W12" s="169"/>
      <c r="X12" s="169"/>
      <c r="Y12" s="169"/>
      <c r="Z12" s="169"/>
    </row>
    <row r="13" spans="1:32" ht="13" customHeight="1">
      <c r="C13" s="169"/>
      <c r="D13" s="169"/>
      <c r="E13" s="169"/>
      <c r="F13" s="170"/>
      <c r="G13" s="169"/>
      <c r="H13" s="169"/>
      <c r="I13" s="169"/>
      <c r="J13" s="169"/>
      <c r="L13" s="169"/>
      <c r="M13" s="169"/>
      <c r="N13" s="169"/>
      <c r="O13" s="169"/>
      <c r="P13" s="169"/>
      <c r="Q13" s="169"/>
      <c r="R13" s="169"/>
      <c r="S13" s="169"/>
      <c r="T13" s="169"/>
      <c r="U13" s="169"/>
      <c r="V13" s="169"/>
      <c r="W13" s="169"/>
      <c r="X13" s="169"/>
      <c r="Y13" s="169"/>
      <c r="Z13" s="169"/>
    </row>
    <row r="14" spans="1:32" ht="13" customHeight="1">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row>
    <row r="15" spans="1:32" ht="13" customHeight="1">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row>
    <row r="16" spans="1:32" ht="13" customHeight="1">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row>
    <row r="17" spans="2:26" ht="13" customHeight="1">
      <c r="B17" s="138"/>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row>
    <row r="18" spans="2:26" ht="13" customHeight="1">
      <c r="B18" s="171"/>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row>
    <row r="19" spans="2:26" ht="13" customHeight="1">
      <c r="B19" s="138"/>
      <c r="L19" s="169"/>
      <c r="M19" s="169"/>
      <c r="N19" s="169"/>
      <c r="O19" s="169"/>
      <c r="P19" s="169"/>
      <c r="Q19" s="169"/>
      <c r="R19" s="169"/>
      <c r="S19" s="169"/>
      <c r="T19" s="169"/>
      <c r="U19" s="169"/>
      <c r="V19" s="169"/>
      <c r="W19" s="169"/>
      <c r="X19" s="169"/>
      <c r="Y19" s="169"/>
      <c r="Z19" s="169"/>
    </row>
    <row r="20" spans="2:26" ht="13" customHeight="1">
      <c r="B20" s="138"/>
    </row>
    <row r="22" spans="2:26" ht="13" customHeight="1">
      <c r="B22" s="743"/>
    </row>
    <row r="23" spans="2:26" ht="13" customHeight="1">
      <c r="B23" s="743"/>
    </row>
    <row r="24" spans="2:26" ht="13" customHeight="1">
      <c r="B24" s="743"/>
    </row>
    <row r="25" spans="2:26" ht="13" customHeight="1">
      <c r="B25" s="743"/>
    </row>
    <row r="26" spans="2:26" ht="13" customHeight="1">
      <c r="B26" s="743"/>
    </row>
    <row r="27" spans="2:26" ht="13" customHeight="1">
      <c r="B27" s="743"/>
    </row>
    <row r="28" spans="2:26" ht="13" customHeight="1">
      <c r="B28" s="743"/>
    </row>
    <row r="64" spans="3:26" ht="13" customHeight="1">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row>
  </sheetData>
  <sheetProtection algorithmName="SHA-512" hashValue="fCO39DL80vTl5hxVEK/tzq4DxLHX8NqnyJN+iYHhQOJdHK6Z0PQd48tKoiyicI12fQ4EUu+wchHCV0HXY4k5dA==" saltValue="2iWqOdbmsag0mKPKDzFxfg==" spinCount="100000" sheet="1" formatCells="0" formatColumns="0" formatRows="0" insertColumns="0" insertRows="0" insertHyperlinks="0" deleteColumns="0" deleteRows="0" sort="0" autoFilter="0" pivotTables="0"/>
  <mergeCells count="1">
    <mergeCell ref="B22:B28"/>
  </mergeCells>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C814-91B1-4C45-B291-4DE53C56DA99}">
  <sheetPr codeName="Sheet24">
    <tabColor rgb="FFFFE9D0"/>
  </sheetPr>
  <dimension ref="A1:AF25"/>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116" customWidth="1"/>
    <col min="3" max="23" width="10.83203125" style="116" customWidth="1"/>
    <col min="24" max="24" width="5.83203125" style="116" customWidth="1"/>
    <col min="25" max="26" width="10.83203125" style="116" customWidth="1"/>
    <col min="27" max="16384" width="10.83203125" style="116"/>
  </cols>
  <sheetData>
    <row r="1" spans="1:32" s="150" customFormat="1" ht="13" customHeight="1">
      <c r="A1" s="150" t="s">
        <v>1046</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row>
    <row r="2" spans="1:32" s="122" customFormat="1" ht="13" customHeight="1">
      <c r="B2" s="267" t="str">
        <f>IF('Summary | Sumário'!D$6=Names!B$3,Names!AT1,Names!AU1)</f>
        <v>Inter Seguros (Managerial, Million)</v>
      </c>
      <c r="C2" s="21" t="str">
        <f>IF('Summary | Sumário'!D$6=Names!B$3,Names!E2,Names!F2)</f>
        <v>4Q19</v>
      </c>
      <c r="D2" s="21" t="str">
        <f>IF('Summary | Sumário'!D$6=Names!B$3,Names!E3,Names!F3)</f>
        <v>4Q20</v>
      </c>
      <c r="E2" s="21" t="str">
        <f>IF('Summary | Sumário'!D$6=Names!B$3,Names!E4,Names!F4)</f>
        <v>1Q21</v>
      </c>
      <c r="F2" s="21" t="str">
        <f>IF('Summary | Sumário'!D$6=Names!B$3,Names!E5,Names!F5)</f>
        <v>2Q21</v>
      </c>
      <c r="G2" s="21" t="str">
        <f>IF('Summary | Sumário'!D$6=Names!B$3,Names!E6,Names!F6)</f>
        <v>3Q21</v>
      </c>
      <c r="H2" s="21" t="str">
        <f>IF('Summary | Sumário'!D$6=Names!B$3,Names!E7,Names!F7)</f>
        <v>4Q21</v>
      </c>
      <c r="I2" s="21" t="str">
        <f>IF('Summary | Sumário'!D$6=Names!B$3,Names!E8,Names!F8)</f>
        <v>1Q22</v>
      </c>
      <c r="J2" s="21" t="str">
        <f>IF('Summary | Sumário'!D$6=Names!B$3,Names!E9,Names!F9)</f>
        <v>2Q22</v>
      </c>
      <c r="K2" s="21" t="str">
        <f>IF('Summary | Sumário'!D$6=Names!B$3,Names!E10,Names!F10)</f>
        <v>3Q22</v>
      </c>
      <c r="L2" s="21" t="str">
        <f>IF('Summary | Sumário'!D$6=Names!B$3,Names!E11,Names!F11)</f>
        <v>4Q22</v>
      </c>
      <c r="M2" s="21" t="str">
        <f>IF('Summary | Sumário'!D$6=Names!B$3,Names!E12,Names!F12)</f>
        <v>1Q23</v>
      </c>
      <c r="N2" s="21" t="str">
        <f>IF('Summary | Sumário'!D$6=Names!B$3,Names!E13,Names!F13)</f>
        <v>2Q23</v>
      </c>
      <c r="O2" s="21" t="str">
        <f>IF('Summary | Sumário'!D$6=Names!B$3,Names!E14,Names!F14)</f>
        <v>3Q23</v>
      </c>
      <c r="P2" s="21" t="str">
        <f>IF('Summary | Sumário'!D$6=Names!B$3,Names!E15,Names!F15)</f>
        <v>4Q23</v>
      </c>
      <c r="Q2" s="21" t="str">
        <f>IF('Summary | Sumário'!D$6=Names!B$3,Names!E16,Names!F16)</f>
        <v>1Q24</v>
      </c>
      <c r="R2" s="21" t="str">
        <f>IF('Summary | Sumário'!D$6=Names!B$3,Names!E17,Names!F17)</f>
        <v>2Q24</v>
      </c>
      <c r="S2" s="21" t="str">
        <f>IF('Summary | Sumário'!D$6=Names!B$3,Names!E18,Names!F18)</f>
        <v>3Q24</v>
      </c>
      <c r="T2" s="21" t="str">
        <f>IF('Summary | Sumário'!D$6=Names!B$3,Names!E19,Names!F19)</f>
        <v>4Q24</v>
      </c>
      <c r="U2" s="21" t="str">
        <f>IF('Summary | Sumário'!D$6=Names!B$3,Names!E20,Names!F20)</f>
        <v>1Q25</v>
      </c>
      <c r="V2" s="21" t="str">
        <f>IF('Summary | Sumário'!D$6=Names!B$3,Names!E21,Names!F21)</f>
        <v>2Q25</v>
      </c>
      <c r="W2" s="268" t="str">
        <f>IF('Summary | Sumário'!E$6=Names!C$3,Names!F21,Names!G21)</f>
        <v>3Q25</v>
      </c>
      <c r="X2" s="321"/>
      <c r="Y2" s="104" t="str">
        <f>IF('Summary | Sumário'!$D$6=Names!$B$3,Names!$I$24,Names!$J$24)</f>
        <v>QoQ Variation</v>
      </c>
      <c r="Z2" s="104" t="str">
        <f>IF('Summary | Sumário'!$D$6=Names!$B$3,Names!$I$25,Names!$J$25)</f>
        <v>YoY Variation</v>
      </c>
      <c r="AA2" s="119"/>
      <c r="AB2" s="120"/>
      <c r="AC2" s="121"/>
      <c r="AE2" s="123"/>
      <c r="AF2" s="124"/>
    </row>
    <row r="3" spans="1:32" s="150" customFormat="1" ht="13" customHeight="1">
      <c r="B3" s="47"/>
      <c r="C3" s="121"/>
      <c r="D3" s="121"/>
      <c r="E3" s="121"/>
      <c r="F3" s="121"/>
      <c r="G3" s="121"/>
      <c r="H3" s="121"/>
      <c r="I3" s="121"/>
      <c r="J3" s="121"/>
      <c r="K3" s="121"/>
      <c r="L3" s="121"/>
      <c r="M3" s="121"/>
      <c r="N3" s="121"/>
      <c r="O3" s="121"/>
      <c r="P3" s="121"/>
      <c r="Q3" s="121"/>
      <c r="R3" s="121"/>
      <c r="S3" s="121"/>
      <c r="T3" s="121"/>
      <c r="U3" s="121"/>
      <c r="V3" s="121"/>
      <c r="W3" s="121"/>
      <c r="X3" s="121"/>
      <c r="Y3" s="121"/>
      <c r="Z3" s="121"/>
      <c r="AA3" s="121"/>
    </row>
    <row r="4" spans="1:32" ht="13" customHeight="1">
      <c r="B4" s="7" t="str">
        <f>IF('Summary | Sumário'!D$6=Names!B$3,Names!AT2,Names!AU2)</f>
        <v>Inter seguros</v>
      </c>
      <c r="C4" s="128"/>
      <c r="D4" s="128"/>
      <c r="E4" s="128"/>
      <c r="F4" s="128"/>
      <c r="G4" s="128"/>
      <c r="H4" s="128"/>
      <c r="I4" s="128"/>
      <c r="J4" s="128"/>
      <c r="K4" s="128"/>
      <c r="L4" s="128"/>
      <c r="M4" s="128"/>
      <c r="N4" s="128"/>
      <c r="O4" s="128"/>
      <c r="P4" s="128"/>
      <c r="Q4" s="128"/>
      <c r="R4" s="128"/>
      <c r="S4" s="128"/>
      <c r="T4" s="128"/>
      <c r="U4" s="128"/>
      <c r="V4" s="265"/>
      <c r="W4" s="265"/>
      <c r="X4" s="265"/>
      <c r="Y4" s="128"/>
      <c r="Z4" s="128"/>
    </row>
    <row r="5" spans="1:32" ht="13" customHeight="1">
      <c r="B5" s="78" t="str">
        <f>IF('Summary | Sumário'!D$6=Names!B$3,Names!AT3,Names!AU3)</f>
        <v>Active contracts</v>
      </c>
      <c r="C5" s="162">
        <v>5.3094000000000002E-2</v>
      </c>
      <c r="D5" s="162">
        <v>0.25492300000000001</v>
      </c>
      <c r="E5" s="162">
        <v>0.36691800000000002</v>
      </c>
      <c r="F5" s="162">
        <v>0.53204200000000001</v>
      </c>
      <c r="G5" s="162">
        <v>0.68269100000000005</v>
      </c>
      <c r="H5" s="162">
        <v>0.83851799999999999</v>
      </c>
      <c r="I5" s="162">
        <v>0.91542800000000002</v>
      </c>
      <c r="J5" s="162">
        <v>1.046513</v>
      </c>
      <c r="K5" s="162">
        <v>1.129281</v>
      </c>
      <c r="L5" s="162">
        <v>1.270999</v>
      </c>
      <c r="M5" s="162">
        <v>1.337496</v>
      </c>
      <c r="N5" s="162">
        <v>1.525682</v>
      </c>
      <c r="O5" s="162">
        <v>1.5860810000000001</v>
      </c>
      <c r="P5" s="162">
        <v>1.710353</v>
      </c>
      <c r="Q5" s="162">
        <v>1.87538</v>
      </c>
      <c r="R5" s="162">
        <v>2.5900970000000001</v>
      </c>
      <c r="S5" s="162">
        <v>3.4083297300000002</v>
      </c>
      <c r="T5" s="162">
        <v>5.2721520000000002</v>
      </c>
      <c r="U5" s="162">
        <v>7.954345</v>
      </c>
      <c r="V5" s="673">
        <v>9.6316039999999994</v>
      </c>
      <c r="W5" s="673">
        <v>10.706182</v>
      </c>
      <c r="X5" s="373"/>
      <c r="Y5" s="382">
        <f>W5/V5-1</f>
        <v>0.11156791745175587</v>
      </c>
      <c r="Z5" s="382">
        <f>W5/S5-1</f>
        <v>2.1411814138064629</v>
      </c>
    </row>
    <row r="6" spans="1:32" ht="13" customHeight="1">
      <c r="B6" s="27" t="str">
        <f>IF('Summary | Sumário'!D$6=Names!B$3,Names!AT10,Names!AU10)</f>
        <v>Inter Seguros gross revenues</v>
      </c>
      <c r="C6" s="153">
        <v>5.8720527600000034</v>
      </c>
      <c r="D6" s="153">
        <v>18.126141979999996</v>
      </c>
      <c r="E6" s="153">
        <f t="shared" ref="E6:T6" si="0">E7-E11</f>
        <v>19.567177999999998</v>
      </c>
      <c r="F6" s="153">
        <f t="shared" si="0"/>
        <v>21.418572999999999</v>
      </c>
      <c r="G6" s="153">
        <f t="shared" si="0"/>
        <v>22.416924999999999</v>
      </c>
      <c r="H6" s="153">
        <f t="shared" si="0"/>
        <v>25.126908</v>
      </c>
      <c r="I6" s="153">
        <f t="shared" si="0"/>
        <v>29.693913999999999</v>
      </c>
      <c r="J6" s="153">
        <f t="shared" si="0"/>
        <v>34.950688</v>
      </c>
      <c r="K6" s="153">
        <f t="shared" si="0"/>
        <v>31.200075999999999</v>
      </c>
      <c r="L6" s="153">
        <f t="shared" si="0"/>
        <v>34.830342999999999</v>
      </c>
      <c r="M6" s="153">
        <f t="shared" si="0"/>
        <v>40.561728000000002</v>
      </c>
      <c r="N6" s="153">
        <f t="shared" si="0"/>
        <v>38.523485999999998</v>
      </c>
      <c r="O6" s="153">
        <f t="shared" si="0"/>
        <v>46.867078279999994</v>
      </c>
      <c r="P6" s="153">
        <f t="shared" si="0"/>
        <v>47.206707720000011</v>
      </c>
      <c r="Q6" s="153">
        <f t="shared" si="0"/>
        <v>52.34994228</v>
      </c>
      <c r="R6" s="153">
        <f t="shared" si="0"/>
        <v>58.088726569999999</v>
      </c>
      <c r="S6" s="153">
        <f t="shared" si="0"/>
        <v>65.382000000000005</v>
      </c>
      <c r="T6" s="153">
        <f t="shared" si="0"/>
        <v>71.415000000000006</v>
      </c>
      <c r="U6" s="153">
        <f>U7-U11</f>
        <v>81.805000000000007</v>
      </c>
      <c r="V6" s="153">
        <f>V7-V11</f>
        <v>82.543999999999997</v>
      </c>
      <c r="W6" s="153">
        <f>W7-W11</f>
        <v>83.194000000000003</v>
      </c>
      <c r="X6" s="373"/>
      <c r="Y6" s="383">
        <f t="shared" ref="Y6:Y11" si="1">W6/V6-1</f>
        <v>7.8745880984687489E-3</v>
      </c>
      <c r="Z6" s="383">
        <f t="shared" ref="Z6:Z11" si="2">W6/S6-1</f>
        <v>0.27242972071824045</v>
      </c>
    </row>
    <row r="7" spans="1:32" ht="13" customHeight="1">
      <c r="B7" s="78" t="str">
        <f>IF('Summary | Sumário'!D$6=Names!B$3,Names!AT4,Names!AU4)</f>
        <v>Inter Seguros net revenues</v>
      </c>
      <c r="C7" s="154">
        <v>5.8720527600000034</v>
      </c>
      <c r="D7" s="154">
        <v>18.126141979999996</v>
      </c>
      <c r="E7" s="154">
        <v>19.567177999999998</v>
      </c>
      <c r="F7" s="154">
        <v>21.418572999999999</v>
      </c>
      <c r="G7" s="154">
        <v>22.416924999999999</v>
      </c>
      <c r="H7" s="154">
        <v>25.126908</v>
      </c>
      <c r="I7" s="154">
        <v>29.693913999999999</v>
      </c>
      <c r="J7" s="154">
        <v>34.950688</v>
      </c>
      <c r="K7" s="154">
        <v>31.200075999999999</v>
      </c>
      <c r="L7" s="154">
        <v>34.830342999999999</v>
      </c>
      <c r="M7" s="154">
        <v>40.561728000000002</v>
      </c>
      <c r="N7" s="154">
        <v>38.523485999999998</v>
      </c>
      <c r="O7" s="154">
        <v>46.867078279999994</v>
      </c>
      <c r="P7" s="154">
        <v>47.206707720000011</v>
      </c>
      <c r="Q7" s="154">
        <v>52.34994228</v>
      </c>
      <c r="R7" s="154">
        <v>58.088726569999999</v>
      </c>
      <c r="S7" s="154">
        <v>23.560331150000007</v>
      </c>
      <c r="T7" s="154">
        <v>54.381999999999998</v>
      </c>
      <c r="U7" s="154">
        <v>60.951000000000001</v>
      </c>
      <c r="V7" s="154">
        <v>58.893000000000001</v>
      </c>
      <c r="W7" s="154">
        <v>58.500999999999998</v>
      </c>
      <c r="X7" s="153"/>
      <c r="Y7" s="382">
        <f t="shared" si="1"/>
        <v>-6.6561390997232905E-3</v>
      </c>
      <c r="Z7" s="382">
        <f t="shared" si="2"/>
        <v>1.4830296156512208</v>
      </c>
    </row>
    <row r="8" spans="1:32" ht="13" customHeight="1">
      <c r="B8" s="75" t="str">
        <f>IF('Summary | Sumário'!D$6=Names!B$3,Names!AT6,Names!AU6)</f>
        <v>Inter Seguros net interest revenues</v>
      </c>
      <c r="C8" s="651">
        <v>5.8720527600000034</v>
      </c>
      <c r="D8" s="651">
        <v>18.126141979999996</v>
      </c>
      <c r="E8" s="651">
        <v>0.88171200000000005</v>
      </c>
      <c r="F8" s="651">
        <v>1.017155</v>
      </c>
      <c r="G8" s="651">
        <v>1.56667</v>
      </c>
      <c r="H8" s="651">
        <v>1.9613780000000001</v>
      </c>
      <c r="I8" s="651">
        <v>1.997323</v>
      </c>
      <c r="J8" s="651">
        <v>-1.007776</v>
      </c>
      <c r="K8" s="651">
        <v>1.2692999999999999E-2</v>
      </c>
      <c r="L8" s="651">
        <v>0.35308</v>
      </c>
      <c r="M8" s="651">
        <v>0.58912100000000001</v>
      </c>
      <c r="N8" s="651">
        <v>0.43939800000000001</v>
      </c>
      <c r="O8" s="651">
        <v>0.48492114999999852</v>
      </c>
      <c r="P8" s="651">
        <v>0.56955985000000153</v>
      </c>
      <c r="Q8" s="651">
        <v>0.97399999999999998</v>
      </c>
      <c r="R8" s="651">
        <v>0.93799999999999994</v>
      </c>
      <c r="S8" s="153">
        <v>0.95399999999999996</v>
      </c>
      <c r="T8" s="153">
        <v>1.2989999999999999</v>
      </c>
      <c r="U8" s="153">
        <v>2.2879999999999998</v>
      </c>
      <c r="V8" s="153">
        <v>3.254</v>
      </c>
      <c r="W8" s="153">
        <v>2.7389999999999999</v>
      </c>
      <c r="X8" s="163"/>
      <c r="Y8" s="383">
        <f t="shared" si="1"/>
        <v>-0.15826674861708667</v>
      </c>
      <c r="Z8" s="383">
        <f t="shared" si="2"/>
        <v>1.8710691823899372</v>
      </c>
    </row>
    <row r="9" spans="1:32" ht="13" customHeight="1">
      <c r="B9" s="79" t="str">
        <f>IF('Summary | Sumário'!D$6=Names!B$3,Names!AT5,Names!AU5)</f>
        <v>Inter Seguros net fee revenues</v>
      </c>
      <c r="C9" s="543">
        <v>0</v>
      </c>
      <c r="D9" s="543">
        <v>0</v>
      </c>
      <c r="E9" s="154">
        <f t="shared" ref="E9:T9" si="3">E7-E8</f>
        <v>18.685465999999998</v>
      </c>
      <c r="F9" s="154">
        <f t="shared" si="3"/>
        <v>20.401418</v>
      </c>
      <c r="G9" s="154">
        <f t="shared" si="3"/>
        <v>20.850255000000001</v>
      </c>
      <c r="H9" s="154">
        <f t="shared" si="3"/>
        <v>23.16553</v>
      </c>
      <c r="I9" s="154">
        <f t="shared" si="3"/>
        <v>27.696590999999998</v>
      </c>
      <c r="J9" s="154">
        <f t="shared" si="3"/>
        <v>35.958463999999999</v>
      </c>
      <c r="K9" s="154">
        <f t="shared" si="3"/>
        <v>31.187383000000001</v>
      </c>
      <c r="L9" s="154">
        <f t="shared" si="3"/>
        <v>34.477263000000001</v>
      </c>
      <c r="M9" s="154">
        <f t="shared" si="3"/>
        <v>39.972607000000004</v>
      </c>
      <c r="N9" s="154">
        <f t="shared" si="3"/>
        <v>38.084088000000001</v>
      </c>
      <c r="O9" s="154">
        <f t="shared" si="3"/>
        <v>46.382157129999996</v>
      </c>
      <c r="P9" s="154">
        <f t="shared" si="3"/>
        <v>46.637147870000007</v>
      </c>
      <c r="Q9" s="154">
        <f t="shared" si="3"/>
        <v>51.375942280000004</v>
      </c>
      <c r="R9" s="154">
        <f t="shared" si="3"/>
        <v>57.150726569999996</v>
      </c>
      <c r="S9" s="154">
        <f t="shared" si="3"/>
        <v>22.606331150000006</v>
      </c>
      <c r="T9" s="154">
        <f t="shared" si="3"/>
        <v>53.082999999999998</v>
      </c>
      <c r="U9" s="154">
        <f>U7-U8</f>
        <v>58.663000000000004</v>
      </c>
      <c r="V9" s="154">
        <f>V7-V8</f>
        <v>55.639000000000003</v>
      </c>
      <c r="W9" s="154">
        <f>W7-W8</f>
        <v>55.762</v>
      </c>
      <c r="X9" s="163"/>
      <c r="Y9" s="382">
        <f t="shared" si="1"/>
        <v>2.2106795593019868E-3</v>
      </c>
      <c r="Z9" s="382">
        <f t="shared" si="2"/>
        <v>1.4666541257845807</v>
      </c>
    </row>
    <row r="10" spans="1:32" ht="13" customHeight="1">
      <c r="B10" s="649" t="str">
        <f>IF('Summary | Sumário'!D$6=Names!B$3,Names!AT13,Names!AU13)</f>
        <v>Inter Seguros gross fee revenues</v>
      </c>
      <c r="C10" s="259">
        <v>0</v>
      </c>
      <c r="D10" s="259">
        <v>0</v>
      </c>
      <c r="E10" s="153">
        <f t="shared" ref="E10:Q10" si="4">E9</f>
        <v>18.685465999999998</v>
      </c>
      <c r="F10" s="153">
        <f t="shared" si="4"/>
        <v>20.401418</v>
      </c>
      <c r="G10" s="153">
        <f t="shared" si="4"/>
        <v>20.850255000000001</v>
      </c>
      <c r="H10" s="153">
        <f t="shared" si="4"/>
        <v>23.16553</v>
      </c>
      <c r="I10" s="153">
        <f t="shared" si="4"/>
        <v>27.696590999999998</v>
      </c>
      <c r="J10" s="153">
        <f t="shared" si="4"/>
        <v>35.958463999999999</v>
      </c>
      <c r="K10" s="153">
        <f t="shared" si="4"/>
        <v>31.187383000000001</v>
      </c>
      <c r="L10" s="153">
        <f t="shared" si="4"/>
        <v>34.477263000000001</v>
      </c>
      <c r="M10" s="153">
        <f t="shared" si="4"/>
        <v>39.972607000000004</v>
      </c>
      <c r="N10" s="153">
        <f t="shared" si="4"/>
        <v>38.084088000000001</v>
      </c>
      <c r="O10" s="153">
        <f t="shared" si="4"/>
        <v>46.382157129999996</v>
      </c>
      <c r="P10" s="153">
        <f t="shared" si="4"/>
        <v>46.637147870000007</v>
      </c>
      <c r="Q10" s="153">
        <f t="shared" si="4"/>
        <v>51.375942280000004</v>
      </c>
      <c r="R10" s="153">
        <f>R9</f>
        <v>57.150726569999996</v>
      </c>
      <c r="S10" s="153">
        <f t="shared" ref="S10:T10" si="5">S9-S11</f>
        <v>64.427999999999997</v>
      </c>
      <c r="T10" s="153">
        <f t="shared" si="5"/>
        <v>70.116000000000014</v>
      </c>
      <c r="U10" s="153">
        <f>U9-U11</f>
        <v>79.51700000000001</v>
      </c>
      <c r="V10" s="153">
        <f>V9-V11</f>
        <v>79.290000000000006</v>
      </c>
      <c r="W10" s="153">
        <f>W9-W11</f>
        <v>80.454999999999998</v>
      </c>
      <c r="X10" s="163"/>
      <c r="Y10" s="383">
        <f t="shared" si="1"/>
        <v>1.4692899482910748E-2</v>
      </c>
      <c r="Z10" s="383">
        <f t="shared" si="2"/>
        <v>0.24875830384304964</v>
      </c>
    </row>
    <row r="11" spans="1:32" ht="13" customHeight="1">
      <c r="B11" s="650" t="str">
        <f>IF('Summary | Sumário'!D$6=Names!B$3,Names!AT14,Names!AU14)</f>
        <v>Expenses from services and comissions</v>
      </c>
      <c r="C11" s="543">
        <v>0</v>
      </c>
      <c r="D11" s="543">
        <v>0</v>
      </c>
      <c r="E11" s="543">
        <v>0</v>
      </c>
      <c r="F11" s="543">
        <v>0</v>
      </c>
      <c r="G11" s="543">
        <v>0</v>
      </c>
      <c r="H11" s="543">
        <v>0</v>
      </c>
      <c r="I11" s="543">
        <v>0</v>
      </c>
      <c r="J11" s="543">
        <v>0</v>
      </c>
      <c r="K11" s="543">
        <v>0</v>
      </c>
      <c r="L11" s="543">
        <v>0</v>
      </c>
      <c r="M11" s="543">
        <v>0</v>
      </c>
      <c r="N11" s="543">
        <v>0</v>
      </c>
      <c r="O11" s="543">
        <v>0</v>
      </c>
      <c r="P11" s="543">
        <v>0</v>
      </c>
      <c r="Q11" s="543">
        <v>0</v>
      </c>
      <c r="R11" s="543">
        <v>0</v>
      </c>
      <c r="S11" s="543">
        <v>-41.821668849999995</v>
      </c>
      <c r="T11" s="543">
        <v>-17.033000000000008</v>
      </c>
      <c r="U11" s="543">
        <v>-20.854000000000006</v>
      </c>
      <c r="V11" s="543">
        <v>-23.651</v>
      </c>
      <c r="W11" s="543">
        <v>-24.693000000000001</v>
      </c>
      <c r="X11" s="163"/>
      <c r="Y11" s="382">
        <f t="shared" si="1"/>
        <v>4.4057333727960835E-2</v>
      </c>
      <c r="Z11" s="382">
        <f t="shared" si="2"/>
        <v>-0.4095644511804315</v>
      </c>
    </row>
    <row r="12" spans="1:32" ht="13" customHeight="1">
      <c r="B12" s="27" t="str">
        <f>IF('Summary | Sumário'!D$6=Names!B$3,Names!AT8,Names!AU8)</f>
        <v>Managerial EBITDA Margin</v>
      </c>
      <c r="C12" s="262">
        <v>0.70227189056318551</v>
      </c>
      <c r="D12" s="262">
        <v>0.89266785681840854</v>
      </c>
      <c r="E12" s="262">
        <v>0.88482599815833041</v>
      </c>
      <c r="F12" s="262">
        <v>0.89893649657256391</v>
      </c>
      <c r="G12" s="262">
        <v>0.92065885943882775</v>
      </c>
      <c r="H12" s="262">
        <v>0.92170299939186384</v>
      </c>
      <c r="I12" s="262">
        <v>0.8973923084485973</v>
      </c>
      <c r="J12" s="262">
        <v>0.93032138452831492</v>
      </c>
      <c r="K12" s="262">
        <v>0.92233340321210788</v>
      </c>
      <c r="L12" s="262">
        <v>0.87840703866079084</v>
      </c>
      <c r="M12" s="262">
        <v>0.93266382663319469</v>
      </c>
      <c r="N12" s="262">
        <v>0.72104143228798501</v>
      </c>
      <c r="O12" s="262">
        <v>0.77176803701130903</v>
      </c>
      <c r="P12" s="262">
        <v>0.72430000000000005</v>
      </c>
      <c r="Q12" s="262">
        <v>0.78800000000000003</v>
      </c>
      <c r="R12" s="262">
        <v>0.79595981616999212</v>
      </c>
      <c r="S12" s="262">
        <v>0.81492759744545018</v>
      </c>
      <c r="T12" s="262">
        <v>0.80472871734256524</v>
      </c>
      <c r="U12" s="262">
        <v>0.80885425053192017</v>
      </c>
      <c r="V12" s="262">
        <v>0.8104674509694737</v>
      </c>
      <c r="W12" s="262">
        <v>0.7982471785930606</v>
      </c>
      <c r="X12" s="262"/>
      <c r="Y12" s="570">
        <f>(W12-V12)*100</f>
        <v>-1.2220272376413099</v>
      </c>
      <c r="Z12" s="570">
        <f>(W12-S12)*100</f>
        <v>-1.6680418852389578</v>
      </c>
    </row>
    <row r="13" spans="1:32" ht="13" customHeight="1">
      <c r="B13" s="78" t="str">
        <f>IF('Summary | Sumário'!D$6=Names!B$3,Names!AT9,Names!AU9)</f>
        <v>Inter Seguros net income</v>
      </c>
      <c r="C13" s="154">
        <v>3.1904390600000023</v>
      </c>
      <c r="D13" s="154">
        <v>13.105405040000003</v>
      </c>
      <c r="E13" s="154">
        <v>13.946809500000006</v>
      </c>
      <c r="F13" s="154">
        <v>15.577624370000001</v>
      </c>
      <c r="G13" s="154">
        <v>16.607872859999997</v>
      </c>
      <c r="H13" s="154">
        <v>18.628638070000008</v>
      </c>
      <c r="I13" s="154">
        <v>14.207677600000006</v>
      </c>
      <c r="J13" s="154">
        <v>18.505050730000004</v>
      </c>
      <c r="K13" s="154">
        <v>15.75805096</v>
      </c>
      <c r="L13" s="154">
        <v>16.689283329999999</v>
      </c>
      <c r="M13" s="154">
        <v>15.789375680000004</v>
      </c>
      <c r="N13" s="154">
        <v>12.835727520000008</v>
      </c>
      <c r="O13" s="154">
        <v>15.535343949999991</v>
      </c>
      <c r="P13" s="154">
        <v>15.226922</v>
      </c>
      <c r="Q13" s="154">
        <v>20.419972569809499</v>
      </c>
      <c r="R13" s="154">
        <v>19.956684169999999</v>
      </c>
      <c r="S13" s="154">
        <v>24.356338290000103</v>
      </c>
      <c r="T13" s="154">
        <v>26.332546999999998</v>
      </c>
      <c r="U13" s="154">
        <v>28.959046999999899</v>
      </c>
      <c r="V13" s="154">
        <v>27.740454970000101</v>
      </c>
      <c r="W13" s="154">
        <v>27.602907990000006</v>
      </c>
      <c r="X13" s="153"/>
      <c r="Y13" s="382">
        <f t="shared" ref="Y13" si="6">W13/V13-1</f>
        <v>-4.9583534281916197E-3</v>
      </c>
      <c r="Z13" s="382">
        <f t="shared" ref="Z13" si="7">W13/S13-1</f>
        <v>0.13329465461287482</v>
      </c>
    </row>
    <row r="15" spans="1:32" ht="13" customHeight="1">
      <c r="B15" s="744" t="str">
        <f>IF('Summary | Sumário'!D$6=Names!B$3,Names!AT12,Names!AU12)</f>
        <v>Note: 3Q24 net fee revenue reflects the reclassification of provisions for canceled sales, moving these amounts from administrative expenses to expenses for services and commissions in 2024.</v>
      </c>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row>
    <row r="16" spans="1:32" ht="13" customHeight="1">
      <c r="B16" s="744"/>
    </row>
    <row r="17" spans="2:26" ht="13" customHeight="1">
      <c r="B17" s="744"/>
    </row>
    <row r="18" spans="2:26" ht="13" customHeight="1">
      <c r="B18" s="744"/>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row>
    <row r="20" spans="2:26" ht="13" customHeight="1">
      <c r="B20" s="164"/>
    </row>
    <row r="21" spans="2:26" ht="13" customHeight="1">
      <c r="B21" s="164"/>
    </row>
    <row r="24" spans="2:26" ht="13" customHeight="1">
      <c r="B24" s="165"/>
    </row>
    <row r="25" spans="2:26" ht="13" customHeight="1">
      <c r="B25" s="165"/>
    </row>
  </sheetData>
  <sheetProtection algorithmName="SHA-512" hashValue="Y1CBASBkMkA7xaJrYTO5zzO/Rr/tmYk6tzM3bWOmuLeNww30gc0wi8CPlaSHs6ffszVO0Btjl3ejd+x5TzN1Jw==" saltValue="5hP2l1DYB6TiY8k3zkXNLQ==" spinCount="100000" sheet="1" formatCells="0" formatColumns="0" formatRows="0" insertColumns="0" insertRows="0" insertHyperlinks="0" deleteColumns="0" deleteRows="0" sort="0" autoFilter="0" pivotTables="0"/>
  <mergeCells count="1">
    <mergeCell ref="B15:B18"/>
  </mergeCells>
  <pageMargins left="0.511811024" right="0.511811024" top="0.78740157499999996" bottom="0.78740157499999996" header="0.31496062000000002" footer="0.31496062000000002"/>
  <pageSetup paperSize="9" orientation="portrait" horizontalDpi="0" verticalDpi="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F3DFB-F311-E54A-98CA-905E81160B0F}">
  <sheetPr codeName="Sheet25">
    <tabColor rgb="FFFFE9D0"/>
  </sheetPr>
  <dimension ref="B1:AF26"/>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145" customWidth="1"/>
    <col min="3" max="22" width="10.83203125" style="116" customWidth="1"/>
    <col min="23" max="23" width="5.83203125" style="116" customWidth="1"/>
    <col min="24" max="25" width="10.83203125" style="116" customWidth="1"/>
    <col min="26" max="16384" width="10.83203125" style="116"/>
  </cols>
  <sheetData>
    <row r="1" spans="2:32" s="150" customFormat="1" ht="13" customHeight="1">
      <c r="C1" s="151"/>
      <c r="D1" s="151"/>
      <c r="E1" s="151"/>
      <c r="F1" s="151"/>
      <c r="G1" s="151"/>
      <c r="H1" s="151"/>
      <c r="I1" s="151"/>
      <c r="J1" s="151"/>
      <c r="K1" s="151"/>
      <c r="L1" s="151"/>
      <c r="M1" s="151"/>
      <c r="N1" s="151"/>
      <c r="O1" s="151"/>
      <c r="P1" s="151"/>
      <c r="Q1" s="151"/>
      <c r="R1" s="151"/>
      <c r="S1" s="151"/>
      <c r="T1" s="151"/>
      <c r="U1" s="151"/>
      <c r="V1" s="151"/>
      <c r="W1" s="151"/>
      <c r="X1" s="151"/>
      <c r="Y1" s="151"/>
      <c r="Z1" s="151"/>
    </row>
    <row r="2" spans="2:32" s="122" customFormat="1" ht="13" customHeight="1">
      <c r="B2" s="267" t="str">
        <f>IF('Summary | Sumário'!D$6=Names!B$3,Names!AV1,Names!AW1)</f>
        <v>Inter Shop (Managerial, Million)</v>
      </c>
      <c r="C2" s="20" t="str">
        <f>IF('Summary | Sumário'!G$3=Names!A$3,Names!D3,Names!E3)</f>
        <v>4Q20</v>
      </c>
      <c r="D2" s="20" t="str">
        <f>IF('Summary | Sumário'!G$3=Names!A$3,Names!D4,Names!E4)</f>
        <v>1Q21</v>
      </c>
      <c r="E2" s="20" t="str">
        <f>IF('Summary | Sumário'!G$3=Names!A$3,Names!D5,Names!E5)</f>
        <v>2Q21</v>
      </c>
      <c r="F2" s="20" t="str">
        <f>IF('Summary | Sumário'!G$3=Names!A$3,Names!D6,Names!E6)</f>
        <v>3Q21</v>
      </c>
      <c r="G2" s="20" t="str">
        <f>IF('Summary | Sumário'!G$3=Names!A$3,Names!D7,Names!E7)</f>
        <v>4Q21</v>
      </c>
      <c r="H2" s="21" t="str">
        <f>IF('Summary | Sumário'!G$3=Names!A$3,Names!D8,Names!E8)</f>
        <v>1Q22</v>
      </c>
      <c r="I2" s="21" t="str">
        <f>IF('Summary | Sumário'!G$3=Names!A$3,Names!D9,Names!E9)</f>
        <v>2Q22</v>
      </c>
      <c r="J2" s="21" t="str">
        <f>IF('Summary | Sumário'!G$3=Names!A$3,Names!D10,Names!E10)</f>
        <v>3Q22</v>
      </c>
      <c r="K2" s="21" t="str">
        <f>IF('Summary | Sumário'!G$3=Names!A$3,Names!D11,Names!E11)</f>
        <v>4Q22</v>
      </c>
      <c r="L2" s="21" t="str">
        <f>IF('Summary | Sumário'!G$3=Names!A$3,Names!D12,Names!E12)</f>
        <v>1Q23</v>
      </c>
      <c r="M2" s="21" t="str">
        <f>IF('Summary | Sumário'!G$3=Names!A$3,Names!D13,Names!E13)</f>
        <v>2Q23</v>
      </c>
      <c r="N2" s="21" t="str">
        <f>IF('Summary | Sumário'!G$3=Names!A$3,Names!D14,Names!E14)</f>
        <v>3Q23</v>
      </c>
      <c r="O2" s="21" t="str">
        <f>IF('Summary | Sumário'!G$3=Names!A$3,Names!D15,Names!E15)</f>
        <v>4Q23</v>
      </c>
      <c r="P2" s="21" t="str">
        <f>IF('Summary | Sumário'!G$3=Names!A$3,Names!D16,Names!E16)</f>
        <v>1Q24</v>
      </c>
      <c r="Q2" s="21" t="str">
        <f>IF('Summary | Sumário'!G$3=Names!A$3,Names!D17,Names!E17)</f>
        <v>2Q24</v>
      </c>
      <c r="R2" s="21" t="str">
        <f>IF('Summary | Sumário'!G$3=Names!A$3,Names!D18,Names!E18)</f>
        <v>3Q24</v>
      </c>
      <c r="S2" s="21" t="str">
        <f>IF('Summary | Sumário'!G$3=Names!A$3,Names!D19,Names!E19)</f>
        <v>4Q24</v>
      </c>
      <c r="T2" s="21" t="str">
        <f>IF('Summary | Sumário'!G$3=Names!A$3,Names!D20,Names!E20)</f>
        <v>1Q25</v>
      </c>
      <c r="U2" s="21" t="str">
        <f>IF('Summary | Sumário'!G$3=Names!A$3,Names!D21,Names!E21)</f>
        <v>2Q25</v>
      </c>
      <c r="V2" s="268" t="str">
        <f>IF('Summary | Sumário'!E$6=Names!C$3,Names!F21,Names!G21)</f>
        <v>3Q25</v>
      </c>
      <c r="W2" s="321"/>
      <c r="X2" s="104" t="str">
        <f>IF('Summary | Sumário'!$D$6=Names!$B$3,Names!$I$24,Names!$J$24)</f>
        <v>QoQ Variation</v>
      </c>
      <c r="Y2" s="104" t="str">
        <f>IF('Summary | Sumário'!$D$6=Names!$B$3,Names!$I$25,Names!$J$25)</f>
        <v>YoY Variation</v>
      </c>
      <c r="Z2" s="120"/>
      <c r="AA2" s="119"/>
      <c r="AB2" s="120"/>
      <c r="AC2" s="121"/>
      <c r="AE2" s="123"/>
      <c r="AF2" s="124"/>
    </row>
    <row r="3" spans="2:32" s="150" customFormat="1" ht="13" customHeight="1">
      <c r="B3" s="47"/>
      <c r="C3" s="152"/>
      <c r="D3" s="121"/>
      <c r="E3" s="121"/>
      <c r="F3" s="121"/>
      <c r="G3" s="121"/>
      <c r="H3" s="121"/>
      <c r="I3" s="121"/>
      <c r="J3" s="121"/>
      <c r="K3" s="121"/>
      <c r="L3" s="121"/>
      <c r="M3" s="121"/>
      <c r="N3" s="121"/>
      <c r="O3" s="121"/>
      <c r="P3" s="121"/>
      <c r="Q3" s="121"/>
      <c r="R3" s="121"/>
      <c r="S3" s="121"/>
      <c r="T3" s="121"/>
      <c r="U3" s="121"/>
      <c r="V3" s="121"/>
      <c r="W3" s="121"/>
      <c r="X3" s="121"/>
      <c r="Y3" s="121"/>
      <c r="Z3" s="121"/>
    </row>
    <row r="4" spans="2:32" ht="13" customHeight="1">
      <c r="B4" s="304" t="str">
        <f>IF('Summary | Sumário'!D$6=Names!B$3,Names!AV2,Names!AW2)</f>
        <v>Inter shop</v>
      </c>
      <c r="C4" s="265"/>
      <c r="D4" s="265"/>
      <c r="E4" s="265"/>
      <c r="F4" s="265"/>
      <c r="G4" s="265"/>
      <c r="H4" s="265"/>
      <c r="I4" s="265"/>
      <c r="J4" s="265"/>
      <c r="K4" s="265"/>
      <c r="L4" s="265"/>
      <c r="M4" s="265"/>
      <c r="N4" s="265"/>
      <c r="O4" s="265"/>
      <c r="P4" s="265"/>
      <c r="Q4" s="265"/>
      <c r="R4" s="265"/>
      <c r="S4" s="265"/>
      <c r="T4" s="265"/>
      <c r="U4" s="265"/>
      <c r="V4" s="265"/>
      <c r="W4" s="265"/>
      <c r="X4" s="265"/>
      <c r="Y4" s="265"/>
    </row>
    <row r="5" spans="2:32" ht="13" customHeight="1">
      <c r="B5" s="300" t="str">
        <f>IF('Summary | Sumário'!D$6=Names!B$3,Names!AV3,Names!AW3)</f>
        <v>Gross merchandise volume</v>
      </c>
      <c r="C5" s="305">
        <v>632.08809299999996</v>
      </c>
      <c r="D5" s="305">
        <v>675.86323200000004</v>
      </c>
      <c r="E5" s="305">
        <v>774.37923499999999</v>
      </c>
      <c r="F5" s="305">
        <v>946.37195599999995</v>
      </c>
      <c r="G5" s="305">
        <v>1125.0433519999999</v>
      </c>
      <c r="H5" s="305">
        <v>1053.0667530000001</v>
      </c>
      <c r="I5" s="305">
        <v>990.06993699999998</v>
      </c>
      <c r="J5" s="305">
        <v>938.66564000000005</v>
      </c>
      <c r="K5" s="305">
        <v>1003.4261218400001</v>
      </c>
      <c r="L5" s="305">
        <v>829.25831872000003</v>
      </c>
      <c r="M5" s="305">
        <v>755.63938086500002</v>
      </c>
      <c r="N5" s="305">
        <v>869.35878100000002</v>
      </c>
      <c r="O5" s="305">
        <v>1049.8873619999999</v>
      </c>
      <c r="P5" s="305">
        <v>993.72802863999993</v>
      </c>
      <c r="Q5" s="305">
        <v>1136.3548290000001</v>
      </c>
      <c r="R5" s="305">
        <v>1381.38672453</v>
      </c>
      <c r="S5" s="305">
        <v>1468.9165743599999</v>
      </c>
      <c r="T5" s="305">
        <v>1282.482403</v>
      </c>
      <c r="U5" s="305">
        <v>1236.6965090000001</v>
      </c>
      <c r="V5" s="305">
        <v>1402.1078505799999</v>
      </c>
      <c r="W5" s="374"/>
      <c r="X5" s="384">
        <f>V5/U5-1</f>
        <v>0.13375257419765196</v>
      </c>
      <c r="Y5" s="384">
        <f>V5/R5-1</f>
        <v>1.5000235402616857E-2</v>
      </c>
    </row>
    <row r="6" spans="2:32" ht="13" customHeight="1">
      <c r="B6" s="102" t="str">
        <f>IF('Summary | Sumário'!D$6=Names!B$3,Names!AV4,Names!AW4)</f>
        <v>Inter Shop net revenues</v>
      </c>
      <c r="C6" s="153"/>
      <c r="D6" s="153">
        <v>5.9970829900000018</v>
      </c>
      <c r="E6" s="153">
        <v>6.3313360000000003</v>
      </c>
      <c r="F6" s="153">
        <v>4.424766909997202</v>
      </c>
      <c r="G6" s="153">
        <v>16.210006369999991</v>
      </c>
      <c r="H6" s="153">
        <v>29.681559900000003</v>
      </c>
      <c r="I6" s="153">
        <v>43.648439909999993</v>
      </c>
      <c r="J6" s="153">
        <v>47.710828999999997</v>
      </c>
      <c r="K6" s="153">
        <v>58.844120670000002</v>
      </c>
      <c r="L6" s="153">
        <v>53.754698779999998</v>
      </c>
      <c r="M6" s="153">
        <v>67.33451371000001</v>
      </c>
      <c r="N6" s="153">
        <v>75.930407540000019</v>
      </c>
      <c r="O6" s="153">
        <v>57.560787499999954</v>
      </c>
      <c r="P6" s="153">
        <v>61.454999999999998</v>
      </c>
      <c r="Q6" s="153">
        <v>67.531000000000006</v>
      </c>
      <c r="R6" s="153">
        <v>85.676000000000002</v>
      </c>
      <c r="S6" s="153">
        <v>107.43899999999999</v>
      </c>
      <c r="T6" s="153">
        <v>92.855000000000004</v>
      </c>
      <c r="U6" s="153">
        <v>93.981999999999999</v>
      </c>
      <c r="V6" s="153">
        <v>102.154</v>
      </c>
      <c r="W6" s="153"/>
      <c r="X6" s="383">
        <f t="shared" ref="X6:X9" si="0">V6/U6-1</f>
        <v>8.6952820752909998E-2</v>
      </c>
      <c r="Y6" s="383">
        <f t="shared" ref="Y6:Y9" si="1">V6/R6-1</f>
        <v>0.19232924039404264</v>
      </c>
    </row>
    <row r="7" spans="2:32" ht="13" customHeight="1">
      <c r="B7" s="103" t="str">
        <f>IF('Summary | Sumário'!D$6=Names!B$3,Names!AV5,Names!AW5)</f>
        <v>Inter Shop net fee revenues</v>
      </c>
      <c r="C7" s="154"/>
      <c r="D7" s="543">
        <v>4.6300749900000024</v>
      </c>
      <c r="E7" s="543">
        <v>3.5682109999999998</v>
      </c>
      <c r="F7" s="543">
        <v>3.0701239099972026</v>
      </c>
      <c r="G7" s="543">
        <v>11.784099369999989</v>
      </c>
      <c r="H7" s="543">
        <v>25.117762640000002</v>
      </c>
      <c r="I7" s="543">
        <v>33.097321000000001</v>
      </c>
      <c r="J7" s="543">
        <v>27.487579</v>
      </c>
      <c r="K7" s="543">
        <v>39.960256999999999</v>
      </c>
      <c r="L7" s="543">
        <v>40.103501000000001</v>
      </c>
      <c r="M7" s="543">
        <v>55.416983999999999</v>
      </c>
      <c r="N7" s="543">
        <v>52.432689730000021</v>
      </c>
      <c r="O7" s="543">
        <v>33.09131547999997</v>
      </c>
      <c r="P7" s="543">
        <v>40.066000000000003</v>
      </c>
      <c r="Q7" s="543">
        <v>39.219000000000001</v>
      </c>
      <c r="R7" s="543">
        <v>57.280999999999999</v>
      </c>
      <c r="S7" s="543">
        <v>69.825000000000003</v>
      </c>
      <c r="T7" s="543">
        <v>56.884999999999998</v>
      </c>
      <c r="U7" s="543">
        <v>58.66</v>
      </c>
      <c r="V7" s="543">
        <v>65.751999999999995</v>
      </c>
      <c r="W7" s="153"/>
      <c r="X7" s="382">
        <f t="shared" si="0"/>
        <v>0.12090010228435055</v>
      </c>
      <c r="Y7" s="382">
        <f t="shared" si="1"/>
        <v>0.14788498804140993</v>
      </c>
    </row>
    <row r="8" spans="2:32" ht="13" customHeight="1">
      <c r="B8" s="607" t="str">
        <f>IF('Summary | Sumário'!D$6=Names!B$3,Names!AV6,Names!AW6)</f>
        <v>Inter Shop net interest revenues</v>
      </c>
      <c r="C8" s="383"/>
      <c r="D8" s="259">
        <v>1.367008</v>
      </c>
      <c r="E8" s="259">
        <v>2.7631250000000001</v>
      </c>
      <c r="F8" s="259">
        <v>1.354643</v>
      </c>
      <c r="G8" s="259">
        <v>4.4259069999999996</v>
      </c>
      <c r="H8" s="259">
        <v>4.5637972600000021</v>
      </c>
      <c r="I8" s="259">
        <v>10.551118909999996</v>
      </c>
      <c r="J8" s="259">
        <v>20.22325</v>
      </c>
      <c r="K8" s="259">
        <v>18.88386367</v>
      </c>
      <c r="L8" s="259">
        <v>13.65119778</v>
      </c>
      <c r="M8" s="259">
        <v>11.917529710000009</v>
      </c>
      <c r="N8" s="259">
        <v>23.497717810000001</v>
      </c>
      <c r="O8" s="259">
        <v>24.469472019999987</v>
      </c>
      <c r="P8" s="259">
        <v>21.388999999999999</v>
      </c>
      <c r="Q8" s="259">
        <v>28.312000000000001</v>
      </c>
      <c r="R8" s="259">
        <v>28.395</v>
      </c>
      <c r="S8" s="259">
        <v>37.613999999999997</v>
      </c>
      <c r="T8" s="259">
        <v>35.97</v>
      </c>
      <c r="U8" s="259">
        <v>35.322000000000003</v>
      </c>
      <c r="V8" s="259">
        <v>36.402000000000001</v>
      </c>
      <c r="W8" s="383"/>
      <c r="X8" s="383">
        <f t="shared" si="0"/>
        <v>3.0575845082384756E-2</v>
      </c>
      <c r="Y8" s="383">
        <f t="shared" si="1"/>
        <v>0.28198626518753311</v>
      </c>
    </row>
    <row r="9" spans="2:32" ht="13" customHeight="1">
      <c r="B9" s="101" t="str">
        <f>IF('Summary | Sumário'!D$6=Names!B$3,Names!AV7,Names!AW7)</f>
        <v>Cashback expenses</v>
      </c>
      <c r="C9" s="154"/>
      <c r="D9" s="154">
        <v>-34.052095009999995</v>
      </c>
      <c r="E9" s="154">
        <v>-49.743684000000002</v>
      </c>
      <c r="F9" s="154">
        <v>-56.019543090002799</v>
      </c>
      <c r="G9" s="154">
        <v>-74.182447630000013</v>
      </c>
      <c r="H9" s="154">
        <v>-69.803044360000001</v>
      </c>
      <c r="I9" s="154">
        <v>-68.918199999999999</v>
      </c>
      <c r="J9" s="154">
        <v>-54.220694999999999</v>
      </c>
      <c r="K9" s="154">
        <v>-53.289734000000003</v>
      </c>
      <c r="L9" s="154">
        <v>-41.187900999999997</v>
      </c>
      <c r="M9" s="154">
        <v>-36.990116999999998</v>
      </c>
      <c r="N9" s="154">
        <v>-48.073910379999994</v>
      </c>
      <c r="O9" s="154">
        <v>-61.597868429999977</v>
      </c>
      <c r="P9" s="154">
        <v>-63.086409609999997</v>
      </c>
      <c r="Q9" s="154">
        <v>-90.809057850000002</v>
      </c>
      <c r="R9" s="154">
        <v>-105.75800392000001</v>
      </c>
      <c r="S9" s="154">
        <v>-103.71176801</v>
      </c>
      <c r="T9" s="154">
        <v>-66.471597310000007</v>
      </c>
      <c r="U9" s="154">
        <v>-57.007750600000001</v>
      </c>
      <c r="V9" s="154">
        <v>-73.187133090000003</v>
      </c>
      <c r="W9" s="153"/>
      <c r="X9" s="382">
        <f t="shared" si="0"/>
        <v>0.28381022439429504</v>
      </c>
      <c r="Y9" s="382">
        <f t="shared" si="1"/>
        <v>-0.30797546873745874</v>
      </c>
      <c r="Z9" s="153"/>
    </row>
    <row r="10" spans="2:32" ht="13" customHeight="1">
      <c r="B10" s="102" t="str">
        <f>IF('Summary | Sumário'!D$6=Names!B$3,Names!AV8,Names!AW8)</f>
        <v>Take rate</v>
      </c>
      <c r="C10" s="155"/>
      <c r="D10" s="155">
        <v>5.9256334867466204E-2</v>
      </c>
      <c r="E10" s="155">
        <v>7.2412866287665884E-2</v>
      </c>
      <c r="F10" s="155">
        <v>6.3869506716447963E-2</v>
      </c>
      <c r="G10" s="155">
        <v>8.0345751867524476E-2</v>
      </c>
      <c r="H10" s="155">
        <v>9.4474809860415385E-2</v>
      </c>
      <c r="I10" s="155">
        <v>0.11369565694630318</v>
      </c>
      <c r="J10" s="155">
        <v>0.10859194334630168</v>
      </c>
      <c r="K10" s="155">
        <v>0.11175098119269428</v>
      </c>
      <c r="L10" s="155">
        <v>0.11449098264886683</v>
      </c>
      <c r="M10" s="155">
        <v>0.13806140118131072</v>
      </c>
      <c r="N10" s="155">
        <v>0.14264101219218031</v>
      </c>
      <c r="O10" s="155">
        <v>0.11349861012042541</v>
      </c>
      <c r="P10" s="155">
        <v>0.1253278126113096</v>
      </c>
      <c r="Q10" s="155">
        <v>0.13875771944292939</v>
      </c>
      <c r="R10" s="155">
        <v>0.13906075624503961</v>
      </c>
      <c r="S10" s="155">
        <v>0.14551457294511727</v>
      </c>
      <c r="T10" s="155">
        <v>0.12627900151391006</v>
      </c>
      <c r="U10" s="155">
        <v>0.12403103710871718</v>
      </c>
      <c r="V10" s="155">
        <v>0.12716791580351156</v>
      </c>
      <c r="W10" s="155"/>
      <c r="X10" s="347">
        <f>(V10-U10)*100</f>
        <v>0.31368786947943705</v>
      </c>
      <c r="Y10" s="347">
        <f>(V10-R10)*100</f>
        <v>-1.1892840441528052</v>
      </c>
    </row>
    <row r="11" spans="2:32" ht="13" customHeight="1">
      <c r="B11" s="101" t="str">
        <f>IF('Summary | Sumário'!D$6=Names!B$3,Names!AV9,Names!AW9)</f>
        <v>Net take rate</v>
      </c>
      <c r="C11" s="156"/>
      <c r="D11" s="156">
        <v>8.8732197670430488E-3</v>
      </c>
      <c r="E11" s="156">
        <v>8.176014688720314E-3</v>
      </c>
      <c r="F11" s="156">
        <v>4.6755051034048211E-3</v>
      </c>
      <c r="G11" s="156">
        <v>1.4408339324154319E-2</v>
      </c>
      <c r="H11" s="156">
        <v>2.8185829450452702E-2</v>
      </c>
      <c r="I11" s="156">
        <v>4.4086218840518131E-2</v>
      </c>
      <c r="J11" s="156">
        <v>5.0828353533852587E-2</v>
      </c>
      <c r="K11" s="156">
        <v>5.8643201915150968E-2</v>
      </c>
      <c r="L11" s="156">
        <v>6.482262229575575E-2</v>
      </c>
      <c r="M11" s="156">
        <v>8.9109323064820209E-2</v>
      </c>
      <c r="N11" s="156">
        <v>8.7340703515594934E-2</v>
      </c>
      <c r="O11" s="156">
        <v>5.4825679004601599E-2</v>
      </c>
      <c r="P11" s="156">
        <v>6.1842997066417132E-2</v>
      </c>
      <c r="Q11" s="156">
        <v>5.8844473639316039E-2</v>
      </c>
      <c r="R11" s="156">
        <v>6.2501453884592439E-2</v>
      </c>
      <c r="S11" s="156">
        <v>7.3141662280453656E-2</v>
      </c>
      <c r="T11" s="156">
        <v>7.2402552879316198E-2</v>
      </c>
      <c r="U11" s="156">
        <v>7.5994392574128308E-2</v>
      </c>
      <c r="V11" s="156">
        <v>7.285744813264021E-2</v>
      </c>
      <c r="W11" s="155"/>
      <c r="X11" s="346">
        <f>(V11-U11)*100</f>
        <v>-0.31369444414880987</v>
      </c>
      <c r="Y11" s="346">
        <f>(V11-R11)*100</f>
        <v>1.0355994248047771</v>
      </c>
    </row>
    <row r="12" spans="2:32" ht="13" customHeight="1">
      <c r="B12" s="138"/>
      <c r="K12" s="157"/>
      <c r="L12" s="157"/>
      <c r="M12" s="157"/>
      <c r="N12" s="157"/>
      <c r="O12" s="157"/>
      <c r="P12" s="157"/>
      <c r="Q12" s="157"/>
      <c r="R12" s="157"/>
      <c r="S12" s="157"/>
      <c r="T12" s="157"/>
      <c r="U12" s="157"/>
      <c r="V12" s="157"/>
      <c r="W12" s="157"/>
      <c r="X12" s="157"/>
      <c r="Y12" s="157"/>
    </row>
    <row r="13" spans="2:32" ht="13" customHeight="1">
      <c r="B13" s="138"/>
      <c r="L13" s="158"/>
      <c r="M13" s="158"/>
      <c r="N13" s="158"/>
      <c r="O13" s="158"/>
      <c r="P13" s="158"/>
      <c r="Q13" s="158"/>
      <c r="R13" s="158"/>
      <c r="S13" s="158"/>
      <c r="T13" s="158"/>
      <c r="U13" s="158"/>
      <c r="V13" s="158"/>
      <c r="W13" s="158"/>
      <c r="X13" s="158"/>
      <c r="Y13" s="158"/>
    </row>
    <row r="14" spans="2:32" ht="13" customHeight="1">
      <c r="B14" s="138"/>
      <c r="K14" s="159"/>
      <c r="L14" s="159"/>
      <c r="M14" s="159"/>
      <c r="N14" s="160"/>
      <c r="O14" s="160"/>
      <c r="P14" s="160"/>
      <c r="Q14" s="160"/>
      <c r="R14" s="160"/>
      <c r="S14" s="160"/>
      <c r="T14" s="160"/>
      <c r="U14" s="160"/>
      <c r="V14" s="160"/>
      <c r="W14" s="160"/>
      <c r="X14" s="160"/>
      <c r="Y14" s="160"/>
    </row>
    <row r="15" spans="2:32" ht="13" customHeight="1">
      <c r="B15" s="138"/>
      <c r="K15" s="159"/>
      <c r="L15" s="159"/>
      <c r="M15" s="159"/>
      <c r="N15" s="159"/>
      <c r="O15" s="159"/>
      <c r="P15" s="159"/>
      <c r="Q15" s="159"/>
      <c r="R15" s="159"/>
      <c r="S15" s="159"/>
      <c r="T15" s="160"/>
      <c r="U15" s="160"/>
      <c r="V15" s="160"/>
      <c r="W15" s="159"/>
      <c r="X15" s="159"/>
      <c r="Y15" s="159"/>
    </row>
    <row r="16" spans="2:32" ht="13" customHeight="1">
      <c r="K16" s="159"/>
      <c r="L16" s="159"/>
      <c r="M16" s="159"/>
      <c r="N16" s="159"/>
      <c r="O16" s="159"/>
      <c r="P16" s="159"/>
      <c r="Q16" s="159"/>
      <c r="R16" s="159"/>
      <c r="S16" s="159"/>
      <c r="T16" s="159"/>
      <c r="U16" s="159"/>
      <c r="V16" s="159"/>
      <c r="W16" s="159"/>
      <c r="X16" s="159"/>
      <c r="Y16" s="159"/>
    </row>
    <row r="17" spans="2:25" ht="13" customHeight="1">
      <c r="B17" s="138"/>
      <c r="K17" s="159"/>
      <c r="L17" s="159"/>
      <c r="M17" s="159"/>
      <c r="N17" s="159"/>
      <c r="O17" s="159"/>
      <c r="P17" s="159"/>
      <c r="Q17" s="159"/>
      <c r="R17" s="159"/>
      <c r="S17" s="159"/>
      <c r="T17" s="608"/>
      <c r="U17" s="608"/>
      <c r="V17" s="608"/>
      <c r="W17" s="159"/>
      <c r="X17" s="159"/>
      <c r="Y17" s="159"/>
    </row>
    <row r="18" spans="2:25" ht="13" customHeight="1">
      <c r="B18" s="138"/>
      <c r="K18" s="160"/>
      <c r="L18" s="160"/>
      <c r="M18" s="160"/>
      <c r="N18" s="160"/>
      <c r="O18" s="160"/>
      <c r="P18" s="160"/>
      <c r="Q18" s="160"/>
      <c r="R18" s="160"/>
      <c r="S18" s="160"/>
      <c r="T18" s="608"/>
      <c r="U18" s="608"/>
      <c r="V18" s="608"/>
      <c r="W18" s="160"/>
      <c r="X18" s="160"/>
      <c r="Y18" s="160"/>
    </row>
    <row r="19" spans="2:25" ht="13" customHeight="1">
      <c r="K19" s="159"/>
      <c r="L19" s="159"/>
      <c r="M19" s="159"/>
      <c r="N19" s="159"/>
      <c r="O19" s="159"/>
      <c r="P19" s="159"/>
      <c r="Q19" s="159"/>
      <c r="R19" s="159"/>
      <c r="S19" s="159"/>
      <c r="T19" s="159"/>
      <c r="U19" s="159"/>
      <c r="V19" s="159"/>
      <c r="W19" s="159"/>
      <c r="X19" s="159"/>
      <c r="Y19" s="159"/>
    </row>
    <row r="20" spans="2:25" ht="13" customHeight="1">
      <c r="B20" s="161"/>
      <c r="K20" s="159"/>
      <c r="L20" s="159"/>
      <c r="M20" s="159"/>
      <c r="N20" s="159"/>
      <c r="O20" s="159"/>
      <c r="P20" s="159"/>
      <c r="Q20" s="159"/>
      <c r="R20" s="159"/>
      <c r="S20" s="159"/>
      <c r="T20" s="159"/>
      <c r="U20" s="159"/>
      <c r="V20" s="159"/>
      <c r="W20" s="159"/>
      <c r="X20" s="159"/>
      <c r="Y20" s="159"/>
    </row>
    <row r="21" spans="2:25" ht="13" customHeight="1">
      <c r="B21" s="161"/>
    </row>
    <row r="22" spans="2:25" ht="13" customHeight="1">
      <c r="B22" s="161"/>
    </row>
    <row r="23" spans="2:25" ht="13" customHeight="1">
      <c r="B23" s="161"/>
    </row>
    <row r="24" spans="2:25" ht="13" customHeight="1">
      <c r="B24" s="161"/>
    </row>
    <row r="25" spans="2:25" ht="13" customHeight="1">
      <c r="B25" s="161"/>
    </row>
    <row r="26" spans="2:25" ht="13" customHeight="1">
      <c r="B26" s="161"/>
    </row>
  </sheetData>
  <sheetProtection algorithmName="SHA-512" hashValue="BnC388v9XNXMpjeTzM7T4gK4NHuCWE/IreA7HDK+o/HfyomNF+7TmswQbyAKIz//buVDXlcatlfiSjT879FQIw==" saltValue="H0X6Bl9ywTNmzN62uM7idA==" spinCount="100000" sheet="1"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6F58E-83FA-3A40-847C-12A48BFA15B9}">
  <sheetPr codeName="Sheet26">
    <tabColor rgb="FFFFE9D0"/>
  </sheetPr>
  <dimension ref="A1:AF41"/>
  <sheetViews>
    <sheetView showGridLines="0" zoomScaleNormal="100" workbookViewId="0">
      <pane xSplit="2" ySplit="3" topLeftCell="H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116" customWidth="1"/>
    <col min="3" max="12" width="10.83203125" style="116" customWidth="1"/>
    <col min="13" max="23" width="10.83203125" style="116"/>
    <col min="24" max="24" width="5.83203125" style="116" customWidth="1"/>
    <col min="25" max="16384" width="10.83203125" style="116"/>
  </cols>
  <sheetData>
    <row r="1" spans="1:32"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c r="AA1" s="117"/>
    </row>
    <row r="2" spans="1:32" s="122" customFormat="1" ht="13" customHeight="1">
      <c r="B2" s="267" t="str">
        <f>IF('Summary | Sumário'!D$6=Names!B$3,Names!AX1,Names!AY1)</f>
        <v>Digital Account (Managerial, Million)</v>
      </c>
      <c r="C2" s="20" t="str">
        <f>IF('Summary | Sumário'!D$6=Names!B$3,Names!E2,Names!F2)</f>
        <v>4Q19</v>
      </c>
      <c r="D2" s="20" t="str">
        <f>IF('Summary | Sumário'!D$6=Names!B$3,Names!E3,Names!F3)</f>
        <v>4Q20</v>
      </c>
      <c r="E2" s="20" t="str">
        <f>IF('Summary | Sumário'!D$6=Names!B$3,Names!E4,Names!F4)</f>
        <v>1Q21</v>
      </c>
      <c r="F2" s="20" t="str">
        <f>IF('Summary | Sumário'!D$6=Names!B$3,Names!E5,Names!F5)</f>
        <v>2Q21</v>
      </c>
      <c r="G2" s="20" t="str">
        <f>IF('Summary | Sumário'!D$6=Names!B$3,Names!E6,Names!F6)</f>
        <v>3Q21</v>
      </c>
      <c r="H2" s="21" t="str">
        <f>IF('Summary | Sumário'!D$6=Names!B$3,Names!E7,Names!F7)</f>
        <v>4Q21</v>
      </c>
      <c r="I2" s="21" t="str">
        <f>IF('Summary | Sumário'!D$6=Names!B$3,Names!E8,Names!F8)</f>
        <v>1Q22</v>
      </c>
      <c r="J2" s="21" t="str">
        <f>IF('Summary | Sumário'!D$6=Names!B$3,Names!E9,Names!F9)</f>
        <v>2Q22</v>
      </c>
      <c r="K2" s="21" t="str">
        <f>IF('Summary | Sumário'!D$6=Names!B$3,Names!E10,Names!F10)</f>
        <v>3Q22</v>
      </c>
      <c r="L2" s="21" t="str">
        <f>IF('Summary | Sumário'!D$6=Names!B$3,Names!E11,Names!F11)</f>
        <v>4Q22</v>
      </c>
      <c r="M2" s="21" t="str">
        <f>IF('Summary | Sumário'!D$6=Names!B$3,Names!E12,Names!F12)</f>
        <v>1Q23</v>
      </c>
      <c r="N2" s="21" t="str">
        <f>IF('Summary | Sumário'!D$6=Names!B$3,Names!E13,Names!F13)</f>
        <v>2Q23</v>
      </c>
      <c r="O2" s="21" t="str">
        <f>IF('Summary | Sumário'!D$6=Names!B$3,Names!E14,Names!F14)</f>
        <v>3Q23</v>
      </c>
      <c r="P2" s="21" t="str">
        <f>IF('Summary | Sumário'!D$6=Names!B$3,Names!E15,Names!F15)</f>
        <v>4Q23</v>
      </c>
      <c r="Q2" s="21" t="str">
        <f>IF('Summary | Sumário'!D$6=Names!B$3,Names!E16,Names!F16)</f>
        <v>1Q24</v>
      </c>
      <c r="R2" s="21" t="str">
        <f>IF('Summary | Sumário'!D$6=Names!B$3,Names!E17,Names!F17)</f>
        <v>2Q24</v>
      </c>
      <c r="S2" s="21" t="str">
        <f>IF('Summary | Sumário'!D$6=Names!B$3,Names!E18,Names!F18)</f>
        <v>3Q24</v>
      </c>
      <c r="T2" s="21" t="str">
        <f>IF('Summary | Sumário'!D$6=Names!B$3,Names!E19,Names!F19)</f>
        <v>4Q24</v>
      </c>
      <c r="U2" s="21" t="str">
        <f>IF('Summary | Sumário'!D$6=Names!B$3,Names!E20,Names!F20)</f>
        <v>1Q25</v>
      </c>
      <c r="V2" s="21" t="str">
        <f>IF('Summary | Sumário'!D$6=Names!B$3,Names!E21,Names!F21)</f>
        <v>2Q25</v>
      </c>
      <c r="W2" s="268" t="str">
        <f>IF('Summary | Sumário'!E$6=Names!C$3,Names!F21,Names!G21)</f>
        <v>3Q25</v>
      </c>
      <c r="X2" s="321"/>
      <c r="Y2" s="104" t="str">
        <f>IF('Summary | Sumário'!$D$6=Names!$B$3,Names!$I$24,Names!$J$24)</f>
        <v>QoQ Variation</v>
      </c>
      <c r="Z2" s="104" t="str">
        <f>IF('Summary | Sumário'!$D$6=Names!$B$3,Names!$I$25,Names!$J$25)</f>
        <v>YoY Variation</v>
      </c>
      <c r="AA2" s="119"/>
      <c r="AB2" s="120"/>
      <c r="AC2" s="121"/>
      <c r="AE2" s="123"/>
      <c r="AF2" s="124"/>
    </row>
    <row r="3" spans="1:32" ht="13" customHeight="1">
      <c r="B3" s="125"/>
      <c r="C3" s="126"/>
      <c r="D3" s="126"/>
      <c r="E3" s="127"/>
      <c r="F3" s="127"/>
      <c r="G3" s="127"/>
      <c r="H3" s="127"/>
      <c r="I3" s="127"/>
      <c r="J3" s="127"/>
      <c r="K3" s="127"/>
      <c r="L3" s="127"/>
      <c r="M3" s="127"/>
      <c r="N3" s="127"/>
      <c r="O3" s="127"/>
      <c r="P3" s="127"/>
      <c r="Q3" s="127"/>
      <c r="R3" s="127"/>
      <c r="S3" s="127"/>
      <c r="T3" s="127"/>
      <c r="U3" s="127"/>
      <c r="V3" s="127"/>
      <c r="W3" s="127"/>
      <c r="X3" s="127"/>
      <c r="Y3" s="127"/>
      <c r="Z3" s="127"/>
      <c r="AA3" s="127"/>
    </row>
    <row r="4" spans="1:32" ht="13" customHeight="1">
      <c r="A4" s="142"/>
      <c r="B4" s="3" t="str">
        <f>IF('Summary | Sumário'!D$6=Names!B$3,Names!AX3,Names!AY3)</f>
        <v>Number of cards used (in thousands)</v>
      </c>
      <c r="C4" s="148"/>
      <c r="D4" s="148"/>
      <c r="E4" s="148"/>
      <c r="F4" s="148"/>
      <c r="G4" s="148"/>
      <c r="H4" s="148"/>
      <c r="I4" s="148"/>
      <c r="J4" s="148"/>
      <c r="K4" s="148"/>
      <c r="L4" s="148"/>
      <c r="M4" s="148"/>
      <c r="N4" s="148"/>
      <c r="O4" s="148"/>
      <c r="P4" s="148"/>
      <c r="Q4" s="148"/>
      <c r="R4" s="148"/>
      <c r="S4" s="148"/>
      <c r="T4" s="148"/>
      <c r="U4" s="148"/>
      <c r="V4" s="148"/>
      <c r="W4" s="148"/>
      <c r="X4" s="148"/>
      <c r="Y4" s="148"/>
      <c r="Z4" s="148"/>
    </row>
    <row r="5" spans="1:32" s="145" customFormat="1" ht="13" customHeight="1">
      <c r="A5" s="143"/>
      <c r="B5" s="306" t="str">
        <f>IF('Summary | Sumário'!D$6=Names!B$3,Names!AX4,Names!AY4)</f>
        <v>Debit cards used</v>
      </c>
      <c r="C5" s="307">
        <v>1030.944</v>
      </c>
      <c r="D5" s="307">
        <v>2339.578</v>
      </c>
      <c r="E5" s="307">
        <v>2685.1979999999999</v>
      </c>
      <c r="F5" s="307">
        <v>3221.4879999999998</v>
      </c>
      <c r="G5" s="307">
        <v>3711.5329999999999</v>
      </c>
      <c r="H5" s="307">
        <v>4176.7030000000004</v>
      </c>
      <c r="I5" s="307">
        <v>4479.1809999999996</v>
      </c>
      <c r="J5" s="307">
        <v>4970.62</v>
      </c>
      <c r="K5" s="307">
        <v>5442.5770000000002</v>
      </c>
      <c r="L5" s="307">
        <v>5872.8680000000004</v>
      </c>
      <c r="M5" s="307">
        <v>6147.3360000000002</v>
      </c>
      <c r="N5" s="307">
        <v>6463.7240000000002</v>
      </c>
      <c r="O5" s="307">
        <v>6801.2349999999997</v>
      </c>
      <c r="P5" s="307">
        <v>7108.0410000000002</v>
      </c>
      <c r="Q5" s="307">
        <v>7316.8689999999997</v>
      </c>
      <c r="R5" s="307">
        <v>7621.01</v>
      </c>
      <c r="S5" s="307">
        <v>7952.6880000000001</v>
      </c>
      <c r="T5" s="307">
        <v>8228.6579999999994</v>
      </c>
      <c r="U5" s="307">
        <v>8333.8559999999998</v>
      </c>
      <c r="V5" s="307">
        <v>8518.7579999999998</v>
      </c>
      <c r="W5" s="307">
        <v>8711.5229999999992</v>
      </c>
      <c r="X5" s="146"/>
      <c r="Y5" s="357">
        <f>W5/V5-1</f>
        <v>2.2628298632265231E-2</v>
      </c>
      <c r="Z5" s="357">
        <f>W5/S5-1</f>
        <v>9.5418681079906476E-2</v>
      </c>
    </row>
    <row r="6" spans="1:32" s="145" customFormat="1" ht="13" customHeight="1">
      <c r="A6" s="143"/>
      <c r="B6" s="56" t="str">
        <f>IF('Summary | Sumário'!D$6=Names!B$3,Names!AX5,Names!AY5)</f>
        <v>Credit cards used</v>
      </c>
      <c r="C6" s="146">
        <v>588.38300000000004</v>
      </c>
      <c r="D6" s="146">
        <v>1295.857</v>
      </c>
      <c r="E6" s="146">
        <v>1590.048</v>
      </c>
      <c r="F6" s="146">
        <v>1798.817</v>
      </c>
      <c r="G6" s="146">
        <v>2193.192</v>
      </c>
      <c r="H6" s="146">
        <v>2729.027</v>
      </c>
      <c r="I6" s="146">
        <v>2902.91</v>
      </c>
      <c r="J6" s="146">
        <v>3119.3670000000002</v>
      </c>
      <c r="K6" s="146">
        <v>3310.114</v>
      </c>
      <c r="L6" s="146">
        <v>3476.1680000000001</v>
      </c>
      <c r="M6" s="146">
        <v>3591.0430000000001</v>
      </c>
      <c r="N6" s="146">
        <v>3525.779</v>
      </c>
      <c r="O6" s="146">
        <v>3637.0610000000001</v>
      </c>
      <c r="P6" s="146">
        <v>3775.3009999999999</v>
      </c>
      <c r="Q6" s="146">
        <v>3844.9839999999999</v>
      </c>
      <c r="R6" s="146">
        <v>3961.181</v>
      </c>
      <c r="S6" s="146">
        <v>4106.3919999999998</v>
      </c>
      <c r="T6" s="146">
        <v>4324.0039999999999</v>
      </c>
      <c r="U6" s="146">
        <v>4543.3180000000002</v>
      </c>
      <c r="V6" s="146">
        <v>4588.1819999999998</v>
      </c>
      <c r="W6" s="146">
        <v>4805.8360000000002</v>
      </c>
      <c r="X6" s="146"/>
      <c r="Y6" s="358">
        <f>W6/V6-1</f>
        <v>4.7437961266575845E-2</v>
      </c>
      <c r="Z6" s="358">
        <f>W6/S6-1</f>
        <v>0.17033054808211201</v>
      </c>
    </row>
    <row r="7" spans="1:32" s="145" customFormat="1" ht="13" customHeight="1">
      <c r="A7" s="143"/>
      <c r="B7" s="223"/>
      <c r="C7" s="573"/>
      <c r="D7" s="573"/>
      <c r="E7" s="573"/>
      <c r="F7" s="573"/>
      <c r="G7" s="573"/>
      <c r="H7" s="573"/>
      <c r="I7" s="573"/>
      <c r="J7" s="573"/>
      <c r="K7" s="573"/>
      <c r="L7" s="573"/>
      <c r="M7" s="573"/>
      <c r="N7" s="573"/>
      <c r="O7" s="573"/>
      <c r="P7" s="573"/>
      <c r="Q7" s="573"/>
      <c r="R7" s="573"/>
      <c r="S7" s="573"/>
      <c r="T7" s="573"/>
      <c r="U7" s="573"/>
      <c r="V7" s="573"/>
      <c r="W7" s="573"/>
      <c r="X7" s="148"/>
      <c r="Y7" s="266"/>
      <c r="Z7" s="266"/>
    </row>
    <row r="8" spans="1:32" ht="13" customHeight="1">
      <c r="A8" s="142"/>
      <c r="B8" s="3" t="str">
        <f>IF('Summary | Sumário'!D$6=Names!B$3,Names!AX8,Names!AY8)</f>
        <v>Cards + PIX TPV (in million)</v>
      </c>
      <c r="C8" s="148"/>
      <c r="D8" s="148"/>
      <c r="E8" s="148"/>
      <c r="F8" s="148"/>
      <c r="G8" s="148"/>
      <c r="H8" s="148"/>
      <c r="I8" s="148"/>
      <c r="J8" s="148"/>
      <c r="K8" s="148"/>
      <c r="L8" s="148"/>
      <c r="M8" s="148"/>
      <c r="N8" s="148"/>
      <c r="O8" s="148"/>
      <c r="P8" s="148"/>
      <c r="Q8" s="148"/>
      <c r="R8" s="148"/>
      <c r="S8" s="148"/>
      <c r="T8" s="148"/>
      <c r="U8" s="148"/>
      <c r="V8" s="148"/>
      <c r="W8" s="148"/>
      <c r="X8" s="148"/>
      <c r="Y8" s="148"/>
      <c r="Z8" s="148"/>
      <c r="AA8" s="145"/>
    </row>
    <row r="9" spans="1:32" s="145" customFormat="1" ht="13" customHeight="1">
      <c r="A9" s="568" t="s">
        <v>1050</v>
      </c>
      <c r="B9" s="306" t="str">
        <f>IF('Summary | Sumário'!D$6=Names!B$3,Names!AX9,Names!AY9)</f>
        <v>Debit TPV</v>
      </c>
      <c r="C9" s="307">
        <v>1890.0661843600001</v>
      </c>
      <c r="D9" s="307">
        <v>5032.0947420000002</v>
      </c>
      <c r="E9" s="307">
        <v>4700.4723899999999</v>
      </c>
      <c r="F9" s="307">
        <v>5866.0523949999997</v>
      </c>
      <c r="G9" s="307">
        <v>7076.1946120000011</v>
      </c>
      <c r="H9" s="307">
        <v>8263.4268090000005</v>
      </c>
      <c r="I9" s="307">
        <v>7695.0063590000009</v>
      </c>
      <c r="J9" s="307">
        <v>8681.7274649999999</v>
      </c>
      <c r="K9" s="307">
        <v>9265.8454089999996</v>
      </c>
      <c r="L9" s="307">
        <v>10533.758581980001</v>
      </c>
      <c r="M9" s="307">
        <v>9913.266527050002</v>
      </c>
      <c r="N9" s="307">
        <v>10401.555399300003</v>
      </c>
      <c r="O9" s="307">
        <v>10856.98690217</v>
      </c>
      <c r="P9" s="307">
        <v>12156.573075690001</v>
      </c>
      <c r="Q9" s="307">
        <v>11260.217286679999</v>
      </c>
      <c r="R9" s="307">
        <v>12007.981544899998</v>
      </c>
      <c r="S9" s="307">
        <v>12609.98808239</v>
      </c>
      <c r="T9" s="307">
        <v>13681.221431990001</v>
      </c>
      <c r="U9" s="307">
        <v>13241.644639572856</v>
      </c>
      <c r="V9" s="307">
        <v>13936.934033919999</v>
      </c>
      <c r="W9" s="307">
        <v>14409.959978539999</v>
      </c>
      <c r="X9" s="146"/>
      <c r="Y9" s="357">
        <f t="shared" ref="Y9:Y12" si="0">W9/V9-1</f>
        <v>3.3940459463231987E-2</v>
      </c>
      <c r="Z9" s="357">
        <f t="shared" ref="Z9:Z12" si="1">W9/S9-1</f>
        <v>0.14274176029267482</v>
      </c>
      <c r="AA9" s="569"/>
    </row>
    <row r="10" spans="1:32" s="145" customFormat="1" ht="13" customHeight="1">
      <c r="A10" s="568"/>
      <c r="B10" s="56" t="str">
        <f>IF('Summary | Sumário'!D$6=Names!B$3,Names!AX10,Names!AY10)</f>
        <v>Credit TPV</v>
      </c>
      <c r="C10" s="146">
        <v>994.89999999999986</v>
      </c>
      <c r="D10" s="146">
        <v>2285.6983910000004</v>
      </c>
      <c r="E10" s="146">
        <v>2881.7517969999999</v>
      </c>
      <c r="F10" s="146">
        <v>3569.863468</v>
      </c>
      <c r="G10" s="146">
        <v>4539.470362</v>
      </c>
      <c r="H10" s="146">
        <v>5963.1811199999993</v>
      </c>
      <c r="I10" s="146">
        <v>6388.2015880000008</v>
      </c>
      <c r="J10" s="146">
        <v>7361.6602919999996</v>
      </c>
      <c r="K10" s="146">
        <v>7971.5047679999998</v>
      </c>
      <c r="L10" s="146">
        <v>8589.4409414799993</v>
      </c>
      <c r="M10" s="146">
        <v>8572.7250050000002</v>
      </c>
      <c r="N10" s="146">
        <v>9241.1768100399986</v>
      </c>
      <c r="O10" s="146">
        <v>10330.36308718</v>
      </c>
      <c r="P10" s="146">
        <v>11685.45036375</v>
      </c>
      <c r="Q10" s="146">
        <v>11892.135028350001</v>
      </c>
      <c r="R10" s="146">
        <v>12315.349123649999</v>
      </c>
      <c r="S10" s="146">
        <v>12928.677802909999</v>
      </c>
      <c r="T10" s="146">
        <v>14051.685465590001</v>
      </c>
      <c r="U10" s="146">
        <v>13683.437230899401</v>
      </c>
      <c r="V10" s="146">
        <v>14621.135723289999</v>
      </c>
      <c r="W10" s="146">
        <v>15579.583589569998</v>
      </c>
      <c r="X10" s="146"/>
      <c r="Y10" s="358">
        <f t="shared" si="0"/>
        <v>6.5552217311907413E-2</v>
      </c>
      <c r="Z10" s="358">
        <f t="shared" si="1"/>
        <v>0.20504074949283146</v>
      </c>
    </row>
    <row r="11" spans="1:32" s="145" customFormat="1" ht="13" customHeight="1">
      <c r="A11" s="143"/>
      <c r="B11" s="61" t="str">
        <f>IF('Summary | Sumário'!D$6=Names!B$3,Names!AX11,Names!AY11)</f>
        <v>PIX TPV</v>
      </c>
      <c r="C11" s="237">
        <v>0</v>
      </c>
      <c r="D11" s="144">
        <v>7496.17</v>
      </c>
      <c r="E11" s="144">
        <v>36808.78</v>
      </c>
      <c r="F11" s="144">
        <v>57865.009999999995</v>
      </c>
      <c r="G11" s="144">
        <v>80102.45</v>
      </c>
      <c r="H11" s="144">
        <v>94401.95</v>
      </c>
      <c r="I11" s="144">
        <v>97072.540000000008</v>
      </c>
      <c r="J11" s="144">
        <v>117925.45999999999</v>
      </c>
      <c r="K11" s="144">
        <v>138199.15000000002</v>
      </c>
      <c r="L11" s="144">
        <v>158392.04999999999</v>
      </c>
      <c r="M11" s="144">
        <v>162875.34000000003</v>
      </c>
      <c r="N11" s="144">
        <v>177349.25</v>
      </c>
      <c r="O11" s="144">
        <v>198231.50999999998</v>
      </c>
      <c r="P11" s="144">
        <v>229637.61</v>
      </c>
      <c r="Q11" s="144">
        <v>233956.64</v>
      </c>
      <c r="R11" s="144">
        <v>265864.09000000003</v>
      </c>
      <c r="S11" s="144">
        <v>294171.92</v>
      </c>
      <c r="T11" s="144">
        <v>336584.84</v>
      </c>
      <c r="U11" s="144">
        <v>315015.89</v>
      </c>
      <c r="V11" s="144">
        <v>345741.87</v>
      </c>
      <c r="W11" s="144">
        <v>382644.86</v>
      </c>
      <c r="X11" s="146"/>
      <c r="Y11" s="359">
        <f t="shared" si="0"/>
        <v>0.10673566959072667</v>
      </c>
      <c r="Z11" s="359">
        <f t="shared" si="1"/>
        <v>0.30075249874291199</v>
      </c>
      <c r="AA11" s="569"/>
    </row>
    <row r="12" spans="1:32" ht="13" customHeight="1">
      <c r="B12" s="287" t="str">
        <f>IF('Summary | Sumário'!D$6=Names!B$3,Names!AX12,Names!AY12)</f>
        <v>Cards + PIX TPV</v>
      </c>
      <c r="C12" s="675">
        <f>SUM(C9:C11)</f>
        <v>2884.9661843599997</v>
      </c>
      <c r="D12" s="675">
        <f t="shared" ref="D12:U12" si="2">SUM(D9:D11)</f>
        <v>14813.963133000001</v>
      </c>
      <c r="E12" s="675">
        <f t="shared" si="2"/>
        <v>44391.004186999999</v>
      </c>
      <c r="F12" s="675">
        <f t="shared" si="2"/>
        <v>67300.925862999997</v>
      </c>
      <c r="G12" s="675">
        <f t="shared" si="2"/>
        <v>91718.114973999996</v>
      </c>
      <c r="H12" s="675">
        <f t="shared" si="2"/>
        <v>108628.557929</v>
      </c>
      <c r="I12" s="675">
        <f t="shared" si="2"/>
        <v>111155.74794700001</v>
      </c>
      <c r="J12" s="675">
        <f t="shared" si="2"/>
        <v>133968.84775699998</v>
      </c>
      <c r="K12" s="675">
        <f t="shared" si="2"/>
        <v>155436.50017700001</v>
      </c>
      <c r="L12" s="675">
        <f t="shared" si="2"/>
        <v>177515.24952345999</v>
      </c>
      <c r="M12" s="675">
        <f t="shared" si="2"/>
        <v>181361.33153205004</v>
      </c>
      <c r="N12" s="675">
        <f t="shared" si="2"/>
        <v>196991.98220934</v>
      </c>
      <c r="O12" s="675">
        <f t="shared" si="2"/>
        <v>219418.85998934996</v>
      </c>
      <c r="P12" s="675">
        <f t="shared" si="2"/>
        <v>253479.63343943999</v>
      </c>
      <c r="Q12" s="675">
        <f t="shared" si="2"/>
        <v>257108.99231503002</v>
      </c>
      <c r="R12" s="675">
        <f t="shared" si="2"/>
        <v>290187.42066855001</v>
      </c>
      <c r="S12" s="675">
        <f t="shared" si="2"/>
        <v>319710.58588529995</v>
      </c>
      <c r="T12" s="675">
        <f t="shared" si="2"/>
        <v>364317.74689758004</v>
      </c>
      <c r="U12" s="675">
        <f t="shared" si="2"/>
        <v>341940.97187047225</v>
      </c>
      <c r="V12" s="675">
        <f t="shared" ref="V12:W12" si="3">SUM(V9:V11)</f>
        <v>374299.93975720997</v>
      </c>
      <c r="W12" s="675">
        <f t="shared" si="3"/>
        <v>412634.40356810996</v>
      </c>
      <c r="X12" s="676"/>
      <c r="Y12" s="677">
        <f t="shared" si="0"/>
        <v>0.10241643061915973</v>
      </c>
      <c r="Z12" s="677">
        <f t="shared" si="1"/>
        <v>0.29064979949130487</v>
      </c>
    </row>
    <row r="13" spans="1:32" ht="13" customHeight="1">
      <c r="B13" s="138"/>
    </row>
    <row r="14" spans="1:32" ht="13" customHeight="1">
      <c r="B14" s="138"/>
    </row>
    <row r="15" spans="1:32" ht="13" customHeight="1">
      <c r="B15" s="138"/>
    </row>
    <row r="16" spans="1:32" ht="13" customHeight="1">
      <c r="B16" s="138"/>
    </row>
    <row r="17" spans="2:8" ht="13" customHeight="1">
      <c r="B17" s="138"/>
      <c r="H17" s="678"/>
    </row>
    <row r="18" spans="2:8" ht="13" customHeight="1">
      <c r="B18" s="138"/>
    </row>
    <row r="19" spans="2:8" ht="13" customHeight="1">
      <c r="B19" s="138"/>
    </row>
    <row r="20" spans="2:8" ht="13" customHeight="1">
      <c r="B20" s="138"/>
    </row>
    <row r="21" spans="2:8" ht="13" customHeight="1">
      <c r="B21" s="138"/>
    </row>
    <row r="22" spans="2:8" ht="13" customHeight="1">
      <c r="B22" s="138"/>
    </row>
    <row r="23" spans="2:8" ht="13" customHeight="1">
      <c r="B23" s="138"/>
    </row>
    <row r="24" spans="2:8" ht="13" customHeight="1">
      <c r="B24" s="138"/>
    </row>
    <row r="25" spans="2:8" ht="13" customHeight="1">
      <c r="B25" s="138"/>
    </row>
    <row r="26" spans="2:8" ht="13" customHeight="1">
      <c r="B26" s="137"/>
    </row>
    <row r="27" spans="2:8" ht="13" customHeight="1">
      <c r="B27" s="137"/>
    </row>
    <row r="28" spans="2:8" ht="13" customHeight="1">
      <c r="B28" s="137"/>
    </row>
    <row r="29" spans="2:8" ht="13" customHeight="1">
      <c r="B29" s="137"/>
    </row>
    <row r="30" spans="2:8" ht="13" customHeight="1">
      <c r="B30" s="137"/>
    </row>
    <row r="32" spans="2:8" ht="13" customHeight="1">
      <c r="B32" s="138"/>
    </row>
    <row r="33" spans="2:2" ht="13" customHeight="1">
      <c r="B33" s="139"/>
    </row>
    <row r="35" spans="2:2" ht="13" customHeight="1">
      <c r="B35" s="745"/>
    </row>
    <row r="36" spans="2:2" ht="13" customHeight="1">
      <c r="B36" s="745"/>
    </row>
    <row r="37" spans="2:2" ht="13" customHeight="1">
      <c r="B37" s="745"/>
    </row>
    <row r="38" spans="2:2" ht="13" customHeight="1">
      <c r="B38" s="745"/>
    </row>
    <row r="39" spans="2:2" ht="13" customHeight="1">
      <c r="B39" s="745"/>
    </row>
    <row r="40" spans="2:2" ht="13" customHeight="1">
      <c r="B40" s="745"/>
    </row>
    <row r="41" spans="2:2" ht="13" customHeight="1">
      <c r="B41" s="745"/>
    </row>
  </sheetData>
  <sheetProtection algorithmName="SHA-512" hashValue="V+TGgYigwMi9vME0srHRn96IAq6QCOf6ymRL/8JjbuzJ8uQDcl0zL5CRGP0n5FLqXev/soTUTyTItGN8JnBLgw==" saltValue="Fo9APs7QzM8jp48Ept8x/Q==" spinCount="100000" sheet="1" formatCells="0" formatColumns="0" formatRows="0" insertColumns="0" insertRows="0" insertHyperlinks="0" deleteColumns="0" deleteRows="0" sort="0" autoFilter="0" pivotTables="0"/>
  <mergeCells count="1">
    <mergeCell ref="B35:B41"/>
  </mergeCells>
  <pageMargins left="0.511811024" right="0.511811024" top="0.78740157499999996" bottom="0.78740157499999996" header="0.31496062000000002" footer="0.31496062000000002"/>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0CD10-39BD-0543-84EB-DF1D3923D995}">
  <sheetPr codeName="Sheet27">
    <tabColor rgb="FFFFE9D0"/>
  </sheetPr>
  <dimension ref="B1:AF23"/>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116" customWidth="1"/>
    <col min="3" max="12" width="10.83203125" style="117" customWidth="1"/>
    <col min="13" max="23" width="10.83203125" style="116"/>
    <col min="24" max="24" width="5.83203125" style="116" customWidth="1"/>
    <col min="25" max="16384" width="10.83203125" style="116"/>
  </cols>
  <sheetData>
    <row r="1" spans="2:32" ht="13" customHeight="1">
      <c r="M1" s="117"/>
      <c r="N1" s="117"/>
      <c r="O1" s="117"/>
      <c r="P1" s="117"/>
      <c r="Q1" s="117"/>
      <c r="R1" s="117"/>
      <c r="S1" s="117"/>
      <c r="T1" s="117"/>
      <c r="U1" s="117"/>
      <c r="V1" s="117"/>
      <c r="W1" s="117"/>
      <c r="X1" s="117"/>
      <c r="Y1" s="117"/>
      <c r="Z1" s="117"/>
      <c r="AA1" s="117"/>
    </row>
    <row r="2" spans="2:32" s="122" customFormat="1" ht="13" customHeight="1">
      <c r="B2" s="267" t="str">
        <f>IF('Summary | Sumário'!D$6=Names!B$3,Names!AZ1,Names!BA1)</f>
        <v>Operational KPIs</v>
      </c>
      <c r="C2" s="20" t="str">
        <f>IF('Summary | Sumário'!D$6=Names!B$3,Names!E2,Names!F2)</f>
        <v>4Q19</v>
      </c>
      <c r="D2" s="20" t="str">
        <f>IF('Summary | Sumário'!D$6=Names!B$3,Names!E3,Names!F3)</f>
        <v>4Q20</v>
      </c>
      <c r="E2" s="20" t="str">
        <f>IF('Summary | Sumário'!D$6=Names!B$3,Names!E4,Names!F4)</f>
        <v>1Q21</v>
      </c>
      <c r="F2" s="20" t="str">
        <f>IF('Summary | Sumário'!D$6=Names!B$3,Names!E5,Names!F5)</f>
        <v>2Q21</v>
      </c>
      <c r="G2" s="20" t="str">
        <f>IF('Summary | Sumário'!D$6=Names!B$3,Names!E6,Names!F6)</f>
        <v>3Q21</v>
      </c>
      <c r="H2" s="21" t="str">
        <f>IF('Summary | Sumário'!D$6=Names!B$3,Names!E7,Names!F7)</f>
        <v>4Q21</v>
      </c>
      <c r="I2" s="21" t="str">
        <f>IF('Summary | Sumário'!D$6=Names!B$3,Names!E8,Names!F8)</f>
        <v>1Q22</v>
      </c>
      <c r="J2" s="21" t="str">
        <f>IF('Summary | Sumário'!D$6=Names!B$3,Names!E9,Names!F9)</f>
        <v>2Q22</v>
      </c>
      <c r="K2" s="21" t="str">
        <f>IF('Summary | Sumário'!D$6=Names!B$3,Names!E10,Names!F10)</f>
        <v>3Q22</v>
      </c>
      <c r="L2" s="21" t="str">
        <f>IF('Summary | Sumário'!D$6=Names!B$3,Names!E11,Names!F11)</f>
        <v>4Q22</v>
      </c>
      <c r="M2" s="21" t="str">
        <f>IF('Summary | Sumário'!D$6=Names!B$3,Names!E12,Names!F12)</f>
        <v>1Q23</v>
      </c>
      <c r="N2" s="21" t="str">
        <f>IF('Summary | Sumário'!D$6=Names!B$3,Names!E13,Names!F13)</f>
        <v>2Q23</v>
      </c>
      <c r="O2" s="21" t="str">
        <f>IF('Summary | Sumário'!D$6=Names!B$3,Names!E14,Names!F14)</f>
        <v>3Q23</v>
      </c>
      <c r="P2" s="21" t="str">
        <f>IF('Summary | Sumário'!D$6=Names!B$3,Names!E15,Names!F15)</f>
        <v>4Q23</v>
      </c>
      <c r="Q2" s="21" t="str">
        <f>IF('Summary | Sumário'!D$6=Names!B$3,Names!E16,Names!F16)</f>
        <v>1Q24</v>
      </c>
      <c r="R2" s="21" t="str">
        <f>IF('Summary | Sumário'!D$6=Names!B$3,Names!E17,Names!F17)</f>
        <v>2Q24</v>
      </c>
      <c r="S2" s="21" t="str">
        <f>IF('Summary | Sumário'!D$6=Names!B$3,Names!E18,Names!F18)</f>
        <v>3Q24</v>
      </c>
      <c r="T2" s="21" t="str">
        <f>IF('Summary | Sumário'!D$6=Names!B$3,Names!E19,Names!F19)</f>
        <v>4Q24</v>
      </c>
      <c r="U2" s="21" t="str">
        <f>IF('Summary | Sumário'!D$6=Names!B$3,Names!E20,Names!F20)</f>
        <v>1Q25</v>
      </c>
      <c r="V2" s="21" t="str">
        <f>IF('Summary | Sumário'!D$6=Names!B$3,Names!E21,Names!F21)</f>
        <v>2Q25</v>
      </c>
      <c r="W2" s="268" t="str">
        <f>IF('Summary | Sumário'!E$6=Names!C$3,Names!F21,Names!G21)</f>
        <v>3Q25</v>
      </c>
      <c r="X2" s="321"/>
      <c r="Y2" s="104" t="str">
        <f>IF('Summary | Sumário'!$D$6=Names!$B$3,Names!$I$24,Names!$J$24)</f>
        <v>QoQ Variation</v>
      </c>
      <c r="Z2" s="104" t="str">
        <f>IF('Summary | Sumário'!$D$6=Names!$B$3,Names!$I$25,Names!$J$25)</f>
        <v>YoY Variation</v>
      </c>
      <c r="AA2" s="119"/>
      <c r="AB2" s="120"/>
      <c r="AC2" s="121"/>
      <c r="AE2" s="123"/>
      <c r="AF2" s="124"/>
    </row>
    <row r="3" spans="2:32" ht="13" customHeight="1">
      <c r="B3" s="14"/>
      <c r="C3" s="126"/>
      <c r="D3" s="126"/>
      <c r="E3" s="127"/>
      <c r="F3" s="127"/>
      <c r="G3" s="127"/>
      <c r="H3" s="127"/>
      <c r="I3" s="127"/>
      <c r="J3" s="127"/>
      <c r="K3" s="127"/>
      <c r="L3" s="127"/>
      <c r="M3" s="127"/>
      <c r="N3" s="127"/>
      <c r="O3" s="127"/>
      <c r="P3" s="127"/>
      <c r="Q3" s="127"/>
      <c r="R3" s="127"/>
      <c r="S3" s="127"/>
      <c r="T3" s="127"/>
      <c r="U3" s="127"/>
      <c r="V3" s="127"/>
      <c r="W3" s="127"/>
      <c r="X3" s="127"/>
      <c r="Y3" s="127"/>
      <c r="Z3" s="127"/>
      <c r="AA3" s="127"/>
    </row>
    <row r="4" spans="2:32" ht="13" customHeight="1">
      <c r="B4" s="304" t="str">
        <f>IF('Summary | Sumário'!D$6=Names!B$3,Names!AZ2,Names!BA2)</f>
        <v>Operational KPIs</v>
      </c>
      <c r="C4" s="265"/>
      <c r="D4" s="265"/>
      <c r="E4" s="265"/>
      <c r="F4" s="265"/>
      <c r="G4" s="265"/>
      <c r="H4" s="265"/>
      <c r="I4" s="265"/>
      <c r="J4" s="265"/>
      <c r="K4" s="265"/>
      <c r="L4" s="265"/>
      <c r="M4" s="265"/>
      <c r="N4" s="265"/>
      <c r="O4" s="265"/>
      <c r="P4" s="265"/>
      <c r="Q4" s="265"/>
      <c r="R4" s="265"/>
      <c r="S4" s="265"/>
      <c r="T4" s="265"/>
      <c r="U4" s="265"/>
      <c r="V4" s="265"/>
      <c r="W4" s="265"/>
      <c r="X4" s="265"/>
      <c r="Y4" s="265"/>
      <c r="Z4" s="265"/>
      <c r="AA4" s="129"/>
    </row>
    <row r="5" spans="2:32" ht="13" customHeight="1">
      <c r="B5" s="300" t="str">
        <f>IF('Summary | Sumário'!D$6=Names!B$3,Names!AZ5,Names!BA5)</f>
        <v>Total clients (million)</v>
      </c>
      <c r="C5" s="308">
        <v>4.0590010000000003</v>
      </c>
      <c r="D5" s="308">
        <v>8.4555279999999993</v>
      </c>
      <c r="E5" s="308">
        <v>10.18338</v>
      </c>
      <c r="F5" s="308">
        <v>11.976032999999999</v>
      </c>
      <c r="G5" s="308">
        <v>13.905602</v>
      </c>
      <c r="H5" s="308">
        <v>16.348920827116658</v>
      </c>
      <c r="I5" s="308">
        <v>18.574000000000002</v>
      </c>
      <c r="J5" s="308">
        <v>20.724375999999999</v>
      </c>
      <c r="K5" s="308">
        <v>22.766031999999999</v>
      </c>
      <c r="L5" s="308">
        <v>24.662092999999999</v>
      </c>
      <c r="M5" s="308">
        <v>26.288263000000001</v>
      </c>
      <c r="N5" s="308">
        <v>27.774601000000001</v>
      </c>
      <c r="O5" s="308">
        <v>29.374635000000001</v>
      </c>
      <c r="P5" s="308">
        <v>30.363865000000001</v>
      </c>
      <c r="Q5" s="308">
        <v>31.722895999999999</v>
      </c>
      <c r="R5" s="308">
        <v>33.270463999999997</v>
      </c>
      <c r="S5" s="308">
        <v>34.922488000000001</v>
      </c>
      <c r="T5" s="308">
        <v>36.142020000000002</v>
      </c>
      <c r="U5" s="308">
        <v>37.700344999999999</v>
      </c>
      <c r="V5" s="308">
        <v>39.328280999999997</v>
      </c>
      <c r="W5" s="308">
        <v>41.296011</v>
      </c>
      <c r="X5" s="129"/>
      <c r="Y5" s="385">
        <f>W5/V5-1</f>
        <v>5.0033460653924999E-2</v>
      </c>
      <c r="Z5" s="385">
        <f>W5/S5-1</f>
        <v>0.1825048375705649</v>
      </c>
      <c r="AA5" s="129"/>
    </row>
    <row r="6" spans="2:32" ht="13" customHeight="1">
      <c r="B6" s="102" t="str">
        <f>IF('Summary | Sumário'!D$6=Names!B$3,Names!AZ6,Names!BA6)</f>
        <v>Active clients (million)</v>
      </c>
      <c r="C6" s="131">
        <v>2.2826979999999999</v>
      </c>
      <c r="D6" s="131">
        <v>5.2522799999999998</v>
      </c>
      <c r="E6" s="131">
        <v>6.1326499999999999</v>
      </c>
      <c r="F6" s="131">
        <v>7.0629739999999996</v>
      </c>
      <c r="G6" s="131">
        <v>7.9664520000000003</v>
      </c>
      <c r="H6" s="131">
        <v>8.8263289999999994</v>
      </c>
      <c r="I6" s="131">
        <v>9.6228320000000007</v>
      </c>
      <c r="J6" s="131">
        <v>10.716208999999999</v>
      </c>
      <c r="K6" s="131">
        <v>11.649274</v>
      </c>
      <c r="L6" s="131">
        <v>12.584403999999999</v>
      </c>
      <c r="M6" s="131">
        <v>13.540568</v>
      </c>
      <c r="N6" s="131">
        <v>14.494907</v>
      </c>
      <c r="O6" s="131">
        <v>15.47322</v>
      </c>
      <c r="P6" s="131">
        <v>16.405394000000001</v>
      </c>
      <c r="Q6" s="131">
        <v>17.413702000000001</v>
      </c>
      <c r="R6" s="131">
        <v>18.401989</v>
      </c>
      <c r="S6" s="131">
        <v>19.538504</v>
      </c>
      <c r="T6" s="131">
        <v>20.561736</v>
      </c>
      <c r="U6" s="131">
        <v>21.578842000000002</v>
      </c>
      <c r="V6" s="131">
        <v>22.710922</v>
      </c>
      <c r="W6" s="131">
        <v>23.926410000000001</v>
      </c>
      <c r="X6" s="131"/>
      <c r="Y6" s="313">
        <f>W6/V6-1</f>
        <v>5.3519975983361778E-2</v>
      </c>
      <c r="Z6" s="313">
        <f>W6/S6-1</f>
        <v>0.22457737808380829</v>
      </c>
      <c r="AA6" s="131"/>
      <c r="AB6" s="132"/>
    </row>
    <row r="7" spans="2:32" ht="13" customHeight="1">
      <c r="B7" s="101" t="str">
        <f>IF('Summary | Sumário'!D$6=Names!B$3,Names!AZ8,Names!BA8)</f>
        <v>Activity rate (%)</v>
      </c>
      <c r="C7" s="520">
        <v>0.56237926524285164</v>
      </c>
      <c r="D7" s="520">
        <v>0.62116523060416806</v>
      </c>
      <c r="E7" s="520">
        <v>0.60222146281490041</v>
      </c>
      <c r="F7" s="520">
        <v>0.5897590629551539</v>
      </c>
      <c r="G7" s="520">
        <v>0.57289515405374036</v>
      </c>
      <c r="H7" s="520">
        <v>0.53987227006203786</v>
      </c>
      <c r="I7" s="520">
        <v>0.51808075804888554</v>
      </c>
      <c r="J7" s="520">
        <v>0.5170823478593517</v>
      </c>
      <c r="K7" s="520">
        <v>0.51169540656008916</v>
      </c>
      <c r="L7" s="520">
        <v>0.51027315483726376</v>
      </c>
      <c r="M7" s="520">
        <v>0.51508036114824318</v>
      </c>
      <c r="N7" s="520">
        <v>0.52187633586527493</v>
      </c>
      <c r="O7" s="520">
        <v>0.52675446009797233</v>
      </c>
      <c r="P7" s="520">
        <v>0.54029333880914043</v>
      </c>
      <c r="Q7" s="520">
        <v>0.54893166122033754</v>
      </c>
      <c r="R7" s="520">
        <v>0.5531028662539843</v>
      </c>
      <c r="S7" s="520">
        <v>0.5594820162870412</v>
      </c>
      <c r="T7" s="520">
        <v>0.56891496380113782</v>
      </c>
      <c r="U7" s="520">
        <v>0.57237783898264061</v>
      </c>
      <c r="V7" s="520">
        <v>0.57747049762993707</v>
      </c>
      <c r="W7" s="520">
        <v>0.57938792199566203</v>
      </c>
      <c r="X7" s="134"/>
      <c r="Y7" s="387">
        <f>(W7-V7)*100</f>
        <v>0.19174243657249512</v>
      </c>
      <c r="Z7" s="387">
        <f>(W7-S7)*100</f>
        <v>1.990590570862083</v>
      </c>
      <c r="AA7" s="134"/>
    </row>
    <row r="8" spans="2:32" ht="13" customHeight="1">
      <c r="B8" s="102" t="str">
        <f>IF('Summary | Sumário'!D$6=Names!B$3,Names!AZ9,Names!BA9)</f>
        <v>Headcount</v>
      </c>
      <c r="C8" s="420">
        <v>1628</v>
      </c>
      <c r="D8" s="420">
        <v>2128</v>
      </c>
      <c r="E8" s="420">
        <v>2452</v>
      </c>
      <c r="F8" s="420">
        <v>2972</v>
      </c>
      <c r="G8" s="420">
        <v>3447</v>
      </c>
      <c r="H8" s="420">
        <v>3900</v>
      </c>
      <c r="I8" s="420">
        <v>3805</v>
      </c>
      <c r="J8" s="420">
        <v>4047</v>
      </c>
      <c r="K8" s="420">
        <v>4057</v>
      </c>
      <c r="L8" s="420">
        <v>4081</v>
      </c>
      <c r="M8" s="420">
        <v>3828</v>
      </c>
      <c r="N8" s="420">
        <v>3433</v>
      </c>
      <c r="O8" s="420">
        <v>3266</v>
      </c>
      <c r="P8" s="420">
        <v>3319</v>
      </c>
      <c r="Q8" s="420">
        <v>3336</v>
      </c>
      <c r="R8" s="420">
        <v>3653</v>
      </c>
      <c r="S8" s="420">
        <v>4357</v>
      </c>
      <c r="T8" s="420">
        <v>4391</v>
      </c>
      <c r="U8" s="420">
        <v>4079</v>
      </c>
      <c r="V8" s="420">
        <v>4081</v>
      </c>
      <c r="W8" s="420">
        <v>4102</v>
      </c>
      <c r="X8" s="135"/>
      <c r="Y8" s="313">
        <f t="shared" ref="Y8:Y10" si="0">W8/V8-1</f>
        <v>5.145797598627766E-3</v>
      </c>
      <c r="Z8" s="313">
        <f t="shared" ref="Z8:Z10" si="1">W8/S8-1</f>
        <v>-5.852650906587098E-2</v>
      </c>
      <c r="AA8" s="135"/>
    </row>
    <row r="9" spans="2:32" ht="13" customHeight="1">
      <c r="B9" s="571" t="str">
        <f>IF('Summary | Sumário'!D$6=Names!B$3,Names!AZ10,Names!BA10)</f>
        <v>Active clients per employee (thousands)</v>
      </c>
      <c r="C9" s="572">
        <f t="shared" ref="C9:U9" si="2">C6*1000/C8</f>
        <v>1.4021486486486485</v>
      </c>
      <c r="D9" s="572">
        <f t="shared" si="2"/>
        <v>2.4681766917293233</v>
      </c>
      <c r="E9" s="572">
        <f t="shared" si="2"/>
        <v>2.5010807504078301</v>
      </c>
      <c r="F9" s="572">
        <f t="shared" si="2"/>
        <v>2.3765053835800805</v>
      </c>
      <c r="G9" s="572">
        <f t="shared" si="2"/>
        <v>2.3111261966927765</v>
      </c>
      <c r="H9" s="572">
        <f t="shared" si="2"/>
        <v>2.2631612820512821</v>
      </c>
      <c r="I9" s="572">
        <f t="shared" si="2"/>
        <v>2.5289965834428383</v>
      </c>
      <c r="J9" s="572">
        <f t="shared" si="2"/>
        <v>2.6479389671361502</v>
      </c>
      <c r="K9" s="572">
        <f t="shared" si="2"/>
        <v>2.8714010352477199</v>
      </c>
      <c r="L9" s="572">
        <f t="shared" si="2"/>
        <v>3.0836569468267578</v>
      </c>
      <c r="M9" s="572">
        <f t="shared" si="2"/>
        <v>3.5372434691745038</v>
      </c>
      <c r="N9" s="572">
        <f t="shared" si="2"/>
        <v>4.2222274978153216</v>
      </c>
      <c r="O9" s="572">
        <f t="shared" si="2"/>
        <v>4.7376668707899565</v>
      </c>
      <c r="P9" s="572">
        <f t="shared" si="2"/>
        <v>4.942872551973486</v>
      </c>
      <c r="Q9" s="572">
        <f t="shared" si="2"/>
        <v>5.2199346522781775</v>
      </c>
      <c r="R9" s="572">
        <f t="shared" si="2"/>
        <v>5.0375004106214076</v>
      </c>
      <c r="S9" s="572">
        <f t="shared" si="2"/>
        <v>4.4843938489786552</v>
      </c>
      <c r="T9" s="572">
        <f t="shared" si="2"/>
        <v>4.6827000683215667</v>
      </c>
      <c r="U9" s="572">
        <f t="shared" si="2"/>
        <v>5.2902284873743568</v>
      </c>
      <c r="V9" s="572">
        <f t="shared" ref="V9:W9" si="3">V6*1000/V8</f>
        <v>5.5650384709629988</v>
      </c>
      <c r="W9" s="572">
        <f t="shared" si="3"/>
        <v>5.8328644563627501</v>
      </c>
      <c r="X9" s="130"/>
      <c r="Y9" s="368">
        <f t="shared" si="0"/>
        <v>4.8126529007337826E-2</v>
      </c>
      <c r="Z9" s="368">
        <f t="shared" si="1"/>
        <v>0.30070298301100751</v>
      </c>
      <c r="AA9" s="130"/>
    </row>
    <row r="10" spans="2:32" ht="13" customHeight="1">
      <c r="B10" s="137" t="str">
        <f>IF('Summary | Sumário'!D$6=Names!B$3,Names!AZ4,Names!BA4)</f>
        <v>NPS</v>
      </c>
      <c r="C10" s="420">
        <v>65</v>
      </c>
      <c r="D10" s="420">
        <v>83</v>
      </c>
      <c r="E10" s="420">
        <v>80</v>
      </c>
      <c r="F10" s="420">
        <v>84</v>
      </c>
      <c r="G10" s="420">
        <v>83</v>
      </c>
      <c r="H10" s="420">
        <v>83</v>
      </c>
      <c r="I10" s="420">
        <v>83</v>
      </c>
      <c r="J10" s="420">
        <v>81</v>
      </c>
      <c r="K10" s="420">
        <v>81</v>
      </c>
      <c r="L10" s="420">
        <v>85</v>
      </c>
      <c r="M10" s="420">
        <v>84</v>
      </c>
      <c r="N10" s="420">
        <v>84</v>
      </c>
      <c r="O10" s="420">
        <v>85</v>
      </c>
      <c r="P10" s="420">
        <v>85</v>
      </c>
      <c r="Q10" s="420">
        <v>85</v>
      </c>
      <c r="R10" s="420">
        <v>85</v>
      </c>
      <c r="S10" s="420">
        <v>84</v>
      </c>
      <c r="T10" s="420">
        <v>85</v>
      </c>
      <c r="U10" s="420">
        <v>85</v>
      </c>
      <c r="V10" s="420">
        <v>85</v>
      </c>
      <c r="W10" s="420">
        <v>85</v>
      </c>
      <c r="Y10" s="313">
        <f t="shared" si="0"/>
        <v>0</v>
      </c>
      <c r="Z10" s="313">
        <f t="shared" si="1"/>
        <v>1.1904761904761862E-2</v>
      </c>
    </row>
    <row r="11" spans="2:32" ht="13" customHeight="1">
      <c r="B11" s="137"/>
    </row>
    <row r="12" spans="2:32" ht="13" customHeight="1">
      <c r="B12" s="137"/>
      <c r="D12" s="674"/>
      <c r="E12" s="674"/>
      <c r="F12" s="674"/>
      <c r="G12" s="674"/>
      <c r="H12" s="674"/>
      <c r="I12" s="674"/>
      <c r="J12" s="674"/>
      <c r="K12" s="674"/>
      <c r="L12" s="674"/>
      <c r="M12" s="674"/>
      <c r="N12" s="674"/>
      <c r="O12" s="674"/>
      <c r="P12" s="674"/>
      <c r="Q12" s="674"/>
      <c r="R12" s="674"/>
      <c r="S12" s="674"/>
      <c r="T12" s="674"/>
      <c r="U12" s="674"/>
      <c r="V12" s="674"/>
      <c r="W12" s="674"/>
    </row>
    <row r="13" spans="2:32" ht="13" customHeight="1">
      <c r="U13" s="529"/>
      <c r="V13" s="529"/>
      <c r="W13" s="529"/>
    </row>
    <row r="14" spans="2:32" ht="13" customHeight="1">
      <c r="B14" s="138"/>
    </row>
    <row r="15" spans="2:32" ht="13" customHeight="1">
      <c r="B15" s="139"/>
    </row>
    <row r="17" spans="2:32" s="117" customFormat="1" ht="13" customHeight="1">
      <c r="B17" s="745"/>
      <c r="M17" s="116"/>
      <c r="N17" s="116"/>
      <c r="O17" s="116"/>
      <c r="P17" s="116"/>
      <c r="Q17" s="116"/>
      <c r="R17" s="116"/>
      <c r="S17" s="116"/>
      <c r="T17" s="116"/>
      <c r="U17" s="116"/>
      <c r="V17" s="116"/>
      <c r="W17" s="116"/>
      <c r="X17" s="116"/>
      <c r="Y17" s="116"/>
      <c r="Z17" s="116"/>
      <c r="AA17" s="116"/>
      <c r="AB17" s="116"/>
      <c r="AC17" s="116"/>
      <c r="AD17" s="116"/>
      <c r="AE17" s="116"/>
      <c r="AF17" s="116"/>
    </row>
    <row r="18" spans="2:32" s="117" customFormat="1" ht="13" customHeight="1">
      <c r="B18" s="745"/>
      <c r="M18" s="116"/>
      <c r="N18" s="116"/>
      <c r="O18" s="116"/>
      <c r="P18" s="116"/>
      <c r="Q18" s="116"/>
      <c r="R18" s="116"/>
      <c r="S18" s="116"/>
      <c r="T18" s="116"/>
      <c r="U18" s="116"/>
      <c r="V18" s="116"/>
      <c r="W18" s="116"/>
      <c r="X18" s="116"/>
      <c r="Y18" s="116"/>
      <c r="Z18" s="116"/>
      <c r="AA18" s="116"/>
      <c r="AB18" s="116"/>
      <c r="AC18" s="116"/>
      <c r="AD18" s="116"/>
      <c r="AE18" s="116"/>
      <c r="AF18" s="116"/>
    </row>
    <row r="19" spans="2:32" s="117" customFormat="1" ht="13" customHeight="1">
      <c r="B19" s="745"/>
      <c r="M19" s="116"/>
      <c r="N19" s="116"/>
      <c r="O19" s="116"/>
      <c r="P19" s="116"/>
      <c r="Q19" s="116"/>
      <c r="R19" s="116"/>
      <c r="S19" s="116"/>
      <c r="T19" s="116"/>
      <c r="U19" s="116"/>
      <c r="V19" s="116"/>
      <c r="W19" s="116"/>
      <c r="X19" s="116"/>
      <c r="Y19" s="116"/>
      <c r="Z19" s="116"/>
      <c r="AA19" s="116"/>
      <c r="AB19" s="116"/>
      <c r="AC19" s="116"/>
      <c r="AD19" s="116"/>
      <c r="AE19" s="116"/>
      <c r="AF19" s="116"/>
    </row>
    <row r="20" spans="2:32" s="117" customFormat="1" ht="13" customHeight="1">
      <c r="B20" s="745"/>
      <c r="D20" s="141"/>
      <c r="M20" s="116"/>
      <c r="N20" s="116"/>
      <c r="O20" s="116"/>
      <c r="P20" s="116"/>
      <c r="Q20" s="116"/>
      <c r="R20" s="116"/>
      <c r="S20" s="116"/>
      <c r="T20" s="116"/>
      <c r="U20" s="116"/>
      <c r="V20" s="116"/>
      <c r="W20" s="116"/>
      <c r="X20" s="116"/>
      <c r="Y20" s="116"/>
      <c r="Z20" s="116"/>
      <c r="AA20" s="116"/>
      <c r="AB20" s="116"/>
      <c r="AC20" s="116"/>
      <c r="AD20" s="116"/>
      <c r="AE20" s="116"/>
      <c r="AF20" s="116"/>
    </row>
    <row r="21" spans="2:32" s="117" customFormat="1" ht="13" customHeight="1">
      <c r="B21" s="745"/>
      <c r="J21" s="140"/>
      <c r="M21" s="116"/>
      <c r="N21" s="116"/>
      <c r="O21" s="116"/>
      <c r="P21" s="116"/>
      <c r="Q21" s="116"/>
      <c r="R21" s="116"/>
      <c r="S21" s="116"/>
      <c r="T21" s="116"/>
      <c r="U21" s="116"/>
      <c r="V21" s="116"/>
      <c r="W21" s="116"/>
      <c r="X21" s="116"/>
      <c r="Y21" s="116"/>
      <c r="Z21" s="116"/>
      <c r="AA21" s="116"/>
      <c r="AB21" s="116"/>
      <c r="AC21" s="116"/>
      <c r="AD21" s="116"/>
      <c r="AE21" s="116"/>
      <c r="AF21" s="116"/>
    </row>
    <row r="22" spans="2:32" s="117" customFormat="1" ht="13" customHeight="1">
      <c r="B22" s="745"/>
      <c r="M22" s="116"/>
      <c r="N22" s="116"/>
      <c r="O22" s="116"/>
      <c r="P22" s="116"/>
      <c r="Q22" s="116"/>
      <c r="R22" s="116"/>
      <c r="S22" s="116"/>
      <c r="T22" s="116"/>
      <c r="U22" s="116"/>
      <c r="V22" s="116"/>
      <c r="W22" s="116"/>
      <c r="X22" s="116"/>
      <c r="Y22" s="116"/>
      <c r="Z22" s="116"/>
      <c r="AA22" s="116"/>
      <c r="AB22" s="116"/>
      <c r="AC22" s="116"/>
      <c r="AD22" s="116"/>
      <c r="AE22" s="116"/>
      <c r="AF22" s="116"/>
    </row>
    <row r="23" spans="2:32" s="117" customFormat="1" ht="13" customHeight="1">
      <c r="B23" s="745"/>
      <c r="M23" s="116"/>
      <c r="N23" s="116"/>
      <c r="O23" s="116"/>
      <c r="P23" s="116"/>
      <c r="Q23" s="116"/>
      <c r="R23" s="116"/>
      <c r="S23" s="116"/>
      <c r="T23" s="116"/>
      <c r="U23" s="116"/>
      <c r="V23" s="116"/>
      <c r="W23" s="116"/>
      <c r="X23" s="116"/>
      <c r="Y23" s="116"/>
      <c r="Z23" s="116"/>
      <c r="AA23" s="116"/>
      <c r="AB23" s="116"/>
      <c r="AC23" s="116"/>
      <c r="AD23" s="116"/>
      <c r="AE23" s="116"/>
      <c r="AF23" s="116"/>
    </row>
  </sheetData>
  <sheetProtection algorithmName="SHA-512" hashValue="y10Te+jGD/YMAjy5hUq8pA59lfJD9iw2LDM/5WSLU1cLmlZqwtq+CytzwjROc0VvtpnbDeJLbHphsNqYS6utHQ==" saltValue="LECWz9xBsbHlXIUK1uQanQ==" spinCount="100000" sheet="1" formatCells="0" formatColumns="0" formatRows="0" insertColumns="0" insertRows="0" insertHyperlinks="0" deleteColumns="0" deleteRows="0" sort="0" autoFilter="0" pivotTables="0"/>
  <mergeCells count="1">
    <mergeCell ref="B17:B23"/>
  </mergeCells>
  <pageMargins left="0.511811024" right="0.511811024" top="0.78740157499999996" bottom="0.78740157499999996" header="0.31496062000000002" footer="0.31496062000000002"/>
  <pageSetup paperSize="9" orientation="portrait" horizontalDpi="0" verticalDpi="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57B48-AEE5-3145-B617-B2690219AFDE}">
  <sheetPr codeName="Sheet28">
    <tabColor rgb="FFE1E2E1"/>
  </sheetPr>
  <dimension ref="B1:AE33"/>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116" customWidth="1"/>
    <col min="3" max="18" width="10.83203125" style="116"/>
    <col min="19" max="20" width="10.83203125" style="116" bestFit="1"/>
    <col min="21" max="21" width="10.83203125" style="116"/>
    <col min="22" max="22" width="5.83203125" style="116" customWidth="1"/>
    <col min="23" max="24" width="10.83203125" style="116"/>
    <col min="25" max="25" width="5.83203125" style="116" customWidth="1"/>
    <col min="26" max="26" width="129.6640625" style="116" bestFit="1" customWidth="1"/>
    <col min="27" max="16384" width="10.83203125" style="116"/>
  </cols>
  <sheetData>
    <row r="1" spans="2:31"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row>
    <row r="2" spans="2:31" s="122" customFormat="1" ht="13" customHeight="1">
      <c r="B2" s="267" t="str">
        <f>IF('Summary | Sumário'!D$6=Names!B$3,Names!CB1,Names!CC1)</f>
        <v>Market Data - Brazil (Millions)</v>
      </c>
      <c r="C2" s="21" t="str">
        <f>IF('Summary | Sumário'!D$6=Names!B$3,Names!E4,Names!F4)</f>
        <v>1Q21</v>
      </c>
      <c r="D2" s="21" t="str">
        <f>IF('Summary | Sumário'!D$6=Names!B$3,Names!E5,Names!F5)</f>
        <v>2Q21</v>
      </c>
      <c r="E2" s="21" t="str">
        <f>IF('Summary | Sumário'!D$6=Names!B$3,Names!E6,Names!F6)</f>
        <v>3Q21</v>
      </c>
      <c r="F2" s="21" t="str">
        <f>IF('Summary | Sumário'!D$6=Names!B$3,Names!E7,Names!F7)</f>
        <v>4Q21</v>
      </c>
      <c r="G2" s="21" t="str">
        <f>IF('Summary | Sumário'!D$6=Names!B$3,Names!E8,Names!F8)</f>
        <v>1Q22</v>
      </c>
      <c r="H2" s="21" t="str">
        <f>IF('Summary | Sumário'!D$6=Names!B$3,Names!E9,Names!F9)</f>
        <v>2Q22</v>
      </c>
      <c r="I2" s="21" t="str">
        <f>IF('Summary | Sumário'!D$6=Names!B$3,Names!E10,Names!F10)</f>
        <v>3Q22</v>
      </c>
      <c r="J2" s="21" t="str">
        <f>IF('Summary | Sumário'!D$6=Names!B$3,Names!E11,Names!F11)</f>
        <v>4Q22</v>
      </c>
      <c r="K2" s="21" t="str">
        <f>IF('Summary | Sumário'!D$6=Names!B$3,Names!E12,Names!F12)</f>
        <v>1Q23</v>
      </c>
      <c r="L2" s="21" t="str">
        <f>IF('Summary | Sumário'!D$6=Names!B$3,Names!E13,Names!F13)</f>
        <v>2Q23</v>
      </c>
      <c r="M2" s="21" t="str">
        <f>IF('Summary | Sumário'!D$6=Names!B$3,Names!E14,Names!F14)</f>
        <v>3Q23</v>
      </c>
      <c r="N2" s="21" t="str">
        <f>IF('Summary | Sumário'!D$6=Names!B$3,Names!E15,Names!F15)</f>
        <v>4Q23</v>
      </c>
      <c r="O2" s="21" t="str">
        <f>IF('Summary | Sumário'!D$6=Names!B$3,Names!E16,Names!F16)</f>
        <v>1Q24</v>
      </c>
      <c r="P2" s="21" t="str">
        <f>IF('Summary | Sumário'!D$6=Names!B$3,Names!E17,Names!F17)</f>
        <v>2Q24</v>
      </c>
      <c r="Q2" s="21" t="str">
        <f>IF('Summary | Sumário'!D$6=Names!B$3,Names!E18,Names!F18)</f>
        <v>3Q24</v>
      </c>
      <c r="R2" s="21" t="str">
        <f>IF('Summary | Sumário'!D$6=Names!B$3,Names!E19,Names!F19)</f>
        <v>4Q24</v>
      </c>
      <c r="S2" s="672" t="str">
        <f>IF('Summary | Sumário'!D$6=Names!B$3,Names!E20,Names!F20)</f>
        <v>1Q25</v>
      </c>
      <c r="T2" s="672" t="str">
        <f>IF('Summary | Sumário'!D$6=Names!B$3,Names!E21,Names!F21)</f>
        <v>2Q25</v>
      </c>
      <c r="U2" s="268" t="str">
        <f>IF('Summary | Sumário'!E$6=Names!C$3,Names!F21,Names!G21)</f>
        <v>3Q25</v>
      </c>
      <c r="V2" s="321"/>
      <c r="W2" s="104" t="str">
        <f>IF('Summary | Sumário'!$D$6=Names!$B$3,Names!$I$24,Names!$J$24)</f>
        <v>QoQ Variation</v>
      </c>
      <c r="X2" s="104" t="str">
        <f>IF('Summary | Sumário'!$D$6=Names!$B$3,Names!$I$25,Names!$J$25)</f>
        <v>YoY Variation</v>
      </c>
      <c r="Y2" s="104"/>
      <c r="Z2" s="119"/>
      <c r="AA2" s="120"/>
      <c r="AB2" s="121"/>
      <c r="AD2" s="123"/>
      <c r="AE2" s="124"/>
    </row>
    <row r="3" spans="2:31" ht="13" customHeight="1">
      <c r="B3" s="14"/>
      <c r="C3" s="127"/>
      <c r="D3" s="127"/>
      <c r="E3" s="127"/>
      <c r="F3" s="127"/>
      <c r="G3" s="127"/>
      <c r="H3" s="127"/>
      <c r="I3" s="127"/>
      <c r="J3" s="127"/>
      <c r="K3" s="127"/>
      <c r="L3" s="127"/>
      <c r="M3" s="127"/>
      <c r="N3" s="127"/>
      <c r="O3" s="127"/>
      <c r="P3" s="127"/>
      <c r="Q3" s="127"/>
      <c r="R3" s="127"/>
      <c r="S3" s="664"/>
      <c r="T3" s="664"/>
      <c r="U3" s="664"/>
      <c r="V3" s="127"/>
      <c r="W3" s="127"/>
      <c r="X3" s="127"/>
      <c r="Y3" s="127"/>
      <c r="Z3" s="127"/>
    </row>
    <row r="4" spans="2:31" ht="13" customHeight="1">
      <c r="B4" s="304" t="str">
        <f>IF('Summary | Sumário'!D$6=Names!B$3,Names!CB4,Names!CC4)</f>
        <v>Banking Accounts - Brazil</v>
      </c>
      <c r="C4" s="265"/>
      <c r="D4" s="265"/>
      <c r="E4" s="265"/>
      <c r="F4" s="265"/>
      <c r="G4" s="265"/>
      <c r="H4" s="265"/>
      <c r="I4" s="265"/>
      <c r="J4" s="265"/>
      <c r="K4" s="265"/>
      <c r="L4" s="265"/>
      <c r="M4" s="265"/>
      <c r="N4" s="265"/>
      <c r="O4" s="265"/>
      <c r="P4" s="265"/>
      <c r="Q4" s="265"/>
      <c r="R4" s="265"/>
      <c r="S4" s="665"/>
      <c r="T4" s="665"/>
      <c r="U4" s="665"/>
      <c r="V4" s="265"/>
      <c r="W4" s="265"/>
      <c r="X4" s="265"/>
      <c r="Y4" s="265"/>
      <c r="Z4" s="398" t="str">
        <f>IF('Summary | Sumário'!D$6=Names!B$3,Names!CB2,Names!CC2)</f>
        <v>Source</v>
      </c>
    </row>
    <row r="5" spans="2:31" ht="13" customHeight="1">
      <c r="B5" s="401" t="str">
        <f>IF('Summary | Sumário'!D$6=Names!B$3,Names!CB5,Names!CC5)</f>
        <v>Individuals with Banking Accounts</v>
      </c>
      <c r="C5" s="402">
        <v>180.230211</v>
      </c>
      <c r="D5" s="402">
        <v>181.31761900000001</v>
      </c>
      <c r="E5" s="402">
        <v>182.49014099999999</v>
      </c>
      <c r="F5" s="402">
        <v>182.21805499999999</v>
      </c>
      <c r="G5" s="402">
        <v>183.36628300000001</v>
      </c>
      <c r="H5" s="402">
        <v>184.76697899999999</v>
      </c>
      <c r="I5" s="402">
        <v>186.43217199999998</v>
      </c>
      <c r="J5" s="402">
        <v>188.33574200000001</v>
      </c>
      <c r="K5" s="402">
        <v>190.285642</v>
      </c>
      <c r="L5" s="402">
        <v>191.557106</v>
      </c>
      <c r="M5" s="402">
        <v>192.98458300000001</v>
      </c>
      <c r="N5" s="402">
        <v>194.119812</v>
      </c>
      <c r="O5" s="402">
        <v>196.06822599999998</v>
      </c>
      <c r="P5" s="402">
        <v>197.62343799999999</v>
      </c>
      <c r="Q5" s="402">
        <v>198.954015</v>
      </c>
      <c r="R5" s="402">
        <v>199.78123600000001</v>
      </c>
      <c r="S5" s="402">
        <v>201.207798</v>
      </c>
      <c r="T5" s="402">
        <f>202.520375</f>
        <v>202.520375</v>
      </c>
      <c r="U5" s="402">
        <v>203.50046499999999</v>
      </c>
      <c r="V5" s="129"/>
      <c r="W5" s="416">
        <f>U5/T5-1</f>
        <v>4.8394636835922267E-3</v>
      </c>
      <c r="X5" s="416">
        <f>U5/Q5-1</f>
        <v>2.2851763006642489E-2</v>
      </c>
      <c r="Y5" s="129"/>
      <c r="Z5" s="422" t="str">
        <f>Names!CD5</f>
        <v>Estatísticas do CCS - Banco Central do Brasil</v>
      </c>
      <c r="AA5" s="423"/>
    </row>
    <row r="6" spans="2:31" ht="13" customHeight="1">
      <c r="B6" s="102" t="str">
        <f>IF('Summary | Sumário'!D$6=Names!B$3,Names!CB6,Names!CC6)</f>
        <v>Business with Banking Accounts</v>
      </c>
      <c r="C6" s="129">
        <v>13.669084999999999</v>
      </c>
      <c r="D6" s="129">
        <v>14.088994000000001</v>
      </c>
      <c r="E6" s="129">
        <v>14.457945</v>
      </c>
      <c r="F6" s="129">
        <v>14.997128</v>
      </c>
      <c r="G6" s="129">
        <v>15.612392</v>
      </c>
      <c r="H6" s="129">
        <v>16.169655000000002</v>
      </c>
      <c r="I6" s="129">
        <v>16.966272</v>
      </c>
      <c r="J6" s="129">
        <v>17.540289000000001</v>
      </c>
      <c r="K6" s="129">
        <v>18.049762999999999</v>
      </c>
      <c r="L6" s="129">
        <v>18.617251</v>
      </c>
      <c r="M6" s="129">
        <v>19.128495999999998</v>
      </c>
      <c r="N6" s="129">
        <v>19.621282000000001</v>
      </c>
      <c r="O6" s="129">
        <v>20.171491999999997</v>
      </c>
      <c r="P6" s="129">
        <v>20.718002000000002</v>
      </c>
      <c r="Q6" s="129">
        <v>21.388135999999999</v>
      </c>
      <c r="R6" s="129">
        <v>21.019017000000002</v>
      </c>
      <c r="S6" s="666">
        <v>21.430033000000002</v>
      </c>
      <c r="T6" s="666">
        <f>21.468087</f>
        <v>21.468087000000001</v>
      </c>
      <c r="U6" s="666">
        <v>22.046775</v>
      </c>
      <c r="V6" s="130"/>
      <c r="W6" s="386">
        <f>U6/T6-1</f>
        <v>2.6955732012824418E-2</v>
      </c>
      <c r="X6" s="386">
        <f>U6/Q6-1</f>
        <v>3.0794595658078849E-2</v>
      </c>
      <c r="Y6" s="130"/>
      <c r="Z6" s="424" t="str">
        <f>Names!CD6</f>
        <v>Estatísticas do CCS - Banco Central do Brasil</v>
      </c>
      <c r="AA6" s="423"/>
    </row>
    <row r="7" spans="2:31" ht="13" customHeight="1">
      <c r="B7" s="403"/>
      <c r="C7" s="404"/>
      <c r="D7" s="404"/>
      <c r="E7" s="404"/>
      <c r="F7" s="404"/>
      <c r="G7" s="404"/>
      <c r="H7" s="404"/>
      <c r="I7" s="404"/>
      <c r="J7" s="404"/>
      <c r="K7" s="404"/>
      <c r="L7" s="404"/>
      <c r="M7" s="404"/>
      <c r="N7" s="404"/>
      <c r="O7" s="404"/>
      <c r="P7" s="404"/>
      <c r="Q7" s="404"/>
      <c r="R7" s="404"/>
      <c r="S7" s="404"/>
      <c r="T7" s="404"/>
      <c r="U7" s="404"/>
      <c r="V7" s="131"/>
      <c r="W7" s="404"/>
      <c r="X7" s="404"/>
      <c r="Y7" s="131"/>
      <c r="Z7" s="405"/>
      <c r="AA7" s="132"/>
    </row>
    <row r="8" spans="2:31" ht="13" customHeight="1">
      <c r="B8" s="304" t="str">
        <f>IF('Summary | Sumário'!D$6=Names!B$3,Names!CB9,Names!CC9)</f>
        <v>TPV</v>
      </c>
      <c r="C8" s="133"/>
      <c r="D8" s="133"/>
      <c r="E8" s="133"/>
      <c r="F8" s="133"/>
      <c r="G8" s="133"/>
      <c r="H8" s="133"/>
      <c r="I8" s="133"/>
      <c r="J8" s="133"/>
      <c r="K8" s="133"/>
      <c r="L8" s="133"/>
      <c r="M8" s="133"/>
      <c r="N8" s="133"/>
      <c r="O8" s="133"/>
      <c r="P8" s="133"/>
      <c r="Q8" s="133"/>
      <c r="R8" s="133"/>
      <c r="S8" s="667"/>
      <c r="T8" s="667"/>
      <c r="U8" s="667"/>
      <c r="V8" s="133"/>
      <c r="W8" s="133"/>
      <c r="X8" s="133"/>
      <c r="Y8" s="133"/>
      <c r="Z8" s="399"/>
    </row>
    <row r="9" spans="2:31" ht="13" customHeight="1">
      <c r="B9" s="401" t="str">
        <f>IF('Summary | Sumário'!D$6=Names!B$3,Names!CB10,Names!CC10)</f>
        <v>PIX</v>
      </c>
      <c r="C9" s="402"/>
      <c r="D9" s="402"/>
      <c r="E9" s="402"/>
      <c r="F9" s="402"/>
      <c r="G9" s="402"/>
      <c r="H9" s="402"/>
      <c r="I9" s="402"/>
      <c r="J9" s="402"/>
      <c r="K9" s="402"/>
      <c r="L9" s="402"/>
      <c r="M9" s="402"/>
      <c r="N9" s="402"/>
      <c r="O9" s="402"/>
      <c r="P9" s="402"/>
      <c r="Q9" s="402"/>
      <c r="R9" s="402"/>
      <c r="S9" s="402"/>
      <c r="T9" s="402"/>
      <c r="U9" s="402"/>
      <c r="V9" s="129"/>
      <c r="W9" s="402"/>
      <c r="X9" s="402"/>
      <c r="Y9" s="129"/>
      <c r="Z9" s="422" t="str">
        <f>Names!CD11</f>
        <v>Sistema de Pagamentos Brasileiro (SPB) - Estatísticas do Pix - Banco Central do Brasil</v>
      </c>
      <c r="AA9" s="423"/>
    </row>
    <row r="10" spans="2:31" ht="13" customHeight="1">
      <c r="B10" s="396" t="str">
        <f>IF('Summary | Sumário'!D$6=Names!B$3,Names!CB11,Names!CC11)</f>
        <v>PIX Transactions</v>
      </c>
      <c r="C10" s="420">
        <v>727.64367799999991</v>
      </c>
      <c r="D10" s="420">
        <v>1579.9677749999998</v>
      </c>
      <c r="E10" s="420">
        <v>2432.0838009999998</v>
      </c>
      <c r="F10" s="420">
        <v>3239.403785</v>
      </c>
      <c r="G10" s="420">
        <v>3618.2862179999997</v>
      </c>
      <c r="H10" s="420">
        <v>4628.8793930000002</v>
      </c>
      <c r="I10" s="420">
        <v>5530.5009110000001</v>
      </c>
      <c r="J10" s="420">
        <v>6575.9385599999996</v>
      </c>
      <c r="K10" s="420">
        <v>6882.7202810000008</v>
      </c>
      <c r="L10" s="420">
        <v>8136.4115810000003</v>
      </c>
      <c r="M10" s="420">
        <v>9706.8342559999983</v>
      </c>
      <c r="N10" s="420">
        <v>11473.387352</v>
      </c>
      <c r="O10" s="420">
        <v>12020.651478</v>
      </c>
      <c r="P10" s="420">
        <v>13623.234329999999</v>
      </c>
      <c r="Q10" s="420">
        <f>4894.942+5009.384+4786.638</f>
        <v>14690.964</v>
      </c>
      <c r="R10" s="420">
        <v>15978.019648910411</v>
      </c>
      <c r="S10" s="668">
        <f>5060.285+4985.805+5564.431</f>
        <v>15610.521000000001</v>
      </c>
      <c r="T10" s="668">
        <f>5799.01+5930.141+5598.161</f>
        <v>17327.311999999998</v>
      </c>
      <c r="U10" s="668">
        <f>5996.861+6239.608+6133.276</f>
        <v>18369.745000000003</v>
      </c>
      <c r="V10" s="135"/>
      <c r="W10" s="135">
        <f>U10/T10-1</f>
        <v>6.0161264482338828E-2</v>
      </c>
      <c r="X10" s="135">
        <f>U10/Q10-1</f>
        <v>0.25041113707718576</v>
      </c>
      <c r="Y10" s="135"/>
      <c r="Z10" s="425"/>
      <c r="AA10" s="423"/>
    </row>
    <row r="11" spans="2:31" ht="13" customHeight="1">
      <c r="B11" s="406" t="str">
        <f>IF('Summary | Sumário'!D$6=Names!B$3,Names!CB12,Names!CC12)</f>
        <v>PIX TPV (R$)</v>
      </c>
      <c r="C11" s="407">
        <v>545865.52816126042</v>
      </c>
      <c r="D11" s="407">
        <v>962345.47765108012</v>
      </c>
      <c r="E11" s="407">
        <v>1351068.3827956303</v>
      </c>
      <c r="F11" s="407">
        <v>1662837.6549495156</v>
      </c>
      <c r="G11" s="407">
        <v>1806516.4732325375</v>
      </c>
      <c r="H11" s="407">
        <v>2223822.2405896918</v>
      </c>
      <c r="I11" s="407">
        <v>2578950.3366389298</v>
      </c>
      <c r="J11" s="407">
        <v>2865663.1767627192</v>
      </c>
      <c r="K11" s="407">
        <v>2959895.7995207496</v>
      </c>
      <c r="L11" s="407">
        <v>3333287.8986781244</v>
      </c>
      <c r="M11" s="407">
        <v>3771040.8591022328</v>
      </c>
      <c r="N11" s="407">
        <v>4402723.7532800706</v>
      </c>
      <c r="O11" s="407">
        <v>4498296.7634392958</v>
      </c>
      <c r="P11" s="407">
        <v>5283406.6412520343</v>
      </c>
      <c r="Q11" s="407">
        <f>1937484+1948182+1954750</f>
        <v>5840416</v>
      </c>
      <c r="R11" s="407">
        <v>6497776.833976835</v>
      </c>
      <c r="S11" s="669">
        <f>2077339+2044476+2172421</f>
        <v>6294236</v>
      </c>
      <c r="T11" s="669">
        <f>2395481+2379223+2254214</f>
        <v>7028918</v>
      </c>
      <c r="U11" s="669">
        <f>2562056+2550273+2651625</f>
        <v>7763954</v>
      </c>
      <c r="V11" s="130"/>
      <c r="W11" s="417">
        <f>U11/T11-1</f>
        <v>0.10457313629210074</v>
      </c>
      <c r="X11" s="417">
        <f>U11/Q11-1</f>
        <v>0.32934948469424086</v>
      </c>
      <c r="Y11" s="130"/>
      <c r="Z11" s="426"/>
      <c r="AA11" s="423"/>
    </row>
    <row r="12" spans="2:31" ht="13" customHeight="1">
      <c r="B12" s="102"/>
      <c r="C12" s="136"/>
      <c r="D12" s="136"/>
      <c r="E12" s="136"/>
      <c r="F12" s="136"/>
      <c r="G12" s="136"/>
      <c r="H12" s="136"/>
      <c r="I12" s="136"/>
      <c r="J12" s="136"/>
      <c r="K12" s="136"/>
      <c r="L12" s="136"/>
      <c r="M12" s="136"/>
      <c r="N12" s="136"/>
      <c r="O12" s="136"/>
      <c r="P12" s="136"/>
      <c r="Q12" s="136"/>
      <c r="R12" s="136"/>
      <c r="S12" s="670"/>
      <c r="T12" s="670"/>
      <c r="U12" s="670"/>
      <c r="V12" s="136"/>
      <c r="W12" s="136"/>
      <c r="X12" s="136"/>
      <c r="Y12" s="136"/>
      <c r="Z12" s="425"/>
      <c r="AA12" s="423"/>
    </row>
    <row r="13" spans="2:31" ht="13" customHeight="1">
      <c r="B13" s="408" t="str">
        <f>IF('Summary | Sumário'!D$6=Names!B$3,Names!CB14,Names!CC14)</f>
        <v>Cards</v>
      </c>
      <c r="C13" s="189">
        <f>SUM(C14:C15)</f>
        <v>551594.81716864998</v>
      </c>
      <c r="D13" s="189">
        <f t="shared" ref="D13:R13" si="0">SUM(D14:D15)</f>
        <v>612846.06840559002</v>
      </c>
      <c r="E13" s="189">
        <f t="shared" si="0"/>
        <v>692371.84696538001</v>
      </c>
      <c r="F13" s="189">
        <f t="shared" si="0"/>
        <v>804700.99335999996</v>
      </c>
      <c r="G13" s="189">
        <f t="shared" si="0"/>
        <v>759580.80351282004</v>
      </c>
      <c r="H13" s="189">
        <f t="shared" si="0"/>
        <v>838978.6327822</v>
      </c>
      <c r="I13" s="189">
        <f t="shared" si="0"/>
        <v>859690.55681608</v>
      </c>
      <c r="J13" s="189">
        <f t="shared" si="0"/>
        <v>935571.04112141998</v>
      </c>
      <c r="K13" s="189">
        <f t="shared" si="0"/>
        <v>866587.21779132006</v>
      </c>
      <c r="L13" s="189">
        <f t="shared" si="0"/>
        <v>901443.90171081002</v>
      </c>
      <c r="M13" s="189">
        <f t="shared" si="0"/>
        <v>939364.28888279013</v>
      </c>
      <c r="N13" s="189">
        <f t="shared" si="0"/>
        <v>1027659.1749756201</v>
      </c>
      <c r="O13" s="189">
        <f t="shared" si="0"/>
        <v>964955.67656156002</v>
      </c>
      <c r="P13" s="189">
        <f t="shared" si="0"/>
        <v>1000665.4318358499</v>
      </c>
      <c r="Q13" s="189">
        <f t="shared" si="0"/>
        <v>1035570</v>
      </c>
      <c r="R13" s="189">
        <f t="shared" si="0"/>
        <v>1142573.2670710001</v>
      </c>
      <c r="S13" s="189">
        <f>SUM(S14:S15)</f>
        <v>1054900</v>
      </c>
      <c r="T13" s="189">
        <f>SUM(T14:T15)</f>
        <v>1104530.3006</v>
      </c>
      <c r="U13" s="669" t="s">
        <v>1126</v>
      </c>
      <c r="W13" s="536" t="s">
        <v>1079</v>
      </c>
      <c r="X13" s="536" t="s">
        <v>1079</v>
      </c>
      <c r="Z13" s="427" t="str">
        <f>Names!CD15</f>
        <v>Associação Brasileira das Empresas de Cartões de Crédito e Serviços - Sistema de Informações – Monitor Abecs</v>
      </c>
      <c r="AA13" s="423"/>
    </row>
    <row r="14" spans="2:31" ht="13" customHeight="1">
      <c r="B14" s="137" t="str">
        <f>IF('Summary | Sumário'!D$6=Names!B$3,Names!CB15,Names!CC15)</f>
        <v>Credit Cards TPV (R$)</v>
      </c>
      <c r="C14" s="420">
        <v>328732.62769512</v>
      </c>
      <c r="D14" s="420">
        <v>371188.10881687998</v>
      </c>
      <c r="E14" s="420">
        <v>422362.66261727002</v>
      </c>
      <c r="F14" s="420">
        <v>497588.82791405002</v>
      </c>
      <c r="G14" s="420">
        <v>479099.28373640002</v>
      </c>
      <c r="H14" s="420">
        <v>531307.87166443001</v>
      </c>
      <c r="I14" s="420">
        <v>548190.46782451996</v>
      </c>
      <c r="J14" s="420">
        <v>589132.52756351</v>
      </c>
      <c r="K14" s="420">
        <v>555194.36013382999</v>
      </c>
      <c r="L14" s="420">
        <v>580490.58106495999</v>
      </c>
      <c r="M14" s="420">
        <v>608077.80291872006</v>
      </c>
      <c r="N14" s="420">
        <v>664644.18698012002</v>
      </c>
      <c r="O14" s="420">
        <v>635249.28854787</v>
      </c>
      <c r="P14" s="420">
        <v>662709.53340422991</v>
      </c>
      <c r="Q14" s="420">
        <v>693160</v>
      </c>
      <c r="R14" s="420">
        <v>768822.11509500002</v>
      </c>
      <c r="S14" s="668">
        <v>721090</v>
      </c>
      <c r="T14" s="668">
        <v>763463.11369999999</v>
      </c>
      <c r="U14" s="668" t="s">
        <v>1126</v>
      </c>
      <c r="W14" s="313" t="s">
        <v>1079</v>
      </c>
      <c r="X14" s="313" t="s">
        <v>1079</v>
      </c>
      <c r="Z14" s="400"/>
    </row>
    <row r="15" spans="2:31" ht="13" customHeight="1">
      <c r="B15" s="411" t="str">
        <f>IF('Summary | Sumário'!D$6=Names!B$3,Names!CB16,Names!CC16)</f>
        <v>Debt Card TPV (R$)</v>
      </c>
      <c r="C15" s="407">
        <v>222862.18947352996</v>
      </c>
      <c r="D15" s="407">
        <v>241657.95958871001</v>
      </c>
      <c r="E15" s="407">
        <v>270009.18434810999</v>
      </c>
      <c r="F15" s="407">
        <v>307112.16544595</v>
      </c>
      <c r="G15" s="407">
        <v>280481.51977642003</v>
      </c>
      <c r="H15" s="407">
        <v>307670.76111776999</v>
      </c>
      <c r="I15" s="407">
        <v>311500.08899156004</v>
      </c>
      <c r="J15" s="407">
        <v>346438.51355790999</v>
      </c>
      <c r="K15" s="407">
        <v>311392.85765749001</v>
      </c>
      <c r="L15" s="407">
        <v>320953.32064585004</v>
      </c>
      <c r="M15" s="407">
        <v>331286.48596407002</v>
      </c>
      <c r="N15" s="407">
        <v>363014.98799550004</v>
      </c>
      <c r="O15" s="407">
        <v>329706.38801369001</v>
      </c>
      <c r="P15" s="407">
        <v>337955.89843161998</v>
      </c>
      <c r="Q15" s="407">
        <v>342410</v>
      </c>
      <c r="R15" s="407">
        <v>373751.15197600005</v>
      </c>
      <c r="S15" s="669">
        <v>333810</v>
      </c>
      <c r="T15" s="669">
        <v>341067.18689999997</v>
      </c>
      <c r="U15" s="669" t="s">
        <v>1126</v>
      </c>
      <c r="W15" s="419" t="s">
        <v>1079</v>
      </c>
      <c r="X15" s="419" t="s">
        <v>1079</v>
      </c>
      <c r="Z15" s="412"/>
    </row>
    <row r="16" spans="2:31" ht="13" customHeight="1">
      <c r="Q16" s="117"/>
      <c r="R16" s="117"/>
      <c r="S16" s="117"/>
      <c r="W16" s="117"/>
      <c r="X16" s="117"/>
      <c r="Z16" s="165"/>
    </row>
    <row r="17" spans="2:27" ht="13" customHeight="1">
      <c r="B17" s="413" t="str">
        <f>IF('Summary | Sumário'!D$6=Names!B$3,Names!CB18,Names!CC18)</f>
        <v>Loan Portfolio (R$)</v>
      </c>
      <c r="C17" s="409"/>
      <c r="D17" s="409"/>
      <c r="E17" s="409"/>
      <c r="F17" s="409"/>
      <c r="G17" s="409"/>
      <c r="H17" s="409"/>
      <c r="I17" s="409"/>
      <c r="J17" s="409"/>
      <c r="K17" s="409"/>
      <c r="L17" s="409"/>
      <c r="M17" s="409"/>
      <c r="N17" s="409"/>
      <c r="O17" s="409"/>
      <c r="P17" s="409"/>
      <c r="Q17" s="186"/>
      <c r="R17" s="186"/>
      <c r="S17" s="186"/>
      <c r="T17" s="409"/>
      <c r="U17" s="409"/>
      <c r="W17" s="186"/>
      <c r="X17" s="186"/>
      <c r="Z17" s="410"/>
    </row>
    <row r="18" spans="2:27" ht="13" customHeight="1">
      <c r="B18" s="395" t="str">
        <f>IF('Summary | Sumário'!D$6=Names!B$3,Names!CB20,Names!CC20)</f>
        <v>Total Loan Portfolio</v>
      </c>
      <c r="C18" s="421">
        <v>4106449</v>
      </c>
      <c r="D18" s="421">
        <v>4212400</v>
      </c>
      <c r="E18" s="421">
        <v>4439121</v>
      </c>
      <c r="F18" s="421">
        <v>4679575</v>
      </c>
      <c r="G18" s="421">
        <v>4790359</v>
      </c>
      <c r="H18" s="421">
        <v>4961785</v>
      </c>
      <c r="I18" s="421">
        <v>5160236</v>
      </c>
      <c r="J18" s="421">
        <v>5358049</v>
      </c>
      <c r="K18" s="421">
        <v>5417326</v>
      </c>
      <c r="L18" s="421">
        <v>5472241</v>
      </c>
      <c r="M18" s="421">
        <v>5616177</v>
      </c>
      <c r="N18" s="421">
        <v>5794196</v>
      </c>
      <c r="O18" s="421">
        <v>5899857</v>
      </c>
      <c r="P18" s="421">
        <v>6040221</v>
      </c>
      <c r="Q18" s="421">
        <v>6216178</v>
      </c>
      <c r="R18" s="421">
        <v>6462746</v>
      </c>
      <c r="S18" s="671">
        <v>6703448</v>
      </c>
      <c r="T18" s="671">
        <v>6685659</v>
      </c>
      <c r="U18" s="671">
        <v>6843539</v>
      </c>
      <c r="V18" s="129"/>
      <c r="W18" s="537">
        <f>U18/T18-1</f>
        <v>2.3614725190141961E-2</v>
      </c>
      <c r="X18" s="418">
        <f>U18/Q18-1</f>
        <v>0.10092391176700533</v>
      </c>
      <c r="Y18" s="129"/>
      <c r="Z18" s="521" t="str">
        <f>Names!CD20</f>
        <v>Banco Central do Brasil - SGS (20539)</v>
      </c>
      <c r="AA18" s="423"/>
    </row>
    <row r="19" spans="2:27" ht="13" customHeight="1">
      <c r="B19" s="414" t="str">
        <f>IF('Summary | Sumário'!D$6=Names!B$3,Names!CB22,Names!CC22)</f>
        <v>Credit Cards</v>
      </c>
      <c r="C19" s="407">
        <v>278610</v>
      </c>
      <c r="D19" s="407">
        <v>317579</v>
      </c>
      <c r="E19" s="407">
        <v>351862</v>
      </c>
      <c r="F19" s="407">
        <v>414773</v>
      </c>
      <c r="G19" s="407">
        <v>413819</v>
      </c>
      <c r="H19" s="407">
        <v>469222</v>
      </c>
      <c r="I19" s="407">
        <v>493089</v>
      </c>
      <c r="J19" s="407">
        <v>527816</v>
      </c>
      <c r="K19" s="407">
        <v>535027</v>
      </c>
      <c r="L19" s="407">
        <v>540525</v>
      </c>
      <c r="M19" s="407">
        <v>547583</v>
      </c>
      <c r="N19" s="407">
        <v>580074</v>
      </c>
      <c r="O19" s="407">
        <f>43410+536243</f>
        <v>579653</v>
      </c>
      <c r="P19" s="407">
        <f>39251+550273</f>
        <v>589524</v>
      </c>
      <c r="Q19" s="407">
        <f>565215+44459</f>
        <v>609674</v>
      </c>
      <c r="R19" s="407">
        <f>44122+610310</f>
        <v>654432</v>
      </c>
      <c r="S19" s="669">
        <f>620234+48738</f>
        <v>668972</v>
      </c>
      <c r="T19" s="669">
        <f>639247+51271</f>
        <v>690518</v>
      </c>
      <c r="U19" s="669">
        <f>53364+656464</f>
        <v>709828</v>
      </c>
      <c r="W19" s="419">
        <f t="shared" ref="W19:W23" si="1">U19/T19-1</f>
        <v>2.7964513597038776E-2</v>
      </c>
      <c r="X19" s="419">
        <f t="shared" ref="X19:X23" si="2">U19/Q19-1</f>
        <v>0.16427467794263828</v>
      </c>
      <c r="Z19" s="428" t="str">
        <f>Names!CD22</f>
        <v>Banco Central do Brasil - SGS - Individual and Business / Pessoa Física  e Pessoa Jurídica (20564, 20590)</v>
      </c>
      <c r="AA19" s="423"/>
    </row>
    <row r="20" spans="2:27" ht="13" customHeight="1">
      <c r="B20" s="397" t="str">
        <f>IF('Summary | Sumário'!D$6=Names!B$3,Names!CB23,Names!CC23)</f>
        <v>Personal</v>
      </c>
      <c r="C20" s="420">
        <v>612728</v>
      </c>
      <c r="D20" s="420">
        <v>650567</v>
      </c>
      <c r="E20" s="420">
        <v>691718</v>
      </c>
      <c r="F20" s="420">
        <v>724296</v>
      </c>
      <c r="G20" s="420">
        <v>748808</v>
      </c>
      <c r="H20" s="420">
        <v>786241</v>
      </c>
      <c r="I20" s="420">
        <v>809720</v>
      </c>
      <c r="J20" s="420">
        <v>837832</v>
      </c>
      <c r="K20" s="420">
        <v>859173</v>
      </c>
      <c r="L20" s="420">
        <v>866769</v>
      </c>
      <c r="M20" s="420">
        <v>880768</v>
      </c>
      <c r="N20" s="420">
        <v>891312</v>
      </c>
      <c r="O20" s="420">
        <v>932847</v>
      </c>
      <c r="P20" s="420">
        <v>955170</v>
      </c>
      <c r="Q20" s="420">
        <v>985540</v>
      </c>
      <c r="R20" s="420">
        <v>1004539</v>
      </c>
      <c r="S20" s="668">
        <v>1045867</v>
      </c>
      <c r="T20" s="668">
        <v>1064284</v>
      </c>
      <c r="U20" s="668">
        <v>1091043</v>
      </c>
      <c r="W20" s="313">
        <f t="shared" si="1"/>
        <v>2.5142725062107463E-2</v>
      </c>
      <c r="X20" s="313">
        <f t="shared" si="2"/>
        <v>0.10705095683584642</v>
      </c>
      <c r="Z20" s="429" t="str">
        <f>Names!CD23</f>
        <v>Banco Central do Brasil - SGS - Total Personal Loans / Crédito pessoal total (20580)</v>
      </c>
      <c r="AA20" s="423"/>
    </row>
    <row r="21" spans="2:27" ht="13" customHeight="1">
      <c r="B21" s="415" t="str">
        <f>IF('Summary | Sumário'!D$6=Names!B$3,Names!CB24,Names!CC24)</f>
        <v>Real Estate</v>
      </c>
      <c r="C21" s="407">
        <v>759254</v>
      </c>
      <c r="D21" s="407">
        <v>786037</v>
      </c>
      <c r="E21" s="407">
        <v>791963</v>
      </c>
      <c r="F21" s="407">
        <v>843692</v>
      </c>
      <c r="G21" s="407">
        <v>870530</v>
      </c>
      <c r="H21" s="407">
        <v>901028</v>
      </c>
      <c r="I21" s="407">
        <v>934095</v>
      </c>
      <c r="J21" s="407">
        <v>966479</v>
      </c>
      <c r="K21" s="407">
        <v>994735</v>
      </c>
      <c r="L21" s="407">
        <v>1025134</v>
      </c>
      <c r="M21" s="407">
        <v>1057696</v>
      </c>
      <c r="N21" s="407">
        <v>1090054</v>
      </c>
      <c r="O21" s="407">
        <f>53707+1063357</f>
        <v>1117064</v>
      </c>
      <c r="P21" s="407">
        <f>55616+1097353</f>
        <v>1152969</v>
      </c>
      <c r="Q21" s="407">
        <f>57748+1135977</f>
        <v>1193725</v>
      </c>
      <c r="R21" s="407">
        <f>61653+1167335</f>
        <v>1228988</v>
      </c>
      <c r="S21" s="669">
        <f>63879+1199798</f>
        <v>1263677</v>
      </c>
      <c r="T21" s="669">
        <f>67475+1233366</f>
        <v>1300841</v>
      </c>
      <c r="U21" s="669">
        <f>70847+1267288</f>
        <v>1338135</v>
      </c>
      <c r="W21" s="419">
        <f t="shared" si="1"/>
        <v>2.8669145575823674E-2</v>
      </c>
      <c r="X21" s="419">
        <f t="shared" si="2"/>
        <v>0.12097426124107313</v>
      </c>
      <c r="Z21" s="430" t="str">
        <f>Names!CD24</f>
        <v>Banco Central do Brasil - SGS - Total Real Estate Loans  / Crédito Imobiliário Total (20600 e 20612)</v>
      </c>
      <c r="AA21" s="423"/>
    </row>
    <row r="22" spans="2:27" ht="13" customHeight="1">
      <c r="B22" s="397" t="str">
        <f>IF('Summary | Sumário'!D$6=Names!B$3,Names!CB25,Names!CC25)</f>
        <v>Business</v>
      </c>
      <c r="C22" s="420">
        <v>1135857</v>
      </c>
      <c r="D22" s="420">
        <v>1161495</v>
      </c>
      <c r="E22" s="420">
        <v>1212928</v>
      </c>
      <c r="F22" s="420">
        <v>1301459</v>
      </c>
      <c r="G22" s="420">
        <v>1328637</v>
      </c>
      <c r="H22" s="420">
        <v>1384359</v>
      </c>
      <c r="I22" s="420">
        <v>1354788</v>
      </c>
      <c r="J22" s="420">
        <v>1399002</v>
      </c>
      <c r="K22" s="420">
        <v>1374526</v>
      </c>
      <c r="L22" s="420">
        <v>1379862</v>
      </c>
      <c r="M22" s="420">
        <v>1385219</v>
      </c>
      <c r="N22" s="420">
        <v>1424128</v>
      </c>
      <c r="O22" s="420">
        <f>1470709-43410-53707</f>
        <v>1373592</v>
      </c>
      <c r="P22" s="420">
        <f>1501046-39251-55616</f>
        <v>1406179</v>
      </c>
      <c r="Q22" s="420">
        <f>1534714-44459-57748</f>
        <v>1432507</v>
      </c>
      <c r="R22" s="420">
        <f>1600740-44122-61653</f>
        <v>1494965</v>
      </c>
      <c r="S22" s="668">
        <f>1576967-48738-63879</f>
        <v>1464350</v>
      </c>
      <c r="T22" s="668">
        <f>1576967-50448-67475</f>
        <v>1459044</v>
      </c>
      <c r="U22" s="668">
        <f>1595850-70847-51271</f>
        <v>1473732</v>
      </c>
      <c r="W22" s="313">
        <f t="shared" si="1"/>
        <v>1.0066865701102934E-2</v>
      </c>
      <c r="X22" s="313">
        <f t="shared" si="2"/>
        <v>2.877821888479426E-2</v>
      </c>
      <c r="Z22" s="429" t="str">
        <f>Names!CD25</f>
        <v>Banco Central do Brasil - SGS - Total non-financial corporations, excluding cards and real estate / Pessoas jurídicas total, excluindo cartões e imob. (20543)</v>
      </c>
      <c r="AA22" s="423"/>
    </row>
    <row r="23" spans="2:27" ht="13" customHeight="1">
      <c r="B23" s="415" t="str">
        <f>IF('Summary | Sumário'!D$6=Names!B$3,Names!CB26,Names!CC26)</f>
        <v>Others</v>
      </c>
      <c r="C23" s="407">
        <v>1320000</v>
      </c>
      <c r="D23" s="407">
        <v>1296722</v>
      </c>
      <c r="E23" s="407">
        <v>1390650</v>
      </c>
      <c r="F23" s="407">
        <v>1395355</v>
      </c>
      <c r="G23" s="407">
        <v>1428565</v>
      </c>
      <c r="H23" s="407">
        <v>1420935</v>
      </c>
      <c r="I23" s="407">
        <v>2297292</v>
      </c>
      <c r="J23" s="407">
        <v>1626920</v>
      </c>
      <c r="K23" s="407">
        <v>1657339</v>
      </c>
      <c r="L23" s="407">
        <v>1664077</v>
      </c>
      <c r="M23" s="407">
        <v>1749317</v>
      </c>
      <c r="N23" s="407">
        <v>1808526</v>
      </c>
      <c r="O23" s="407">
        <f t="shared" ref="O23:Q23" si="3">O18-SUM(O19:O22)</f>
        <v>1896701</v>
      </c>
      <c r="P23" s="407">
        <f t="shared" si="3"/>
        <v>1936379</v>
      </c>
      <c r="Q23" s="407">
        <f t="shared" si="3"/>
        <v>1994732</v>
      </c>
      <c r="R23" s="407">
        <f>R18-SUM(R19:R22)</f>
        <v>2079822</v>
      </c>
      <c r="S23" s="669">
        <f>S18-SUM(S19:S22)</f>
        <v>2260582</v>
      </c>
      <c r="T23" s="669">
        <f>T18-SUM(T19:T22)</f>
        <v>2170972</v>
      </c>
      <c r="U23" s="669">
        <f>U18-SUM(U19:U22)</f>
        <v>2230801</v>
      </c>
      <c r="W23" s="419">
        <f t="shared" si="1"/>
        <v>2.755862351057492E-2</v>
      </c>
      <c r="X23" s="419">
        <f t="shared" si="2"/>
        <v>0.1183462239538946</v>
      </c>
      <c r="Z23" s="409"/>
    </row>
    <row r="24" spans="2:27" ht="13" customHeight="1">
      <c r="B24" s="161"/>
    </row>
    <row r="25" spans="2:27" ht="13" customHeight="1">
      <c r="B25" s="161"/>
    </row>
    <row r="26" spans="2:27" ht="13" customHeight="1">
      <c r="B26" s="161" t="str">
        <f>IF('Summary | Sumário'!D$6=Names!B$3,Names!CB29,Names!CC29)</f>
        <v>Note 1: Excluding transactions made outside the SPI</v>
      </c>
      <c r="T26" s="229"/>
      <c r="U26" s="229"/>
    </row>
    <row r="27" spans="2:27" ht="13" customHeight="1">
      <c r="B27" s="116" t="str">
        <f>IF('Summary | Sumário'!D$6=Names!B$3,Names!CB30,Names!CC30)</f>
        <v>Note 2: Including both debit and prepaid cards</v>
      </c>
    </row>
    <row r="33" spans="3:21" ht="13" customHeight="1">
      <c r="C33"/>
      <c r="D33"/>
      <c r="E33"/>
      <c r="F33"/>
      <c r="G33"/>
      <c r="H33"/>
      <c r="I33"/>
      <c r="J33"/>
      <c r="K33"/>
      <c r="L33"/>
      <c r="M33"/>
      <c r="N33"/>
      <c r="O33"/>
      <c r="P33"/>
      <c r="Q33"/>
      <c r="R33"/>
      <c r="S33"/>
      <c r="T33"/>
      <c r="U33"/>
    </row>
  </sheetData>
  <sheetProtection algorithmName="SHA-512" hashValue="S3L+qnWXJPlTgJX6izI2t7NLTFOyI4mqQQlbd0GqR3hwWjSWu1oJ37qxUGCxFj1a1GufKXg0bD69V9S+qUZ+ag==" saltValue="Gk2rqzxU0zLnGvo6Jx3BCA==" spinCount="100000" sheet="1" formatCells="0" formatColumns="0" formatRows="0" insertColumns="0" insertRows="0" insertHyperlinks="0" deleteColumns="0" deleteRows="0" sort="0" autoFilter="0" pivotTables="0"/>
  <hyperlinks>
    <hyperlink ref="Z5" r:id="rId1" display="https://www.bcb.gov.br/acessoinformacao/ccsestatisticas" xr:uid="{7F4CBBEA-AFE8-6D45-934C-93BBE883EBAE}"/>
    <hyperlink ref="Z6" r:id="rId2" display="https://www.bcb.gov.br/acessoinformacao/ccsestatisticas" xr:uid="{A536EC5D-0833-A747-A798-0DC1FDD495E3}"/>
    <hyperlink ref="Z9" r:id="rId3" display="https://www.bcb.gov.br/estabilidadefinanceira/estatisticaspix" xr:uid="{B5CAA6F5-5771-4E46-897A-5F7E3E1DC323}"/>
    <hyperlink ref="Z13" r:id="rId4" display="https://www.abecs.org.br/graficos" xr:uid="{93A15D28-D8DB-6A46-9A74-73E1E6281D14}"/>
  </hyperlinks>
  <pageMargins left="0.511811024" right="0.511811024" top="0.78740157499999996" bottom="0.78740157499999996" header="0.31496062000000002" footer="0.31496062000000002"/>
  <pageSetup paperSize="9" orientation="portrait" horizontalDpi="0" verticalDpi="0"/>
  <drawing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10FBE-BD91-484B-A196-2EBFD96B9D5E}">
  <sheetPr codeName="Sheet29">
    <tabColor theme="0" tint="-0.14999847407452621"/>
  </sheetPr>
  <dimension ref="A1:W66"/>
  <sheetViews>
    <sheetView showGridLines="0" topLeftCell="W1" zoomScale="125" zoomScaleNormal="100" workbookViewId="0">
      <selection sqref="A1:V1048576"/>
    </sheetView>
  </sheetViews>
  <sheetFormatPr baseColWidth="10" defaultColWidth="10.83203125" defaultRowHeight="15" customHeight="1"/>
  <cols>
    <col min="1" max="1" width="3.33203125" style="37" hidden="1" customWidth="1"/>
    <col min="2" max="2" width="2.1640625" style="37" hidden="1" customWidth="1"/>
    <col min="3" max="3" width="43.6640625" style="37" hidden="1" customWidth="1"/>
    <col min="4" max="4" width="16.83203125" style="37" hidden="1" customWidth="1"/>
    <col min="5" max="5" width="14" style="39" hidden="1" customWidth="1"/>
    <col min="6" max="6" width="2" style="39" hidden="1" customWidth="1"/>
    <col min="7" max="7" width="8.83203125" style="37" hidden="1" customWidth="1"/>
    <col min="8" max="8" width="2.83203125" style="37" hidden="1" customWidth="1"/>
    <col min="9" max="9" width="59.33203125" style="37" hidden="1" customWidth="1"/>
    <col min="10" max="14" width="9.83203125" style="37" hidden="1" customWidth="1"/>
    <col min="15" max="15" width="13.5" style="37" hidden="1" customWidth="1"/>
    <col min="16" max="16" width="2.5" style="37" hidden="1" customWidth="1"/>
    <col min="17" max="17" width="8.83203125" style="37" hidden="1" customWidth="1"/>
    <col min="18" max="18" width="10.83203125" style="37" hidden="1" customWidth="1"/>
    <col min="19" max="19" width="8.83203125" style="37" hidden="1" customWidth="1"/>
    <col min="20" max="20" width="10.83203125" style="37" hidden="1" customWidth="1"/>
    <col min="21" max="21" width="2.83203125" style="37" hidden="1" customWidth="1"/>
    <col min="22" max="22" width="0" style="37" hidden="1" customWidth="1"/>
    <col min="23" max="23" width="10.83203125" style="37"/>
    <col min="24" max="24" width="8.83203125" style="37" customWidth="1"/>
    <col min="25" max="25" width="10.83203125" style="37"/>
    <col min="26" max="26" width="8.83203125" style="37" customWidth="1"/>
    <col min="27" max="27" width="3.5" style="37" customWidth="1"/>
    <col min="28" max="16384" width="10.83203125" style="37"/>
  </cols>
  <sheetData>
    <row r="1" spans="2:23" ht="15" customHeight="1" thickBot="1"/>
    <row r="2" spans="2:23" ht="8" customHeight="1">
      <c r="B2" s="446"/>
      <c r="C2" s="447"/>
      <c r="D2" s="447"/>
      <c r="E2" s="448"/>
      <c r="F2" s="448"/>
      <c r="G2" s="447"/>
      <c r="H2" s="447"/>
      <c r="I2" s="447"/>
      <c r="J2" s="447"/>
      <c r="K2" s="447"/>
      <c r="L2" s="447"/>
      <c r="M2" s="447"/>
      <c r="N2" s="447"/>
      <c r="O2" s="447"/>
      <c r="P2" s="447"/>
      <c r="Q2" s="447"/>
      <c r="R2" s="447"/>
      <c r="S2" s="447"/>
      <c r="T2" s="447"/>
      <c r="U2" s="456"/>
    </row>
    <row r="3" spans="2:23" ht="15" customHeight="1">
      <c r="B3" s="457"/>
      <c r="C3" s="746" t="str">
        <f>IF('Summary | Sumário'!D6=Names!B3,Names!BZ1,Names!CA1)</f>
        <v>Managerial KPIs Effects in 2Q25 Financial Statements</v>
      </c>
      <c r="D3" s="746"/>
      <c r="E3" s="746"/>
      <c r="F3" s="746"/>
      <c r="G3" s="746"/>
      <c r="H3" s="746"/>
      <c r="I3" s="746"/>
      <c r="J3" s="746"/>
      <c r="K3" s="746"/>
      <c r="L3" s="746"/>
      <c r="M3" s="746"/>
      <c r="N3" s="746"/>
      <c r="O3" s="746"/>
      <c r="P3" s="746"/>
      <c r="Q3" s="746"/>
      <c r="R3" s="746"/>
      <c r="S3" s="746"/>
      <c r="T3" s="746"/>
      <c r="U3" s="458"/>
    </row>
    <row r="4" spans="2:23" ht="15" customHeight="1">
      <c r="B4" s="457"/>
      <c r="C4" s="746"/>
      <c r="D4" s="746"/>
      <c r="E4" s="746"/>
      <c r="F4" s="746"/>
      <c r="G4" s="746"/>
      <c r="H4" s="746"/>
      <c r="I4" s="746"/>
      <c r="J4" s="746"/>
      <c r="K4" s="746"/>
      <c r="L4" s="746"/>
      <c r="M4" s="746"/>
      <c r="N4" s="746"/>
      <c r="O4" s="746"/>
      <c r="P4" s="746"/>
      <c r="Q4" s="746"/>
      <c r="R4" s="746"/>
      <c r="S4" s="746"/>
      <c r="T4" s="746"/>
      <c r="U4" s="458"/>
    </row>
    <row r="5" spans="2:23" ht="77" customHeight="1">
      <c r="B5" s="457"/>
      <c r="C5" s="747" t="str">
        <f>IF('Summary | Sumário'!D6=Names!B3,Names!BZ2,Names!CA2)</f>
        <v>Instructions for Use:
1. Read the disclaimer bellow before using this sheet.
2. The simulation is pre-set with Q2'25 Key Performance Indicators (KPIs) in column D. You can modify the simulation by entering your desired KPI values in the green cells in Column D.
3. Once you input the new KPI values, the corresponding results will be updated in column O of the Income Statement, Balance Sheet, or both, depending on the specific KPI. The values that may alter are marked in orange.
4. Additionally, the KPI Output in column D will change dynamically based on your input, allowing you to observe the effects of different KPI values.</v>
      </c>
      <c r="D5" s="747"/>
      <c r="E5" s="747"/>
      <c r="F5" s="747"/>
      <c r="G5" s="747"/>
      <c r="H5" s="747"/>
      <c r="I5" s="747"/>
      <c r="J5" s="747"/>
      <c r="K5" s="747"/>
      <c r="L5" s="747"/>
      <c r="M5" s="747"/>
      <c r="N5" s="747"/>
      <c r="O5" s="747"/>
      <c r="P5" s="747"/>
      <c r="Q5" s="747"/>
      <c r="R5" s="747"/>
      <c r="S5" s="747"/>
      <c r="T5" s="747"/>
      <c r="U5" s="748"/>
    </row>
    <row r="6" spans="2:23" ht="8" customHeight="1" thickBot="1">
      <c r="B6" s="452"/>
      <c r="C6" s="459"/>
      <c r="D6" s="459"/>
      <c r="E6" s="459"/>
      <c r="F6" s="459"/>
      <c r="G6" s="459"/>
      <c r="H6" s="459"/>
      <c r="I6" s="459"/>
      <c r="J6" s="459"/>
      <c r="K6" s="459"/>
      <c r="L6" s="459"/>
      <c r="M6" s="459"/>
      <c r="N6" s="459"/>
      <c r="O6" s="453"/>
      <c r="P6" s="453"/>
      <c r="Q6" s="453"/>
      <c r="R6" s="453"/>
      <c r="S6" s="453"/>
      <c r="T6" s="453"/>
      <c r="U6" s="460"/>
    </row>
    <row r="7" spans="2:23" ht="15" customHeight="1" thickBot="1">
      <c r="C7" s="42"/>
      <c r="D7" s="42"/>
      <c r="E7" s="42"/>
      <c r="F7" s="42"/>
      <c r="G7" s="42"/>
      <c r="H7" s="42"/>
      <c r="I7" s="42"/>
      <c r="J7" s="42"/>
      <c r="K7" s="42"/>
      <c r="L7" s="42"/>
      <c r="M7" s="42"/>
      <c r="N7" s="42"/>
    </row>
    <row r="8" spans="2:23" ht="15" customHeight="1">
      <c r="B8" s="431"/>
      <c r="C8" s="432"/>
      <c r="D8" s="432"/>
      <c r="E8" s="432"/>
      <c r="F8" s="433"/>
      <c r="G8" s="43"/>
      <c r="H8" s="463"/>
      <c r="I8" s="432"/>
      <c r="J8" s="432"/>
      <c r="K8" s="432"/>
      <c r="L8" s="432"/>
      <c r="M8" s="432"/>
      <c r="N8" s="432"/>
      <c r="O8" s="464"/>
      <c r="P8" s="464"/>
      <c r="Q8" s="750" t="str">
        <f>IF('Summary | Sumário'!$D$6=Names!$B$3,Names!BZ53,Names!CA53)</f>
        <v>Variation %</v>
      </c>
      <c r="R8" s="750"/>
      <c r="S8" s="750"/>
      <c r="T8" s="750"/>
      <c r="U8" s="465"/>
    </row>
    <row r="9" spans="2:23" ht="15" customHeight="1">
      <c r="B9" s="434"/>
      <c r="C9" s="267" t="str">
        <f>IF('Summary | Sumário'!$D$6=Names!$B$3,Names!BZ3,Names!CA3)</f>
        <v>KPI Inputs</v>
      </c>
      <c r="D9" s="309" t="str">
        <f>IF('Summary | Sumário'!$D$6=Names!$B$3,Names!BZ18,Names!CA18)</f>
        <v>Input Values:</v>
      </c>
      <c r="E9" s="435" t="str">
        <f>IF('Summary | Sumário'!$D$6=Names!$B$3,Names!BZ19,Names!CA19)</f>
        <v>1Q25 Actual</v>
      </c>
      <c r="F9" s="436"/>
      <c r="H9" s="434"/>
      <c r="I9" s="267" t="str">
        <f>IF('Summary | Sumário'!$D$6=Names!$B$3,Names!BZ22,Names!CA22)</f>
        <v>Managerial Income Statement (R$ Millions)</v>
      </c>
      <c r="J9" s="435" t="str">
        <f>IF('Summary | Sumário'!D6=Names!B3,Names!C20,Names!D20)</f>
        <v>2Q24</v>
      </c>
      <c r="K9" s="435" t="str">
        <f>IF('Summary | Sumário'!D6=Names!B3,Names!C21,Names!D21)</f>
        <v>3Q24</v>
      </c>
      <c r="L9" s="435" t="str">
        <f>IF('Summary | Sumário'!D6=Names!B3,Names!C22,Names!D22)</f>
        <v>4Q24</v>
      </c>
      <c r="M9" s="435" t="str">
        <f>IF('Summary | Sumário'!D6=Names!B3,Names!C24,Names!D24)</f>
        <v>1Q25</v>
      </c>
      <c r="N9" s="435" t="str">
        <f>IF('Summary | Sumário'!D6=Names!B3,Names!C25,Names!D25)</f>
        <v>2Q25</v>
      </c>
      <c r="O9" s="310" t="str">
        <f>_xlfn.CONCAT(IF('Summary | Sumário'!D6=Names!B3,Names!C25,Names!D25),"S")</f>
        <v>2Q25S</v>
      </c>
      <c r="P9" s="466"/>
      <c r="Q9" s="90" t="str">
        <f>IF('Summary | Sumário'!$D$6=Names!$B$3,Names!BZ55,Names!CA55)</f>
        <v>Δ QoQS</v>
      </c>
      <c r="R9" s="90" t="str">
        <f>IF('Summary | Sumário'!$D$6=Names!$B$3,Names!BZ56,Names!CA56)</f>
        <v>Δ QoQ Actual</v>
      </c>
      <c r="S9" s="90" t="str">
        <f>IF('Summary | Sumário'!$D$6=Names!$B$3,Names!BZ57,Names!CA57)</f>
        <v>ΔYoYS</v>
      </c>
      <c r="T9" s="90" t="str">
        <f>IF('Summary | Sumário'!$D$6=Names!$B$3,Names!BZ58,Names!CA58)</f>
        <v>ΔYoY Actual</v>
      </c>
      <c r="U9" s="467"/>
    </row>
    <row r="10" spans="2:23" ht="15" customHeight="1">
      <c r="B10" s="434"/>
      <c r="C10" s="437" t="str">
        <f>IF('Summary | Sumário'!$D$6=Names!$B$3,Names!BZ4,Names!CA4)</f>
        <v>Income Statement</v>
      </c>
      <c r="D10" s="91"/>
      <c r="E10" s="91"/>
      <c r="F10" s="438"/>
      <c r="H10" s="434"/>
      <c r="I10" s="468" t="str">
        <f>IF('Summary | Sumário'!$D$6=Names!$B$3,Names!BZ23,Names!CA23)</f>
        <v>Interest income + income from securites and derivatives</v>
      </c>
      <c r="J10" s="469">
        <f>('3. IS | DRE'!W4+'3. IS | DRE'!W6)/1000</f>
        <v>1814.5083348038499</v>
      </c>
      <c r="K10" s="469">
        <f>('3. IS | DRE'!X4+'3. IS | DRE'!X6)/1000</f>
        <v>1999.9668495736332</v>
      </c>
      <c r="L10" s="469">
        <f>('3. IS | DRE'!Y4+'3. IS | DRE'!Y6)/1000</f>
        <v>2199.2400178025168</v>
      </c>
      <c r="M10" s="469">
        <f>('3. IS | DRE'!Z4+'3. IS | DRE'!Z6)/1000</f>
        <v>2541.6142999999997</v>
      </c>
      <c r="N10" s="469">
        <f>('3. IS | DRE'!AA4+'3. IS | DRE'!AA6)/1000</f>
        <v>2893.4650000000001</v>
      </c>
      <c r="O10" s="621">
        <f>O12-O11</f>
        <v>2895.424182880392</v>
      </c>
      <c r="P10" s="469"/>
      <c r="Q10" s="470">
        <f>O10/M10-1</f>
        <v>0.13920675646198255</v>
      </c>
      <c r="R10" s="470">
        <f>N10/M10-1</f>
        <v>0.13843591452880966</v>
      </c>
      <c r="S10" s="470">
        <f>O10/J10-1</f>
        <v>0.59570729290333624</v>
      </c>
      <c r="T10" s="470">
        <f>N10/J10-1</f>
        <v>0.59462756081127965</v>
      </c>
      <c r="U10" s="467"/>
    </row>
    <row r="11" spans="2:23" ht="15" customHeight="1">
      <c r="B11" s="434"/>
      <c r="C11" s="439" t="str">
        <f>IF('Summary | Sumário'!$D$6=Names!$B$3,Names!BZ5,Names!CA5)</f>
        <v>Cost of funding (%)</v>
      </c>
      <c r="D11" s="92">
        <f t="shared" ref="D11:D16" si="0">E11</f>
        <v>9.3900895924388036E-2</v>
      </c>
      <c r="E11" s="44">
        <f>'9.7 Cost of Funding'!AA10</f>
        <v>9.3900895924388036E-2</v>
      </c>
      <c r="F11" s="440"/>
      <c r="H11" s="434"/>
      <c r="I11" s="471" t="str">
        <f>IF('Summary | Sumário'!$D$6=Names!$B$3,Names!BZ24,Names!CA24)</f>
        <v>Interest expenses</v>
      </c>
      <c r="J11" s="625">
        <f>'3. IS | DRE'!W5/1000</f>
        <v>-772.64260900000011</v>
      </c>
      <c r="K11" s="625">
        <f>'3. IS | DRE'!X5/1000</f>
        <v>-835.61671799999999</v>
      </c>
      <c r="L11" s="625">
        <f>'3. IS | DRE'!Y5/1000</f>
        <v>-941.13220175799984</v>
      </c>
      <c r="M11" s="625">
        <f>'3. IS | DRE'!Z5/1000</f>
        <v>-1179.02</v>
      </c>
      <c r="N11" s="625">
        <f>'3. IS | DRE'!AA5/1000</f>
        <v>-1423.9580000000001</v>
      </c>
      <c r="O11" s="621">
        <f>-(D11)*AVERAGE(O40,M40)/4*1000</f>
        <v>-1425.9171828803924</v>
      </c>
      <c r="P11" s="472"/>
      <c r="Q11" s="473">
        <f>O11/M11-1</f>
        <v>0.20940881654288512</v>
      </c>
      <c r="R11" s="473">
        <f>N11/M11-1</f>
        <v>0.20774711200827811</v>
      </c>
      <c r="S11" s="473">
        <f>O11/J11-1</f>
        <v>0.84550679223593295</v>
      </c>
      <c r="T11" s="473">
        <f>N11/J11-1</f>
        <v>0.84297110127406905</v>
      </c>
      <c r="U11" s="467"/>
    </row>
    <row r="12" spans="2:23" ht="15" customHeight="1">
      <c r="B12" s="434"/>
      <c r="C12" s="439" t="str">
        <f>IF('Summary | Sumário'!D$6=Names!B$3,Names!Q7,Names!R7)</f>
        <v>NIM 2.0 (%)</v>
      </c>
      <c r="D12" s="92">
        <f t="shared" si="0"/>
        <v>9.0695418380868989E-2</v>
      </c>
      <c r="E12" s="44">
        <f>'9.2 NIM &amp; Yields'!AA9</f>
        <v>9.0695418380868989E-2</v>
      </c>
      <c r="F12" s="440"/>
      <c r="H12" s="434"/>
      <c r="I12" s="35" t="str">
        <f>IF('Summary | Sumário'!$D$6=Names!$B$3,Names!BZ25,Names!CA25)</f>
        <v>Net interest income</v>
      </c>
      <c r="J12" s="619">
        <f>SUM(J10:J11)</f>
        <v>1041.8657258038497</v>
      </c>
      <c r="K12" s="619">
        <f>SUM(K10:K11)</f>
        <v>1164.3501315736332</v>
      </c>
      <c r="L12" s="619">
        <f>SUM(L10:L11)</f>
        <v>1258.107816044517</v>
      </c>
      <c r="M12" s="619">
        <f>SUM(M10:M11)</f>
        <v>1362.5942999999997</v>
      </c>
      <c r="N12" s="619">
        <f>SUM(N10:N11)</f>
        <v>1469.5070000000001</v>
      </c>
      <c r="O12" s="620">
        <f>(D12*AVERAGE(O34,M34)/4)*1000</f>
        <v>1469.5069999999996</v>
      </c>
      <c r="P12" s="32"/>
      <c r="Q12" s="93">
        <f>O12/M12-1</f>
        <v>7.8462606221088693E-2</v>
      </c>
      <c r="R12" s="93">
        <f>N12/M12-1</f>
        <v>7.8462606221088915E-2</v>
      </c>
      <c r="S12" s="93">
        <f>O12/J12-1</f>
        <v>0.41045718618510452</v>
      </c>
      <c r="T12" s="93">
        <f>N12/J12-1</f>
        <v>0.41045718618510496</v>
      </c>
      <c r="U12" s="467"/>
    </row>
    <row r="13" spans="2:23" ht="15" customHeight="1">
      <c r="B13" s="434"/>
      <c r="C13" s="439" t="str">
        <f>IF('Summary | Sumário'!$D$6=Names!$B$3,Names!BZ7,Names!CA7)</f>
        <v>Net fee income growth (%, QoQ)</v>
      </c>
      <c r="D13" s="92">
        <f t="shared" si="0"/>
        <v>0.1228277878178512</v>
      </c>
      <c r="E13" s="44">
        <f>N14/M14-1</f>
        <v>0.1228277878178512</v>
      </c>
      <c r="F13" s="440"/>
      <c r="H13" s="434"/>
      <c r="I13" s="471"/>
      <c r="J13" s="472"/>
      <c r="K13" s="472"/>
      <c r="L13" s="472"/>
      <c r="M13" s="472"/>
      <c r="O13" s="621"/>
      <c r="P13" s="474"/>
      <c r="Q13" s="475"/>
      <c r="R13" s="475"/>
      <c r="S13" s="475"/>
      <c r="T13" s="475"/>
      <c r="U13" s="467"/>
    </row>
    <row r="14" spans="2:23" ht="15" customHeight="1">
      <c r="B14" s="434"/>
      <c r="C14" s="439" t="str">
        <f>IF('Summary | Sumário'!$D$6=Names!$B$3,Names!BZ8,Names!CA8)</f>
        <v>Cost of risk (%)</v>
      </c>
      <c r="D14" s="92">
        <f t="shared" si="0"/>
        <v>4.9775789895540309E-2</v>
      </c>
      <c r="E14" s="44">
        <f>'9.1 Asset Quality'!AA43</f>
        <v>4.9775789895540309E-2</v>
      </c>
      <c r="F14" s="440"/>
      <c r="H14" s="434"/>
      <c r="I14" s="468" t="str">
        <f>IF('Summary | Sumário'!$D$6=Names!$B$3,Names!BZ27,Names!CA27)</f>
        <v>Net fee revenue + other revenues</v>
      </c>
      <c r="J14" s="469">
        <f>('3. IS | DRE'!W9+'3. IS | DRE'!W10+'3. IS | DRE'!W11)/1000</f>
        <v>436.73208523867993</v>
      </c>
      <c r="K14" s="469">
        <f>('3. IS | DRE'!X9+'3. IS | DRE'!X10+'3. IS | DRE'!X11)/1000</f>
        <v>511.79311297993877</v>
      </c>
      <c r="L14" s="469">
        <f>('3. IS | DRE'!Y9+'3. IS | DRE'!Y10+'3. IS | DRE'!Y11)/1000</f>
        <v>586.37721019924902</v>
      </c>
      <c r="M14" s="469">
        <f>('3. IS | DRE'!Z9+'3. IS | DRE'!Z10+'3. IS | DRE'!Z11)/1000</f>
        <v>475.20680000000004</v>
      </c>
      <c r="N14" s="469">
        <f>('3. IS | DRE'!AA9+'3. IS | DRE'!AA10+'3. IS | DRE'!AA11)/1000</f>
        <v>533.57540000000006</v>
      </c>
      <c r="O14" s="621">
        <f>M14*(1+D13)</f>
        <v>533.57540000000006</v>
      </c>
      <c r="P14" s="476"/>
      <c r="Q14" s="477">
        <f t="shared" ref="Q14:Q15" si="1">O14/M14-1</f>
        <v>0.1228277878178512</v>
      </c>
      <c r="R14" s="477">
        <f t="shared" ref="R14:R15" si="2">N14/M14-1</f>
        <v>0.1228277878178512</v>
      </c>
      <c r="S14" s="477">
        <f t="shared" ref="S14:S15" si="3">O14/J14-1</f>
        <v>0.22174536296868119</v>
      </c>
      <c r="T14" s="477">
        <f t="shared" ref="T14:T15" si="4">N14/J14-1</f>
        <v>0.22174536296868119</v>
      </c>
      <c r="U14" s="467"/>
    </row>
    <row r="15" spans="2:23" ht="15" customHeight="1">
      <c r="B15" s="434"/>
      <c r="C15" s="439" t="str">
        <f>IF('Summary | Sumário'!$D$6=Names!$B$3,Names!BZ9,Names!CA9)</f>
        <v>Efficiency ratio (%)</v>
      </c>
      <c r="D15" s="92">
        <f t="shared" si="0"/>
        <v>0.47827415443673621</v>
      </c>
      <c r="E15" s="44">
        <f>'9.4 Efficiency | Eficiência'!AA26</f>
        <v>0.47827415443673621</v>
      </c>
      <c r="F15" s="440"/>
      <c r="H15" s="434"/>
      <c r="I15" s="36" t="str">
        <f>IF('Summary | Sumário'!$D$6=Names!$B$3,Names!BZ28,Names!CA28)</f>
        <v>Revenues</v>
      </c>
      <c r="J15" s="622">
        <f>J12+SUM(J14)</f>
        <v>1478.5978110425297</v>
      </c>
      <c r="K15" s="622">
        <f>K12+SUM(K14)</f>
        <v>1676.143244553572</v>
      </c>
      <c r="L15" s="622">
        <f>L12+SUM(L14)</f>
        <v>1844.485026243766</v>
      </c>
      <c r="M15" s="622">
        <f>M12+SUM(M14)</f>
        <v>1837.8010999999997</v>
      </c>
      <c r="N15" s="622">
        <f>N12+SUM(N14)</f>
        <v>2003.0824000000002</v>
      </c>
      <c r="O15" s="620">
        <f>SUM(O12,O14)</f>
        <v>2003.0823999999998</v>
      </c>
      <c r="P15" s="34"/>
      <c r="Q15" s="94">
        <f t="shared" si="1"/>
        <v>8.9934269818426005E-2</v>
      </c>
      <c r="R15" s="94">
        <f t="shared" si="2"/>
        <v>8.9934269818426227E-2</v>
      </c>
      <c r="S15" s="94">
        <f t="shared" si="3"/>
        <v>0.35471754728736316</v>
      </c>
      <c r="T15" s="94">
        <f t="shared" si="4"/>
        <v>0.35471754728736338</v>
      </c>
      <c r="U15" s="467"/>
      <c r="W15" s="84"/>
    </row>
    <row r="16" spans="2:23" ht="15" customHeight="1">
      <c r="B16" s="434"/>
      <c r="C16" s="439" t="str">
        <f>IF('Summary | Sumário'!$D$6=Names!$B$3,Names!BZ10,Names!CA10)</f>
        <v>Tax expenses as % of total revenues</v>
      </c>
      <c r="D16" s="92">
        <f t="shared" si="0"/>
        <v>8.8303706327807582E-2</v>
      </c>
      <c r="E16" s="44">
        <f>-N21/N15</f>
        <v>8.8303706327807582E-2</v>
      </c>
      <c r="F16" s="440"/>
      <c r="H16" s="434"/>
      <c r="I16" s="468"/>
      <c r="J16" s="469"/>
      <c r="K16" s="469"/>
      <c r="L16" s="469"/>
      <c r="M16" s="469"/>
      <c r="N16" s="469"/>
      <c r="O16" s="621"/>
      <c r="P16" s="476"/>
      <c r="Q16" s="477"/>
      <c r="R16" s="477"/>
      <c r="S16" s="477"/>
      <c r="T16" s="477"/>
      <c r="U16" s="467"/>
    </row>
    <row r="17" spans="2:21" ht="15" customHeight="1">
      <c r="B17" s="434"/>
      <c r="C17" s="437" t="str">
        <f>IF('Summary | Sumário'!$D$6=Names!$B$3,Names!BZ11,Names!CA11)</f>
        <v>Balance Sheet</v>
      </c>
      <c r="D17" s="91"/>
      <c r="E17" s="95"/>
      <c r="F17" s="438"/>
      <c r="H17" s="434"/>
      <c r="I17" s="471" t="str">
        <f>IF('Summary | Sumário'!$D$6=Names!$B$3,Names!BZ30,Names!CA30)</f>
        <v>Impairment losses on financial assets</v>
      </c>
      <c r="J17" s="472">
        <f>'3. IS | DRE'!W14/1000</f>
        <v>-421.24766099999999</v>
      </c>
      <c r="K17" s="472">
        <f>'3. IS | DRE'!X14/1000</f>
        <v>-471.42665</v>
      </c>
      <c r="L17" s="472">
        <f>'3. IS | DRE'!Y14/1000</f>
        <v>-495.73002499999967</v>
      </c>
      <c r="M17" s="472">
        <f>'3. IS | DRE'!Z14/1000</f>
        <v>-513.68140000000005</v>
      </c>
      <c r="N17" s="472">
        <f>'3. IS | DRE'!AA14/1000</f>
        <v>-569.24900000000002</v>
      </c>
      <c r="O17" s="621">
        <f>-(D14*AVERAGE(O35,M35)/4)*1000</f>
        <v>-569.24900000000002</v>
      </c>
      <c r="P17" s="474"/>
      <c r="Q17" s="475">
        <f t="shared" ref="Q17:Q18" si="5">O17/M17-1</f>
        <v>0.10817522300787985</v>
      </c>
      <c r="R17" s="475">
        <f t="shared" ref="R17:R18" si="6">N17/M17-1</f>
        <v>0.10817522300787985</v>
      </c>
      <c r="S17" s="475">
        <f t="shared" ref="S17:S18" si="7">O17/J17-1</f>
        <v>0.35134044103333317</v>
      </c>
      <c r="T17" s="475">
        <f t="shared" ref="T17:T18" si="8">N17/J17-1</f>
        <v>0.35134044103333317</v>
      </c>
      <c r="U17" s="467"/>
    </row>
    <row r="18" spans="2:21" ht="15" customHeight="1">
      <c r="B18" s="434"/>
      <c r="C18" s="439" t="str">
        <f>IF('Summary | Sumário'!$D$6=Names!$B$3,Names!BZ12,Names!CA12)</f>
        <v>IEP growth (%, QoQ)</v>
      </c>
      <c r="D18" s="441">
        <f>E18</f>
        <v>5.6446335960781857E-2</v>
      </c>
      <c r="E18" s="44">
        <f>N34/M34-1</f>
        <v>5.6446335960781857E-2</v>
      </c>
      <c r="F18" s="440"/>
      <c r="H18" s="434"/>
      <c r="I18" s="35" t="str">
        <f>IF('Summary | Sumário'!$D$6=Names!$B$3,Names!BZ31,Names!CA31)</f>
        <v>Net result of losses</v>
      </c>
      <c r="J18" s="619">
        <f t="shared" ref="J18:O18" si="9">J15+J17</f>
        <v>1057.3501500425295</v>
      </c>
      <c r="K18" s="619">
        <f t="shared" si="9"/>
        <v>1204.7165945535721</v>
      </c>
      <c r="L18" s="619">
        <f t="shared" si="9"/>
        <v>1348.7550012437664</v>
      </c>
      <c r="M18" s="619">
        <f t="shared" si="9"/>
        <v>1324.1196999999997</v>
      </c>
      <c r="N18" s="619">
        <f t="shared" si="9"/>
        <v>1433.8334000000002</v>
      </c>
      <c r="O18" s="620">
        <f t="shared" si="9"/>
        <v>1433.8333999999998</v>
      </c>
      <c r="P18" s="32"/>
      <c r="Q18" s="93">
        <f t="shared" si="5"/>
        <v>8.2857841326581028E-2</v>
      </c>
      <c r="R18" s="93">
        <f t="shared" si="6"/>
        <v>8.285784132658125E-2</v>
      </c>
      <c r="S18" s="93">
        <f t="shared" si="7"/>
        <v>0.3560629843787575</v>
      </c>
      <c r="T18" s="93">
        <f t="shared" si="8"/>
        <v>0.35606298437875794</v>
      </c>
      <c r="U18" s="467"/>
    </row>
    <row r="19" spans="2:21" ht="15" customHeight="1">
      <c r="B19" s="434"/>
      <c r="C19" s="439" t="str">
        <f>IF('Summary | Sumário'!$D$6=Names!$B$3,Names!BZ13,Names!CA13)</f>
        <v>Funding growth (%, QoQ)</v>
      </c>
      <c r="D19" s="441">
        <f t="shared" ref="D19" si="10">E19</f>
        <v>5.3620818108671253E-2</v>
      </c>
      <c r="E19" s="44">
        <f>N40/M40-1</f>
        <v>5.3620818108671253E-2</v>
      </c>
      <c r="F19" s="440"/>
      <c r="H19" s="434"/>
      <c r="I19" s="471"/>
      <c r="J19" s="472"/>
      <c r="K19" s="472"/>
      <c r="L19" s="472"/>
      <c r="M19" s="472"/>
      <c r="O19" s="621"/>
      <c r="P19" s="474"/>
      <c r="Q19" s="475"/>
      <c r="R19" s="475"/>
      <c r="S19" s="475"/>
      <c r="T19" s="475"/>
      <c r="U19" s="467"/>
    </row>
    <row r="20" spans="2:21" ht="15" customHeight="1" thickBot="1">
      <c r="B20" s="442"/>
      <c r="C20" s="443"/>
      <c r="D20" s="443"/>
      <c r="E20" s="444"/>
      <c r="F20" s="445"/>
      <c r="H20" s="434"/>
      <c r="I20" s="468" t="str">
        <f>IF('Summary | Sumário'!$D$6=Names!$B$3,Names!BZ33,Names!CA33)</f>
        <v>Operational expenses</v>
      </c>
      <c r="J20" s="469">
        <f>('3. IS | DRE'!W18+'3. IS | DRE'!W19+'3. IS | DRE'!W21)/1000</f>
        <v>-660.06869852</v>
      </c>
      <c r="K20" s="469">
        <f>('3. IS | DRE'!X18+'3. IS | DRE'!X19+'3. IS | DRE'!X21)/1000</f>
        <v>-787.12960448000001</v>
      </c>
      <c r="L20" s="469">
        <f>('3. IS | DRE'!Y18+'3. IS | DRE'!Y19+'3. IS | DRE'!Y21)/1000</f>
        <v>-840.84038400000009</v>
      </c>
      <c r="M20" s="469">
        <f>('3. IS | DRE'!Z18+'3. IS | DRE'!Z19+'3. IS | DRE'!Z21)/1000</f>
        <v>-830.51780000000008</v>
      </c>
      <c r="N20" s="469">
        <f>('3. IS | DRE'!AA18+'3. IS | DRE'!AA19+'3. IS | DRE'!AA21)/1000</f>
        <v>-873.42560000000003</v>
      </c>
      <c r="O20" s="621">
        <f>-D15*SUM(O12,O14,O21)</f>
        <v>-873.42560000000003</v>
      </c>
      <c r="P20" s="476"/>
      <c r="Q20" s="477">
        <f t="shared" ref="Q20:Q21" si="11">O20/M20-1</f>
        <v>5.1663913765604974E-2</v>
      </c>
      <c r="R20" s="477">
        <f t="shared" ref="R20:R21" si="12">N20/M20-1</f>
        <v>5.1663913765604974E-2</v>
      </c>
      <c r="S20" s="477">
        <f t="shared" ref="S20:S21" si="13">O20/J20-1</f>
        <v>0.32323438750903799</v>
      </c>
      <c r="T20" s="477">
        <f t="shared" ref="T20:T21" si="14">N20/J20-1</f>
        <v>0.32323438750903799</v>
      </c>
      <c r="U20" s="467"/>
    </row>
    <row r="21" spans="2:21" ht="15" customHeight="1">
      <c r="H21" s="434"/>
      <c r="I21" s="471" t="str">
        <f>IF('Summary | Sumário'!$D$6=Names!$B$3,Names!BZ34,Names!CA34)</f>
        <v>Tax expenses</v>
      </c>
      <c r="J21" s="472">
        <f>('3. IS | DRE'!W20)/1000</f>
        <v>-99.417271</v>
      </c>
      <c r="K21" s="472">
        <f>('3. IS | DRE'!X20)/1000</f>
        <v>-123.632909</v>
      </c>
      <c r="L21" s="472">
        <f>('3. IS | DRE'!Y20)/1000</f>
        <v>-167.65621600000003</v>
      </c>
      <c r="M21" s="472">
        <f>('3. IS | DRE'!Z20)/1000</f>
        <v>-136.05500000000001</v>
      </c>
      <c r="N21" s="472">
        <f>('3. IS | DRE'!AA20)/1000</f>
        <v>-176.87960000000001</v>
      </c>
      <c r="O21" s="621">
        <f>-D16*O15</f>
        <v>-176.87959999999998</v>
      </c>
      <c r="P21" s="474"/>
      <c r="Q21" s="475">
        <f t="shared" si="11"/>
        <v>0.30005953474697722</v>
      </c>
      <c r="R21" s="475">
        <f t="shared" si="12"/>
        <v>0.30005953474697744</v>
      </c>
      <c r="S21" s="475">
        <f t="shared" si="13"/>
        <v>0.77916370285400394</v>
      </c>
      <c r="T21" s="475">
        <f t="shared" si="14"/>
        <v>0.77916370285400416</v>
      </c>
      <c r="U21" s="467"/>
    </row>
    <row r="22" spans="2:21" ht="15" customHeight="1" thickBot="1">
      <c r="H22" s="434"/>
      <c r="I22" s="468" t="str">
        <f>IF('Summary | Sumário'!$D$6=Names!$B$3,Names!BZ35,Names!CA35)</f>
        <v>Other expenses</v>
      </c>
      <c r="J22" s="469">
        <f>'3. IS | DRE'!W22/1000</f>
        <v>-0.25702199999999997</v>
      </c>
      <c r="K22" s="469">
        <f>'3. IS | DRE'!X22/1000</f>
        <v>0</v>
      </c>
      <c r="L22" s="469">
        <f>'3. IS | DRE'!Y22/1000</f>
        <v>0</v>
      </c>
      <c r="M22" s="469">
        <f>'3. IS | DRE'!Z22/1000</f>
        <v>0</v>
      </c>
      <c r="N22" s="469">
        <f>'3. IS | DRE'!AA22/1000</f>
        <v>0</v>
      </c>
      <c r="O22" s="621">
        <f>IF(D12=0,0,M22)</f>
        <v>0</v>
      </c>
      <c r="P22" s="476"/>
      <c r="Q22" s="524" t="str">
        <f>IFERROR(O22/M22-1,"n.m")</f>
        <v>n.m</v>
      </c>
      <c r="R22" s="524" t="str">
        <f>IFERROR(N22/M22-1,"n.m.")</f>
        <v>n.m.</v>
      </c>
      <c r="S22" s="477">
        <f t="shared" ref="S22:S23" si="15">O22/J22-1</f>
        <v>-1</v>
      </c>
      <c r="T22" s="477">
        <f t="shared" ref="T22:T23" si="16">N22/J22-1</f>
        <v>-1</v>
      </c>
      <c r="U22" s="467"/>
    </row>
    <row r="23" spans="2:21" ht="15" customHeight="1">
      <c r="B23" s="446"/>
      <c r="C23" s="447"/>
      <c r="D23" s="447"/>
      <c r="E23" s="448"/>
      <c r="F23" s="449"/>
      <c r="H23" s="434"/>
      <c r="I23" s="36" t="str">
        <f>IF('Summary | Sumário'!$D$6=Names!$B$3,Names!BZ36,Names!CA36)</f>
        <v>Profit / (loss) before income tax</v>
      </c>
      <c r="J23" s="622">
        <f>J18+SUM(J20:J22)</f>
        <v>297.60715852252952</v>
      </c>
      <c r="K23" s="622">
        <f>K18+SUM(K20:K22)</f>
        <v>293.95408107357207</v>
      </c>
      <c r="L23" s="622">
        <f>L18+SUM(L20:L22)</f>
        <v>340.25840124376623</v>
      </c>
      <c r="M23" s="622">
        <f>M18+SUM(M20:M22)</f>
        <v>357.5468999999996</v>
      </c>
      <c r="N23" s="622">
        <f>N18+SUM(N20:N22)</f>
        <v>383.5282000000002</v>
      </c>
      <c r="O23" s="620">
        <f t="shared" ref="O23" si="17">O18+SUM(O20:O22)</f>
        <v>383.52819999999974</v>
      </c>
      <c r="P23" s="34"/>
      <c r="Q23" s="94">
        <f t="shared" ref="Q23" si="18">O23/M23-1</f>
        <v>7.2665432143308228E-2</v>
      </c>
      <c r="R23" s="94">
        <f t="shared" ref="R23" si="19">N23/M23-1</f>
        <v>7.2665432143309339E-2</v>
      </c>
      <c r="S23" s="94">
        <f t="shared" si="15"/>
        <v>0.28870623241734217</v>
      </c>
      <c r="T23" s="94">
        <f t="shared" si="16"/>
        <v>0.28870623241734372</v>
      </c>
      <c r="U23" s="467"/>
    </row>
    <row r="24" spans="2:21" ht="15" customHeight="1">
      <c r="B24" s="434"/>
      <c r="C24" s="267" t="str">
        <f>IF('Summary | Sumário'!$D$6=Names!$B$3,Names!BZ14,Names!CA14)</f>
        <v>KPI Outputs</v>
      </c>
      <c r="D24" s="461" t="str">
        <f>IF('Summary | Sumário'!$D$6=Names!$B$3,Names!BZ20,Names!CA20)</f>
        <v>Output</v>
      </c>
      <c r="E24" s="435" t="str">
        <f>IF('Summary | Sumário'!$D$6=Names!$B$3,Names!BZ21,Names!CA21)</f>
        <v>1Q25 Actual</v>
      </c>
      <c r="F24" s="450"/>
      <c r="H24" s="434"/>
      <c r="I24" s="478"/>
      <c r="J24" s="623"/>
      <c r="K24" s="623"/>
      <c r="L24" s="623"/>
      <c r="M24" s="623"/>
      <c r="N24" s="623"/>
      <c r="O24" s="624"/>
      <c r="P24" s="28"/>
      <c r="Q24" s="96"/>
      <c r="R24" s="96"/>
      <c r="S24" s="96"/>
      <c r="T24" s="96"/>
      <c r="U24" s="467"/>
    </row>
    <row r="25" spans="2:21" ht="15" customHeight="1">
      <c r="B25" s="434"/>
      <c r="C25" s="462" t="str">
        <f>IF('Summary | Sumário'!$D$6=Names!$B$3,Names!BZ15,Names!CA15)</f>
        <v>ROEA (%)</v>
      </c>
      <c r="D25" s="45">
        <f>O26*4/(AVERAGE(O42,L42)*1000)</f>
        <v>0.14672881884784372</v>
      </c>
      <c r="E25" s="30">
        <f>N26*4/(AVERAGE(N42,M42)*1000)</f>
        <v>0.14441516895949844</v>
      </c>
      <c r="F25" s="451"/>
      <c r="H25" s="434"/>
      <c r="I25" s="471" t="str">
        <f>IF('Summary | Sumário'!$D$6=Names!$B$3,Names!BZ38,Names!CA38)</f>
        <v>Income tax and social contribution</v>
      </c>
      <c r="J25" s="472">
        <f>'3. IS | DRE'!W25/1000</f>
        <v>-74.943733999999992</v>
      </c>
      <c r="K25" s="472">
        <f>'3. IS | DRE'!X25/1000</f>
        <v>-33.942</v>
      </c>
      <c r="L25" s="472">
        <f>'3. IS | DRE'!Y25/1000</f>
        <v>-45.31105187989899</v>
      </c>
      <c r="M25" s="472">
        <f>'3. IS | DRE'!Z25/1000</f>
        <v>-50.759</v>
      </c>
      <c r="N25" s="472">
        <f>'3. IS | DRE'!AA25/1000</f>
        <v>-51.360999999999997</v>
      </c>
      <c r="O25" s="621">
        <f>IF(O23&lt;=N23,N25,N25+((N23-O23)*0.38))</f>
        <v>-51.360999999999997</v>
      </c>
      <c r="P25" s="474"/>
      <c r="Q25" s="475">
        <f t="shared" ref="Q25:Q26" si="20">O25/M25-1</f>
        <v>1.1859965720364851E-2</v>
      </c>
      <c r="R25" s="475">
        <f t="shared" ref="R25:R26" si="21">N25/M25-1</f>
        <v>1.1859965720364851E-2</v>
      </c>
      <c r="S25" s="475">
        <f t="shared" ref="S25:S26" si="22">O25/J25-1</f>
        <v>-0.31467252485711472</v>
      </c>
      <c r="T25" s="475">
        <f t="shared" ref="T25:T26" si="23">N25/J25-1</f>
        <v>-0.31467252485711472</v>
      </c>
      <c r="U25" s="467"/>
    </row>
    <row r="26" spans="2:21" ht="15" customHeight="1">
      <c r="B26" s="434"/>
      <c r="C26" s="462" t="str">
        <f>IF('Summary | Sumário'!$D$6=Names!$B$3,Names!BZ16,Names!CA16)</f>
        <v>ROAA (%)</v>
      </c>
      <c r="D26" s="45">
        <f>(O26*4)/(AVERAGE(L37,O37)*1000)</f>
        <v>1.6485609250685426E-2</v>
      </c>
      <c r="E26" s="30">
        <f>(N26*4)/(AVERAGE(N37,M37)*1000)</f>
        <v>1.607667569808573E-2</v>
      </c>
      <c r="F26" s="451"/>
      <c r="H26" s="434"/>
      <c r="I26" s="35" t="str">
        <f>IF('Summary | Sumário'!$D$6=Names!$B$3,Names!BZ39,Names!CA39)</f>
        <v>Profit / (loss) for the period</v>
      </c>
      <c r="J26" s="619">
        <f t="shared" ref="J26:O26" si="24">J23+J25</f>
        <v>222.66342452252951</v>
      </c>
      <c r="K26" s="619">
        <f t="shared" si="24"/>
        <v>260.01208107357206</v>
      </c>
      <c r="L26" s="619">
        <f t="shared" si="24"/>
        <v>294.94734936386726</v>
      </c>
      <c r="M26" s="619">
        <f t="shared" si="24"/>
        <v>306.78789999999958</v>
      </c>
      <c r="N26" s="619">
        <f t="shared" si="24"/>
        <v>332.16720000000021</v>
      </c>
      <c r="O26" s="620">
        <f t="shared" si="24"/>
        <v>332.16719999999975</v>
      </c>
      <c r="P26" s="32"/>
      <c r="Q26" s="93">
        <f t="shared" si="20"/>
        <v>8.2725883256804522E-2</v>
      </c>
      <c r="R26" s="93">
        <f t="shared" si="21"/>
        <v>8.2725883256805854E-2</v>
      </c>
      <c r="S26" s="93">
        <f t="shared" si="22"/>
        <v>0.49179058353335647</v>
      </c>
      <c r="T26" s="93">
        <f t="shared" si="23"/>
        <v>0.49179058353335847</v>
      </c>
      <c r="U26" s="467"/>
    </row>
    <row r="27" spans="2:21" ht="15" customHeight="1" thickBot="1">
      <c r="B27" s="434"/>
      <c r="C27" s="462" t="str">
        <f>IF('Summary | Sumário'!$D$6=Names!$B$3,Names!BZ17,Names!CA17)</f>
        <v>Fee income ratio (%)</v>
      </c>
      <c r="D27" s="45">
        <f>O14/O15</f>
        <v>0.26637715952174512</v>
      </c>
      <c r="E27" s="30">
        <f>N14/N15</f>
        <v>0.26637715952174507</v>
      </c>
      <c r="F27" s="451"/>
      <c r="H27" s="442"/>
      <c r="I27" s="479"/>
      <c r="J27" s="479"/>
      <c r="K27" s="479"/>
      <c r="L27" s="479"/>
      <c r="M27" s="479"/>
      <c r="N27" s="479"/>
      <c r="O27" s="480"/>
      <c r="P27" s="453"/>
      <c r="Q27" s="453"/>
      <c r="R27" s="453"/>
      <c r="S27" s="479"/>
      <c r="T27" s="479"/>
      <c r="U27" s="481"/>
    </row>
    <row r="28" spans="2:21" ht="15" customHeight="1" thickBot="1">
      <c r="B28" s="452"/>
      <c r="C28" s="453"/>
      <c r="D28" s="453"/>
      <c r="E28" s="454"/>
      <c r="F28" s="455"/>
      <c r="I28" s="33"/>
      <c r="J28" s="33"/>
      <c r="K28" s="33"/>
      <c r="L28" s="33"/>
      <c r="M28" s="33"/>
      <c r="O28" s="38"/>
      <c r="S28" s="33"/>
      <c r="T28" s="33"/>
    </row>
    <row r="29" spans="2:21" ht="15" customHeight="1">
      <c r="I29" s="33"/>
      <c r="J29" s="33"/>
      <c r="K29" s="33"/>
      <c r="L29" s="33"/>
      <c r="M29" s="33"/>
      <c r="O29" s="38"/>
      <c r="S29" s="33"/>
      <c r="T29" s="33"/>
    </row>
    <row r="30" spans="2:21" ht="15" customHeight="1" thickBot="1">
      <c r="I30" s="33"/>
      <c r="J30" s="33"/>
      <c r="K30" s="33"/>
      <c r="L30" s="33"/>
      <c r="M30" s="33"/>
      <c r="O30" s="38"/>
      <c r="S30" s="33"/>
      <c r="T30" s="33"/>
    </row>
    <row r="31" spans="2:21" ht="15" customHeight="1">
      <c r="H31" s="431"/>
      <c r="I31" s="482"/>
      <c r="J31" s="432"/>
      <c r="K31" s="432"/>
      <c r="L31" s="432"/>
      <c r="M31" s="432"/>
      <c r="N31" s="432"/>
      <c r="O31" s="483"/>
      <c r="P31" s="464"/>
      <c r="Q31" s="750" t="str">
        <f>Q8</f>
        <v>Variation %</v>
      </c>
      <c r="R31" s="750"/>
      <c r="S31" s="750"/>
      <c r="T31" s="750"/>
      <c r="U31" s="465"/>
    </row>
    <row r="32" spans="2:21" ht="15" customHeight="1">
      <c r="H32" s="434"/>
      <c r="I32" s="267" t="str">
        <f>IF('Summary | Sumário'!$D$6=Names!$B$3,Names!BZ41,Names!CA41)</f>
        <v>Managerial Balance Sheet (R$ Billions)</v>
      </c>
      <c r="J32" s="435" t="str">
        <f>J9</f>
        <v>2Q24</v>
      </c>
      <c r="K32" s="435" t="str">
        <f>K9</f>
        <v>3Q24</v>
      </c>
      <c r="L32" s="435" t="str">
        <f>L9</f>
        <v>4Q24</v>
      </c>
      <c r="M32" s="435" t="str">
        <f>M9</f>
        <v>1Q25</v>
      </c>
      <c r="N32" s="435" t="str">
        <f>N9</f>
        <v>2Q25</v>
      </c>
      <c r="O32" s="310" t="str">
        <f t="shared" ref="O32" si="25">O9</f>
        <v>2Q25S</v>
      </c>
      <c r="P32" s="466"/>
      <c r="Q32" s="90" t="str">
        <f>Q9</f>
        <v>Δ QoQS</v>
      </c>
      <c r="R32" s="90" t="str">
        <f>R9</f>
        <v>Δ QoQ Actual</v>
      </c>
      <c r="S32" s="90" t="str">
        <f>S9</f>
        <v>ΔYoYS</v>
      </c>
      <c r="T32" s="90" t="str">
        <f>T9</f>
        <v>ΔYoY Actual</v>
      </c>
      <c r="U32" s="467"/>
    </row>
    <row r="33" spans="2:21" ht="15" customHeight="1">
      <c r="H33" s="434"/>
      <c r="I33" s="484" t="str">
        <f>IF('Summary | Sumário'!$D$6=Names!$B$3,Names!BZ42,Names!CA42)</f>
        <v>Assets</v>
      </c>
      <c r="J33" s="439"/>
      <c r="K33" s="439"/>
      <c r="L33" s="439"/>
      <c r="M33" s="439"/>
      <c r="N33" s="439"/>
      <c r="O33" s="485"/>
      <c r="P33" s="439"/>
      <c r="Q33" s="470"/>
      <c r="R33" s="470"/>
      <c r="S33" s="470"/>
      <c r="T33" s="470"/>
      <c r="U33" s="467"/>
    </row>
    <row r="34" spans="2:21" ht="15" customHeight="1">
      <c r="H34" s="434"/>
      <c r="I34" s="486" t="str">
        <f>IF('Summary | Sumário'!$D$6=Names!$B$3,Names!BZ43,Names!CA43)</f>
        <v>Interest earning portfolio (IEP)</v>
      </c>
      <c r="J34" s="87">
        <f>'5. IEP'!W23/1000000</f>
        <v>52.472376744180004</v>
      </c>
      <c r="K34" s="87">
        <f>'5. IEP'!X23/1000000</f>
        <v>54.893344456663563</v>
      </c>
      <c r="L34" s="87">
        <f>'5. IEP'!Y23/1000000</f>
        <v>60.232269321271602</v>
      </c>
      <c r="M34" s="87">
        <f>'5. IEP'!Z23/1000000</f>
        <v>63.031684951030002</v>
      </c>
      <c r="N34" s="87">
        <f>'5. IEP'!AA23/1000000</f>
        <v>66.589592615949996</v>
      </c>
      <c r="O34" s="85">
        <f>M34*(1+D18)</f>
        <v>66.589592615949996</v>
      </c>
      <c r="P34" s="87"/>
      <c r="Q34" s="97">
        <f t="shared" ref="Q34:Q37" si="26">O34/M34-1</f>
        <v>5.6446335960781857E-2</v>
      </c>
      <c r="R34" s="97">
        <f t="shared" ref="R34:R37" si="27">N34/M34-1</f>
        <v>5.6446335960781857E-2</v>
      </c>
      <c r="S34" s="97">
        <f t="shared" ref="S34:S37" si="28">O34/J34-1</f>
        <v>0.26904090776364176</v>
      </c>
      <c r="T34" s="97">
        <f t="shared" ref="T34:T37" si="29">N34/J34-1</f>
        <v>0.26904090776364176</v>
      </c>
      <c r="U34" s="467"/>
    </row>
    <row r="35" spans="2:21" ht="15" customHeight="1">
      <c r="H35" s="434"/>
      <c r="I35" s="487" t="str">
        <f>IF('Summary | Sumário'!D$6=Names!B$3,Names!R3,Names!S3)</f>
        <v>Portfolio that generates provision expenses</v>
      </c>
      <c r="J35" s="29">
        <f>'9.1 Asset Quality'!W40/1000000</f>
        <v>37.631799484619997</v>
      </c>
      <c r="K35" s="29">
        <f>'9.1 Asset Quality'!X40/1000000</f>
        <v>40.010756746049999</v>
      </c>
      <c r="L35" s="29">
        <f>'9.1 Asset Quality'!Y40/1000000</f>
        <v>43.398567240160006</v>
      </c>
      <c r="M35" s="29">
        <f>'9.1 Asset Quality'!Z40/1000000</f>
        <v>45.026060999999999</v>
      </c>
      <c r="N35" s="29">
        <f>'9.1 Asset Quality'!AA40/1000000</f>
        <v>46.464039098000008</v>
      </c>
      <c r="O35" s="85">
        <f>N35/N34*O34</f>
        <v>46.464039098000008</v>
      </c>
      <c r="P35" s="29"/>
      <c r="Q35" s="98">
        <f t="shared" si="26"/>
        <v>3.1936573310288319E-2</v>
      </c>
      <c r="R35" s="98">
        <f t="shared" si="27"/>
        <v>3.1936573310288319E-2</v>
      </c>
      <c r="S35" s="98">
        <f t="shared" si="28"/>
        <v>0.23470149539327023</v>
      </c>
      <c r="T35" s="98">
        <f t="shared" si="29"/>
        <v>0.23470149539327023</v>
      </c>
      <c r="U35" s="467"/>
    </row>
    <row r="36" spans="2:21" ht="15" customHeight="1">
      <c r="D36" s="40"/>
      <c r="H36" s="434"/>
      <c r="I36" s="486" t="str">
        <f>IF('Summary | Sumário'!$D$6=Names!$B$3,Names!BZ44,Names!CA44)</f>
        <v>Other assets</v>
      </c>
      <c r="J36" s="87">
        <f>J37-J34</f>
        <v>14.101083661820006</v>
      </c>
      <c r="K36" s="87">
        <f>K37-K34</f>
        <v>15.034732949334447</v>
      </c>
      <c r="L36" s="87">
        <f>L37-L34</f>
        <v>16.226161030255298</v>
      </c>
      <c r="M36" s="87">
        <f t="shared" ref="M36:N36" si="30">M37-M34</f>
        <v>17.526881048969997</v>
      </c>
      <c r="N36" s="87">
        <f t="shared" si="30"/>
        <v>18.143326384049999</v>
      </c>
      <c r="O36" s="85">
        <f>N36</f>
        <v>18.143326384049999</v>
      </c>
      <c r="P36" s="87"/>
      <c r="Q36" s="97">
        <f t="shared" si="26"/>
        <v>3.5171422305980027E-2</v>
      </c>
      <c r="R36" s="97">
        <f t="shared" si="27"/>
        <v>3.5171422305980027E-2</v>
      </c>
      <c r="S36" s="97">
        <f t="shared" si="28"/>
        <v>0.28666184948428763</v>
      </c>
      <c r="T36" s="97">
        <f t="shared" si="29"/>
        <v>0.28666184948428763</v>
      </c>
      <c r="U36" s="467"/>
    </row>
    <row r="37" spans="2:21" ht="15" customHeight="1">
      <c r="D37" s="46"/>
      <c r="H37" s="434"/>
      <c r="I37" s="35" t="str">
        <f>IF('Summary | Sumário'!$D$6=Names!$B$3,Names!BZ45,Names!CA45)</f>
        <v>Total assets</v>
      </c>
      <c r="J37" s="32">
        <f>'2. BS | BP'!W17/1000000</f>
        <v>66.573460406000009</v>
      </c>
      <c r="K37" s="32">
        <f>'2. BS | BP'!X17/1000000</f>
        <v>69.92807740599801</v>
      </c>
      <c r="L37" s="32">
        <f>'2. BS | BP'!Y17/1000000</f>
        <v>76.4584303515269</v>
      </c>
      <c r="M37" s="32">
        <f>'2. BS | BP'!Z17/1000000</f>
        <v>80.558565999999999</v>
      </c>
      <c r="N37" s="32">
        <f>'2. BS | BP'!AA17/1000000</f>
        <v>84.732918999999995</v>
      </c>
      <c r="O37" s="86">
        <f>O34+O36</f>
        <v>84.732918999999995</v>
      </c>
      <c r="P37" s="32"/>
      <c r="Q37" s="93">
        <f t="shared" si="26"/>
        <v>5.1817618004769361E-2</v>
      </c>
      <c r="R37" s="93">
        <f t="shared" si="27"/>
        <v>5.1817618004769361E-2</v>
      </c>
      <c r="S37" s="93">
        <f t="shared" si="28"/>
        <v>0.27277324151777682</v>
      </c>
      <c r="T37" s="93">
        <f t="shared" si="29"/>
        <v>0.27277324151777682</v>
      </c>
      <c r="U37" s="467"/>
    </row>
    <row r="38" spans="2:21" ht="15" customHeight="1">
      <c r="H38" s="434"/>
      <c r="I38" s="488"/>
      <c r="J38" s="488"/>
      <c r="K38" s="488"/>
      <c r="L38" s="488"/>
      <c r="M38" s="522"/>
      <c r="O38" s="523"/>
      <c r="P38" s="488"/>
      <c r="Q38" s="488"/>
      <c r="R38" s="488"/>
      <c r="S38" s="488"/>
      <c r="T38" s="488"/>
      <c r="U38" s="467"/>
    </row>
    <row r="39" spans="2:21" ht="15" customHeight="1">
      <c r="H39" s="434"/>
      <c r="I39" s="484" t="str">
        <f>IF('Summary | Sumário'!$D$6=Names!$B$3,Names!BZ47,Names!CA47)</f>
        <v>Liabilities + equity</v>
      </c>
      <c r="J39" s="439"/>
      <c r="K39" s="439"/>
      <c r="L39" s="439"/>
      <c r="M39" s="476"/>
      <c r="N39" s="476"/>
      <c r="O39" s="523"/>
      <c r="P39" s="439"/>
      <c r="Q39" s="470"/>
      <c r="R39" s="470"/>
      <c r="S39" s="470"/>
      <c r="T39" s="470"/>
      <c r="U39" s="467"/>
    </row>
    <row r="40" spans="2:21" ht="15" customHeight="1">
      <c r="H40" s="434"/>
      <c r="I40" s="486" t="str">
        <f>IF('Summary | Sumário'!$D$6=Names!$B$3,Names!BZ48,Names!CA48)</f>
        <v>Total funding</v>
      </c>
      <c r="J40" s="87">
        <f>'4. Funding'!W15/1000000</f>
        <v>47.759601090000004</v>
      </c>
      <c r="K40" s="87">
        <f>'4. Funding'!X15/1000000</f>
        <v>50.267847091739995</v>
      </c>
      <c r="L40" s="87">
        <f>'4. Funding'!Y15/1000000</f>
        <v>55.065296396439997</v>
      </c>
      <c r="M40" s="87">
        <f>'4. Funding'!Z15/1000000</f>
        <v>59.074108000000003</v>
      </c>
      <c r="N40" s="87">
        <f>'4. Funding'!AA15/1000000</f>
        <v>62.241709999999998</v>
      </c>
      <c r="O40" s="85">
        <f>M40/M34*O34</f>
        <v>62.408624946751516</v>
      </c>
      <c r="P40" s="87"/>
      <c r="Q40" s="97">
        <f t="shared" ref="Q40:Q43" si="31">O40/M40-1</f>
        <v>5.6446335960781857E-2</v>
      </c>
      <c r="R40" s="97">
        <f t="shared" ref="R40:R43" si="32">N40/M40-1</f>
        <v>5.3620818108671253E-2</v>
      </c>
      <c r="S40" s="97">
        <f t="shared" ref="S40:S43" si="33">O40/J40-1</f>
        <v>0.3067241669197851</v>
      </c>
      <c r="T40" s="97">
        <f t="shared" ref="T40:T43" si="34">N40/J40-1</f>
        <v>0.30322926865970601</v>
      </c>
      <c r="U40" s="467"/>
    </row>
    <row r="41" spans="2:21" ht="15" customHeight="1">
      <c r="H41" s="434"/>
      <c r="I41" s="468" t="str">
        <f>IF('Summary | Sumário'!$D$6=Names!$B$3,Names!BZ49,Names!CA49)</f>
        <v>Other liabilities</v>
      </c>
      <c r="J41" s="29">
        <f>J43-J40-J42</f>
        <v>10.206323754000005</v>
      </c>
      <c r="K41" s="29">
        <f>K43-K40-K42</f>
        <v>10.792892314258015</v>
      </c>
      <c r="L41" s="29">
        <f>L43-L40-L42</f>
        <v>12.320826955086902</v>
      </c>
      <c r="M41" s="29">
        <f t="shared" ref="M41:N41" si="35">M43-M40-M42</f>
        <v>12.471607999999996</v>
      </c>
      <c r="N41" s="29">
        <f t="shared" si="35"/>
        <v>13.103376999999998</v>
      </c>
      <c r="O41" s="85">
        <f>O43-O40-O42</f>
        <v>13.286064753248478</v>
      </c>
      <c r="P41" s="29"/>
      <c r="Q41" s="98">
        <f t="shared" si="31"/>
        <v>6.5304871131972808E-2</v>
      </c>
      <c r="R41" s="98">
        <f t="shared" si="32"/>
        <v>5.0656579328022699E-2</v>
      </c>
      <c r="S41" s="98">
        <f t="shared" si="33"/>
        <v>0.30174831540509173</v>
      </c>
      <c r="T41" s="98">
        <f t="shared" si="34"/>
        <v>0.28384884859884996</v>
      </c>
      <c r="U41" s="467"/>
    </row>
    <row r="42" spans="2:21" ht="15" customHeight="1">
      <c r="H42" s="434"/>
      <c r="I42" s="486" t="str">
        <f>IF('Summary | Sumário'!$D$6=Names!$B$3,Names!BZ50,Names!CA50)</f>
        <v>Equity</v>
      </c>
      <c r="J42" s="87">
        <f>'2. BS | BP'!W38/1000000</f>
        <v>8.6075355620000007</v>
      </c>
      <c r="K42" s="87">
        <f>'2. BS | BP'!X38/1000000</f>
        <v>8.8673380000000002</v>
      </c>
      <c r="L42" s="87">
        <f>'2. BS | BP'!Y38/1000000</f>
        <v>9.0723070000000003</v>
      </c>
      <c r="M42" s="87">
        <f>'2. BS | BP'!Z38/1000000</f>
        <v>9.0128500000000003</v>
      </c>
      <c r="N42" s="87">
        <f>'2. BS | BP'!AA38/1000000</f>
        <v>9.3878319999999995</v>
      </c>
      <c r="O42" s="85">
        <f>M42+(O26-M26)/1000</f>
        <v>9.0382293000000011</v>
      </c>
      <c r="P42" s="87"/>
      <c r="Q42" s="97">
        <f t="shared" si="31"/>
        <v>2.8159017402931141E-3</v>
      </c>
      <c r="R42" s="97">
        <f t="shared" si="32"/>
        <v>4.1605263595865916E-2</v>
      </c>
      <c r="S42" s="97">
        <f t="shared" si="33"/>
        <v>5.0036823536506736E-2</v>
      </c>
      <c r="T42" s="97">
        <f t="shared" si="34"/>
        <v>9.0652711496749694E-2</v>
      </c>
      <c r="U42" s="467"/>
    </row>
    <row r="43" spans="2:21" ht="15" customHeight="1">
      <c r="H43" s="434"/>
      <c r="I43" s="35" t="str">
        <f>IF('Summary | Sumário'!$D$6=Names!$B$3,Names!BZ51,Names!CA51)</f>
        <v>Total liabilities</v>
      </c>
      <c r="J43" s="32">
        <f>J37</f>
        <v>66.573460406000009</v>
      </c>
      <c r="K43" s="32">
        <f>K37</f>
        <v>69.92807740599801</v>
      </c>
      <c r="L43" s="32">
        <f>L37</f>
        <v>76.4584303515269</v>
      </c>
      <c r="M43" s="32">
        <f t="shared" ref="M43:N43" si="36">M37</f>
        <v>80.558565999999999</v>
      </c>
      <c r="N43" s="32">
        <f t="shared" si="36"/>
        <v>84.732918999999995</v>
      </c>
      <c r="O43" s="86">
        <f>O37</f>
        <v>84.732918999999995</v>
      </c>
      <c r="P43" s="83"/>
      <c r="Q43" s="93">
        <f t="shared" si="31"/>
        <v>5.1817618004769361E-2</v>
      </c>
      <c r="R43" s="93">
        <f t="shared" si="32"/>
        <v>5.1817618004769361E-2</v>
      </c>
      <c r="S43" s="93">
        <f t="shared" si="33"/>
        <v>0.27277324151777682</v>
      </c>
      <c r="T43" s="93">
        <f t="shared" si="34"/>
        <v>0.27277324151777682</v>
      </c>
      <c r="U43" s="467"/>
    </row>
    <row r="44" spans="2:21" ht="15" customHeight="1" thickBot="1">
      <c r="H44" s="442"/>
      <c r="I44" s="443"/>
      <c r="J44" s="443"/>
      <c r="K44" s="443"/>
      <c r="L44" s="443"/>
      <c r="M44" s="443"/>
      <c r="N44" s="443"/>
      <c r="O44" s="443"/>
      <c r="P44" s="443"/>
      <c r="Q44" s="443"/>
      <c r="R44" s="443"/>
      <c r="S44" s="443"/>
      <c r="T44" s="443"/>
      <c r="U44" s="481"/>
    </row>
    <row r="45" spans="2:21" ht="15" customHeight="1" thickBot="1"/>
    <row r="46" spans="2:21" ht="15" customHeight="1">
      <c r="B46" s="446"/>
      <c r="C46" s="447"/>
      <c r="D46" s="447"/>
      <c r="E46" s="448"/>
      <c r="F46" s="448"/>
      <c r="G46" s="447"/>
      <c r="H46" s="447"/>
      <c r="I46" s="447"/>
      <c r="J46" s="447"/>
      <c r="K46" s="447"/>
      <c r="L46" s="447"/>
      <c r="M46" s="447"/>
      <c r="N46" s="447"/>
      <c r="O46" s="447"/>
      <c r="P46" s="447"/>
      <c r="Q46" s="447"/>
      <c r="R46" s="447"/>
      <c r="S46" s="447"/>
      <c r="T46" s="447"/>
      <c r="U46" s="456"/>
    </row>
    <row r="47" spans="2:21" ht="49" customHeight="1">
      <c r="B47" s="457"/>
      <c r="C47" s="751" t="str">
        <f>IF('Summary | Sumário'!$D$6=Names!$B$3,Names!BZ60,Names!CA60)</f>
        <v>Disclaimer:
Please note that this simulation is for illustrative purposes only, does not represent actual financial data and the results may not accurately reflect real-world outcomes. The information provided is based on hypothetical scenarios and assumptions. The simulation is intended as a learning tool and does not provide any investment advice, recommendations, or guidance.
Users are advised to exercise caution when interpreting the results and are encouraged to consult with qualified financial professionals.</v>
      </c>
      <c r="D47" s="751"/>
      <c r="E47" s="751"/>
      <c r="F47" s="751"/>
      <c r="G47" s="751"/>
      <c r="H47" s="751"/>
      <c r="I47" s="751"/>
      <c r="J47" s="751"/>
      <c r="K47" s="751"/>
      <c r="L47" s="751"/>
      <c r="M47" s="751"/>
      <c r="N47" s="751"/>
      <c r="O47" s="751"/>
      <c r="P47" s="751"/>
      <c r="Q47" s="751"/>
      <c r="R47" s="751"/>
      <c r="S47" s="751"/>
      <c r="T47" s="751"/>
      <c r="U47" s="752"/>
    </row>
    <row r="48" spans="2:21" ht="15" customHeight="1" thickBot="1">
      <c r="B48" s="452"/>
      <c r="C48" s="453"/>
      <c r="D48" s="453"/>
      <c r="E48" s="454"/>
      <c r="F48" s="454"/>
      <c r="G48" s="453"/>
      <c r="H48" s="453"/>
      <c r="I48" s="453"/>
      <c r="J48" s="453"/>
      <c r="K48" s="453"/>
      <c r="L48" s="453"/>
      <c r="M48" s="453"/>
      <c r="N48" s="453"/>
      <c r="O48" s="453"/>
      <c r="P48" s="453"/>
      <c r="Q48" s="453"/>
      <c r="R48" s="453"/>
      <c r="S48" s="453"/>
      <c r="T48" s="453"/>
      <c r="U48" s="460"/>
    </row>
    <row r="64" spans="9:9" ht="15" customHeight="1">
      <c r="I64" s="40"/>
    </row>
    <row r="66" spans="3:16" ht="15" customHeight="1">
      <c r="C66" s="749"/>
      <c r="D66" s="749"/>
      <c r="E66" s="749"/>
      <c r="F66" s="749"/>
      <c r="G66" s="749"/>
      <c r="H66" s="749"/>
      <c r="I66" s="749"/>
      <c r="J66" s="749"/>
      <c r="K66" s="749"/>
      <c r="L66" s="749"/>
      <c r="M66" s="749"/>
      <c r="N66" s="749"/>
      <c r="O66" s="749"/>
      <c r="P66" s="41"/>
    </row>
  </sheetData>
  <sheetProtection algorithmName="SHA-512" hashValue="pa/8vzYsnGGEJpow7tuVqEoe4ChcBbyQCznpxEiA4+slmKeZ/rcH1tobLwe/Qc771tvdvmuvVtNW4FaUuSn/2Q==" saltValue="2UYedYymTrlGNn0iWEdyyg==" spinCount="100000" sheet="1" formatCells="0" formatColumns="0" formatRows="0" insertColumns="0" insertRows="0" insertHyperlinks="0" deleteColumns="0" deleteRows="0" sort="0" autoFilter="0" pivotTables="0"/>
  <mergeCells count="6">
    <mergeCell ref="C3:T4"/>
    <mergeCell ref="C5:U5"/>
    <mergeCell ref="C66:O66"/>
    <mergeCell ref="Q8:T8"/>
    <mergeCell ref="Q31:T31"/>
    <mergeCell ref="C47:U47"/>
  </mergeCells>
  <pageMargins left="0.511811024" right="0.511811024" top="0.78740157499999996" bottom="0.78740157499999996" header="0.31496062000000002" footer="0.31496062000000002"/>
  <pageSetup paperSize="9" orientation="portrait" horizontalDpi="0" verticalDpi="0"/>
  <ignoredErrors>
    <ignoredError sqref="G64 J64 D64:E64 D27 O19 O41 O23:O24 O43 O13 O10 O16 O20 O26 O38:O39 O37 K64:L64" unlockedFormula="1"/>
  </ignoredErrors>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3AFE-1A05-E54A-9DA1-4A8675E3D330}">
  <sheetPr codeName="Sheet30">
    <tabColor theme="0" tint="-0.14999847407452621"/>
  </sheetPr>
  <dimension ref="A1:A33"/>
  <sheetViews>
    <sheetView showGridLines="0" zoomScaleNormal="100" workbookViewId="0"/>
  </sheetViews>
  <sheetFormatPr baseColWidth="10" defaultColWidth="10.83203125" defaultRowHeight="15" customHeight="1"/>
  <cols>
    <col min="1" max="16" width="10.83203125" style="2" customWidth="1"/>
    <col min="17" max="16384" width="10.83203125" style="2"/>
  </cols>
  <sheetData>
    <row r="1"/>
    <row r="2"/>
    <row r="3"/>
    <row r="4"/>
    <row r="5"/>
    <row r="6"/>
    <row r="7"/>
    <row r="8"/>
    <row r="9"/>
    <row r="10"/>
    <row r="11"/>
    <row r="12"/>
    <row r="13"/>
    <row r="14"/>
    <row r="15"/>
    <row r="16"/>
    <row r="17"/>
    <row r="18"/>
    <row r="19"/>
    <row r="20"/>
    <row r="21"/>
    <row r="22"/>
    <row r="23"/>
    <row r="24"/>
    <row r="25"/>
    <row r="26"/>
    <row r="27"/>
    <row r="28"/>
    <row r="29"/>
    <row r="30"/>
    <row r="31"/>
    <row r="32"/>
    <row r="33"/>
  </sheetData>
  <sheetProtection algorithmName="SHA-512" hashValue="zKs9tLWYgQ18dhOgHFYiZeGaZKF3aavVRfgAQNgp1lNu1SRxSAP3OhiAVdxbLZvFFuhmcvpvG/UE/tp1UTPJSg==" saltValue="GPmDQsGpXjRKDrtL/bla4Q==" spinCount="100000" sheet="1" scenarios="1" selectLockedCells="1" selectUnlockedCells="1"/>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DF2FD-FBF4-9C48-B72B-97B3EE321880}">
  <sheetPr codeName="Sheet6">
    <tabColor rgb="FFEB7100"/>
  </sheetPr>
  <dimension ref="A1:Z40"/>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baseColWidth="10" defaultColWidth="10.83203125" defaultRowHeight="13" customHeight="1"/>
  <cols>
    <col min="1" max="1" width="3.33203125" style="161" customWidth="1"/>
    <col min="2" max="2" width="68.33203125" style="15" bestFit="1" customWidth="1"/>
    <col min="3" max="13" width="10.83203125" style="250" customWidth="1"/>
    <col min="14" max="14" width="4.83203125" style="250" customWidth="1"/>
    <col min="15" max="19" width="10.83203125" style="250" customWidth="1"/>
    <col min="20" max="23" width="10.83203125" style="250"/>
    <col min="24" max="16384" width="10.83203125" style="161"/>
  </cols>
  <sheetData>
    <row r="1" spans="1:26" s="238" customFormat="1" ht="13" customHeight="1">
      <c r="B1" s="9"/>
      <c r="C1" s="239"/>
      <c r="D1" s="239"/>
      <c r="E1" s="239"/>
      <c r="F1" s="239"/>
      <c r="G1" s="239"/>
      <c r="H1" s="239"/>
      <c r="I1" s="239"/>
      <c r="J1" s="239"/>
      <c r="K1" s="239"/>
      <c r="L1" s="239"/>
      <c r="M1" s="239"/>
      <c r="N1" s="239"/>
      <c r="O1" s="239"/>
      <c r="P1" s="239"/>
      <c r="Q1" s="239"/>
      <c r="R1" s="239"/>
      <c r="S1" s="239"/>
      <c r="T1" s="239"/>
      <c r="U1" s="239"/>
      <c r="V1" s="239"/>
      <c r="W1" s="239"/>
    </row>
    <row r="2" spans="1:26" s="10" customFormat="1" ht="13" customHeight="1">
      <c r="B2" s="267" t="str">
        <f>IF('Summary | Sumário'!D6=Names!B3,Names!BV1,Names!BW1)</f>
        <v>Highlights of the Quarter | 3Q25</v>
      </c>
      <c r="C2" s="20" t="str">
        <f>IF('Summary | Sumário'!D6=Names!B3,Names!C14,Names!D14)</f>
        <v>1Q23</v>
      </c>
      <c r="D2" s="20" t="str">
        <f>IF('Summary | Sumário'!D6=Names!B3,Names!C15,Names!D15)</f>
        <v>2Q23</v>
      </c>
      <c r="E2" s="20" t="str">
        <f>IF('Summary | Sumário'!D6=Names!B3,Names!C16,Names!D16)</f>
        <v>3Q23</v>
      </c>
      <c r="F2" s="20" t="str">
        <f>IF('Summary | Sumário'!D6=Names!B3,Names!C17,Names!D17)</f>
        <v>4Q23</v>
      </c>
      <c r="G2" s="20" t="str">
        <f>IF('Summary | Sumário'!D6=Names!B3,Names!C19,Names!D19)</f>
        <v>1Q24</v>
      </c>
      <c r="H2" s="20" t="str">
        <f>IF('Summary | Sumário'!D6=Names!B3,Names!C20,Names!D20)</f>
        <v>2Q24</v>
      </c>
      <c r="I2" s="20" t="str">
        <f>IF('Summary | Sumário'!D6=Names!B3,Names!C21,Names!D21)</f>
        <v>3Q24</v>
      </c>
      <c r="J2" s="20" t="str">
        <f>IF('Summary | Sumário'!D6=Names!B3,Names!C22,Names!D22)</f>
        <v>4Q24</v>
      </c>
      <c r="K2" s="20" t="str">
        <f>IF('Summary | Sumário'!D6=Names!B3,Names!C24,Names!D24)</f>
        <v>1Q25</v>
      </c>
      <c r="L2" s="20" t="str">
        <f>IF('Summary | Sumário'!D6=Names!B3,Names!C25,Names!D25)</f>
        <v>2Q25</v>
      </c>
      <c r="M2" s="269" t="str">
        <f>IF('Summary | Sumário'!D6=Names!B3,Names!C26,Names!D26)</f>
        <v>3Q25</v>
      </c>
      <c r="N2" s="321"/>
      <c r="O2" s="104" t="str">
        <f>IF('Summary | Sumário'!$D$6=Names!$B$3,Names!$I$24,Names!$J$24)</f>
        <v>QoQ Variation</v>
      </c>
      <c r="P2" s="104" t="str">
        <f>IF('Summary | Sumário'!D6=Names!$B$3,Names!$I$25,Names!$J$25)</f>
        <v>YoY Variation</v>
      </c>
      <c r="Q2" s="21"/>
      <c r="R2" s="21"/>
      <c r="S2" s="21"/>
      <c r="T2" s="21"/>
      <c r="U2" s="21"/>
      <c r="V2" s="58"/>
      <c r="W2" s="11"/>
      <c r="Y2" s="12"/>
      <c r="Z2" s="13"/>
    </row>
    <row r="3" spans="1:26" s="122" customFormat="1" ht="13" customHeight="1">
      <c r="B3" s="19"/>
      <c r="C3" s="118"/>
      <c r="D3" s="119"/>
      <c r="E3" s="119"/>
      <c r="F3" s="119"/>
      <c r="G3" s="119"/>
      <c r="H3" s="119"/>
      <c r="I3" s="119"/>
      <c r="J3" s="119"/>
      <c r="K3" s="119"/>
      <c r="L3" s="119"/>
      <c r="M3" s="119"/>
      <c r="N3" s="119"/>
      <c r="O3" s="118"/>
      <c r="P3" s="118"/>
      <c r="Q3" s="119"/>
      <c r="R3" s="119"/>
      <c r="S3" s="119"/>
      <c r="T3" s="119"/>
      <c r="U3" s="119"/>
      <c r="V3" s="120"/>
      <c r="W3" s="121"/>
      <c r="Y3" s="123"/>
      <c r="Z3" s="124"/>
    </row>
    <row r="4" spans="1:26" ht="13" customHeight="1">
      <c r="A4" s="235"/>
      <c r="B4" s="270" t="str">
        <f>IF('Summary | Sumário'!D6=Names!B3,Names!BV4,Names!BW4)</f>
        <v>Unit Economics</v>
      </c>
      <c r="C4" s="161"/>
      <c r="D4" s="161"/>
      <c r="E4" s="161"/>
      <c r="F4" s="161"/>
      <c r="G4" s="161"/>
      <c r="H4" s="161"/>
      <c r="I4" s="161"/>
      <c r="J4" s="161"/>
      <c r="K4" s="161"/>
      <c r="L4" s="161"/>
      <c r="M4" s="161"/>
      <c r="N4" s="161"/>
      <c r="O4" s="161"/>
      <c r="P4" s="161"/>
      <c r="R4" s="243"/>
      <c r="S4" s="243"/>
      <c r="T4" s="243"/>
      <c r="U4" s="243"/>
      <c r="V4" s="243"/>
      <c r="W4" s="243"/>
    </row>
    <row r="5" spans="1:26" ht="13" customHeight="1">
      <c r="A5" s="235"/>
      <c r="B5" s="271" t="str">
        <f>IF('Summary | Sumário'!D6=Names!B3,Names!BV5,Names!BW5)</f>
        <v>Total Clients (mm)</v>
      </c>
      <c r="C5" s="272">
        <f>'5. Oper. KPIs | KPIs Oper.'!M5</f>
        <v>26.288263000000001</v>
      </c>
      <c r="D5" s="272">
        <f>'5. Oper. KPIs | KPIs Oper.'!N5</f>
        <v>27.774601000000001</v>
      </c>
      <c r="E5" s="272">
        <f>'5. Oper. KPIs | KPIs Oper.'!O5</f>
        <v>29.374635000000001</v>
      </c>
      <c r="F5" s="272">
        <f>'5. Oper. KPIs | KPIs Oper.'!P5</f>
        <v>30.363865000000001</v>
      </c>
      <c r="G5" s="272">
        <f>'5. Oper. KPIs | KPIs Oper.'!Q5</f>
        <v>31.722895999999999</v>
      </c>
      <c r="H5" s="272">
        <f>'5. Oper. KPIs | KPIs Oper.'!R5</f>
        <v>33.270463999999997</v>
      </c>
      <c r="I5" s="272">
        <f>'5. Oper. KPIs | KPIs Oper.'!S5</f>
        <v>34.922488000000001</v>
      </c>
      <c r="J5" s="272">
        <f>'5. Oper. KPIs | KPIs Oper.'!T5</f>
        <v>36.142020000000002</v>
      </c>
      <c r="K5" s="272">
        <f>'5. Oper. KPIs | KPIs Oper.'!U5</f>
        <v>37.700344999999999</v>
      </c>
      <c r="L5" s="272">
        <f>'5. Oper. KPIs | KPIs Oper.'!V5</f>
        <v>39.328280999999997</v>
      </c>
      <c r="M5" s="272">
        <f>'5. Oper. KPIs | KPIs Oper.'!W5</f>
        <v>41.296011</v>
      </c>
      <c r="N5" s="253"/>
      <c r="O5" s="273">
        <f>M5/L5-1</f>
        <v>5.0033460653924999E-2</v>
      </c>
      <c r="P5" s="273">
        <f>M5/I5-1</f>
        <v>0.1825048375705649</v>
      </c>
      <c r="R5" s="243"/>
      <c r="S5" s="243"/>
      <c r="T5" s="243"/>
      <c r="U5" s="243"/>
      <c r="V5" s="243"/>
      <c r="W5" s="243"/>
    </row>
    <row r="6" spans="1:26" ht="13" customHeight="1">
      <c r="A6" s="235"/>
      <c r="B6" s="16" t="str">
        <f>IF('Summary | Sumário'!D6=Names!B3,Names!BV6,Names!BW6)</f>
        <v>Active Clients (mm)</v>
      </c>
      <c r="C6" s="253">
        <f>'5. Oper. KPIs | KPIs Oper.'!M6</f>
        <v>13.540568</v>
      </c>
      <c r="D6" s="253">
        <f>'5. Oper. KPIs | KPIs Oper.'!N6</f>
        <v>14.494907</v>
      </c>
      <c r="E6" s="253">
        <f>'5. Oper. KPIs | KPIs Oper.'!O6</f>
        <v>15.47322</v>
      </c>
      <c r="F6" s="253">
        <f>'5. Oper. KPIs | KPIs Oper.'!P6</f>
        <v>16.405394000000001</v>
      </c>
      <c r="G6" s="253">
        <f>'5. Oper. KPIs | KPIs Oper.'!Q6</f>
        <v>17.413702000000001</v>
      </c>
      <c r="H6" s="253">
        <f>'5. Oper. KPIs | KPIs Oper.'!R6</f>
        <v>18.401989</v>
      </c>
      <c r="I6" s="253">
        <f>'5. Oper. KPIs | KPIs Oper.'!S6</f>
        <v>19.538504</v>
      </c>
      <c r="J6" s="253">
        <f>'5. Oper. KPIs | KPIs Oper.'!T6</f>
        <v>20.561736</v>
      </c>
      <c r="K6" s="253">
        <f>'5. Oper. KPIs | KPIs Oper.'!U6</f>
        <v>21.578842000000002</v>
      </c>
      <c r="L6" s="253">
        <f>'5. Oper. KPIs | KPIs Oper.'!V6</f>
        <v>22.710922</v>
      </c>
      <c r="M6" s="253">
        <f>'5. Oper. KPIs | KPIs Oper.'!W6</f>
        <v>23.926410000000001</v>
      </c>
      <c r="N6" s="253"/>
      <c r="O6" s="254">
        <f t="shared" ref="O6:O8" si="0">M6/L6-1</f>
        <v>5.3519975983361778E-2</v>
      </c>
      <c r="P6" s="254">
        <f t="shared" ref="P6:P8" si="1">M6/I6-1</f>
        <v>0.22457737808380829</v>
      </c>
      <c r="R6" s="243"/>
      <c r="S6" s="243"/>
      <c r="T6" s="243"/>
      <c r="U6" s="243"/>
      <c r="V6" s="243"/>
      <c r="W6" s="243"/>
    </row>
    <row r="7" spans="1:26" ht="13" customHeight="1">
      <c r="A7" s="235"/>
      <c r="B7" s="22" t="str">
        <f>IF('Summary | Sumário'!D6=Names!B3,Names!BV7,Names!BW7)</f>
        <v>Gross ARPAC (R$)</v>
      </c>
      <c r="C7" s="251">
        <f>'9.6 ARPAC'!R16</f>
        <v>45.928754143736498</v>
      </c>
      <c r="D7" s="251">
        <f>'9.6 ARPAC'!S16</f>
        <v>46.097358198258931</v>
      </c>
      <c r="E7" s="251">
        <f>'9.6 ARPAC'!T16</f>
        <v>47.683229324275089</v>
      </c>
      <c r="F7" s="251">
        <f>'9.6 ARPAC'!U16</f>
        <v>45.943985472726851</v>
      </c>
      <c r="G7" s="251">
        <f>'9.6 ARPAC'!V16</f>
        <v>45.155471724025865</v>
      </c>
      <c r="H7" s="251">
        <f>'9.6 ARPAC'!W16</f>
        <v>44.744988009538986</v>
      </c>
      <c r="I7" s="251">
        <f>'9.6 ARPAC'!X16</f>
        <v>47.164658772595494</v>
      </c>
      <c r="J7" s="251">
        <f>'9.6 ARPAC'!Y16</f>
        <v>49.265202333247132</v>
      </c>
      <c r="K7" s="251">
        <f>'9.6 ARPAC'!Z16</f>
        <v>50.018736493520954</v>
      </c>
      <c r="L7" s="251">
        <f>'9.6 ARPAC'!AA16</f>
        <v>53.691072576799762</v>
      </c>
      <c r="M7" s="251">
        <f>'9.6 ARPAC'!AB16</f>
        <v>56.844732598911676</v>
      </c>
      <c r="N7" s="253"/>
      <c r="O7" s="252">
        <f t="shared" si="0"/>
        <v>5.8737139542163419E-2</v>
      </c>
      <c r="P7" s="252">
        <f t="shared" si="1"/>
        <v>0.20523998430665391</v>
      </c>
      <c r="S7" s="243"/>
      <c r="T7" s="243"/>
      <c r="U7" s="243"/>
      <c r="V7" s="243"/>
      <c r="W7" s="243"/>
    </row>
    <row r="8" spans="1:26" ht="13" customHeight="1">
      <c r="A8" s="235"/>
      <c r="B8" s="16" t="str">
        <f>IF('Summary | Sumário'!D6=Names!B3,Names!BV8,Names!BW8)</f>
        <v>CTS (R$)</v>
      </c>
      <c r="C8" s="253">
        <f>'9.5 CTS | Custo de servir '!R13</f>
        <v>15.198842445968298</v>
      </c>
      <c r="D8" s="253">
        <f>'9.5 CTS | Custo de servir '!S13</f>
        <v>13.67902630506528</v>
      </c>
      <c r="E8" s="253">
        <f>'9.5 CTS | Custo de servir '!T13</f>
        <v>13.661825890331194</v>
      </c>
      <c r="F8" s="253">
        <f>'9.5 CTS | Custo de servir '!U13</f>
        <v>13.123678045308578</v>
      </c>
      <c r="G8" s="253">
        <f>'9.5 CTS | Custo de servir '!V13</f>
        <v>12.371846564635158</v>
      </c>
      <c r="H8" s="253">
        <f>'9.5 CTS | Custo de servir '!W13</f>
        <v>12.286397015579938</v>
      </c>
      <c r="I8" s="253">
        <f>'9.5 CTS | Custo de servir '!X13</f>
        <v>13.830950210724284</v>
      </c>
      <c r="J8" s="253">
        <f>'9.5 CTS | Custo de servir '!Y13</f>
        <v>13.978975088428397</v>
      </c>
      <c r="K8" s="253">
        <f>'9.5 CTS | Custo de servir '!Z13</f>
        <v>13.138845255832354</v>
      </c>
      <c r="L8" s="253">
        <f>'9.5 CTS | Custo de servir '!AA13</f>
        <v>13.147140123242322</v>
      </c>
      <c r="M8" s="253">
        <f>'9.5 CTS | Custo de servir '!AB13</f>
        <v>13.052704930319202</v>
      </c>
      <c r="N8" s="253"/>
      <c r="O8" s="254">
        <f t="shared" si="0"/>
        <v>-7.1829456473330167E-3</v>
      </c>
      <c r="P8" s="254">
        <f t="shared" si="1"/>
        <v>-5.6268388545108405E-2</v>
      </c>
      <c r="S8" s="243"/>
      <c r="T8" s="243"/>
      <c r="U8" s="243"/>
      <c r="V8" s="243"/>
      <c r="W8" s="243"/>
    </row>
    <row r="9" spans="1:26" ht="13" customHeight="1">
      <c r="A9" s="235"/>
      <c r="B9" s="22"/>
      <c r="C9" s="242"/>
      <c r="D9" s="242"/>
      <c r="E9" s="242"/>
      <c r="F9" s="242"/>
      <c r="G9" s="242"/>
      <c r="H9" s="242"/>
      <c r="I9" s="242"/>
      <c r="J9" s="242"/>
      <c r="K9" s="242"/>
      <c r="L9" s="242"/>
      <c r="M9" s="242"/>
      <c r="N9" s="243"/>
      <c r="O9" s="538"/>
      <c r="P9" s="538"/>
      <c r="S9" s="243"/>
      <c r="T9" s="243"/>
      <c r="U9" s="243"/>
      <c r="V9" s="243"/>
      <c r="W9" s="243"/>
    </row>
    <row r="10" spans="1:26" ht="13" customHeight="1">
      <c r="A10" s="235"/>
      <c r="B10" s="270" t="str">
        <f>IF('Summary | Sumário'!$D$6=Names!$B$3,Names!BV11,Names!BW11)</f>
        <v>Income Statement</v>
      </c>
      <c r="O10" s="545"/>
      <c r="P10" s="545"/>
      <c r="S10" s="243"/>
      <c r="T10" s="243"/>
      <c r="U10" s="243"/>
      <c r="V10" s="243"/>
      <c r="W10" s="243"/>
    </row>
    <row r="11" spans="1:26" ht="13" customHeight="1">
      <c r="A11" s="235"/>
      <c r="B11" s="271" t="str">
        <f>IF('Summary | Sumário'!$D$6=Names!$B$3,Names!BV12,Names!BW12)</f>
        <v>Gross Revenue (R$ mm)</v>
      </c>
      <c r="C11" s="533">
        <f>'9.6 ARPAC'!R6/1000</f>
        <v>1799.831124</v>
      </c>
      <c r="D11" s="533">
        <f>'9.6 ARPAC'!S6/1000</f>
        <v>1938.5419999999999</v>
      </c>
      <c r="E11" s="533">
        <f>'9.6 ARPAC'!T6/1000</f>
        <v>2143.4656082400002</v>
      </c>
      <c r="F11" s="533">
        <f>'9.6 ARPAC'!U6/1000</f>
        <v>2196.9458677600005</v>
      </c>
      <c r="G11" s="533">
        <f>'9.6 ARPAC'!V6/1000</f>
        <v>2290.6758497401747</v>
      </c>
      <c r="H11" s="533">
        <f>'9.6 ARPAC'!W6/1000</f>
        <v>2403.8589965225306</v>
      </c>
      <c r="I11" s="533">
        <f>'9.6 ARPAC'!X6/1000</f>
        <v>2684.1756090135718</v>
      </c>
      <c r="J11" s="533">
        <f>'9.6 ARPAC'!Y6/1000</f>
        <v>2963.3196558176555</v>
      </c>
      <c r="K11" s="533">
        <f>'9.6 ARPAC'!Z6/1000</f>
        <v>3161.7276999999999</v>
      </c>
      <c r="L11" s="533">
        <f>'9.6 ARPAC'!AA6/1000</f>
        <v>3566.9474</v>
      </c>
      <c r="M11" s="533">
        <f>'9.6 ARPAC'!AB6/1000</f>
        <v>3976.63</v>
      </c>
      <c r="N11" s="243"/>
      <c r="O11" s="273">
        <f t="shared" ref="O11:O14" si="2">M11/L11-1</f>
        <v>0.11485524008568215</v>
      </c>
      <c r="P11" s="273">
        <f t="shared" ref="P11:P14" si="3">M11/I11-1</f>
        <v>0.48150887991318947</v>
      </c>
      <c r="S11" s="243"/>
      <c r="T11" s="243"/>
      <c r="U11" s="243"/>
      <c r="V11" s="243"/>
      <c r="W11" s="243"/>
    </row>
    <row r="12" spans="1:26" ht="13" customHeight="1">
      <c r="A12" s="235"/>
      <c r="B12" s="16" t="str">
        <f>IF('Summary | Sumário'!$D$6=Names!$B$3,Names!BV13,Names!BW13)</f>
        <v>Net Revenues (R$ mm)</v>
      </c>
      <c r="C12" s="215">
        <f>'3. IS | DRE'!R12/1000</f>
        <v>1024.1141240000002</v>
      </c>
      <c r="D12" s="215">
        <f>'3. IS | DRE'!S12/1000</f>
        <v>1150.0340000000001</v>
      </c>
      <c r="E12" s="215">
        <f>'3. IS | DRE'!T12/1000</f>
        <v>1265.4956082399999</v>
      </c>
      <c r="F12" s="215">
        <f>'3. IS | DRE'!U12/1000</f>
        <v>1312.93386276</v>
      </c>
      <c r="G12" s="215">
        <f>'3. IS | DRE'!V12/1000</f>
        <v>1400.9401153715321</v>
      </c>
      <c r="H12" s="215">
        <f>'3. IS | DRE'!W12/1000</f>
        <v>1478.5978110425297</v>
      </c>
      <c r="I12" s="215">
        <f>'3. IS | DRE'!X12/1000</f>
        <v>1676.142244553572</v>
      </c>
      <c r="J12" s="215">
        <f>'3. IS | DRE'!Y12/1000</f>
        <v>1844.4850262437662</v>
      </c>
      <c r="K12" s="215">
        <f>'3. IS | DRE'!Z12/1000</f>
        <v>1837.8011000000001</v>
      </c>
      <c r="L12" s="215">
        <f>'3. IS | DRE'!AA12/1000</f>
        <v>2003.0824</v>
      </c>
      <c r="M12" s="215">
        <f>'3. IS | DRE'!AB12/1000</f>
        <v>2162.1640000000002</v>
      </c>
      <c r="N12" s="215"/>
      <c r="O12" s="254">
        <f t="shared" si="2"/>
        <v>7.9418400361363162E-2</v>
      </c>
      <c r="P12" s="254">
        <f t="shared" si="3"/>
        <v>0.28996450451964861</v>
      </c>
      <c r="S12" s="243"/>
      <c r="T12" s="243"/>
      <c r="U12" s="243"/>
      <c r="V12" s="243"/>
      <c r="W12" s="243"/>
    </row>
    <row r="13" spans="1:26" ht="13" customHeight="1">
      <c r="A13" s="235"/>
      <c r="B13" s="22" t="str">
        <f>IF('Summary | Sumário'!$D$6=Names!$B$3,Names!BV14,Names!BW14)</f>
        <v>Pre Tax Net Income (R$ mm)</v>
      </c>
      <c r="C13" s="539">
        <f>'3. IS | DRE'!R23/1000</f>
        <v>5.8971240000000691</v>
      </c>
      <c r="D13" s="539">
        <f>'3. IS | DRE'!S23/1000</f>
        <v>80.299000000000007</v>
      </c>
      <c r="E13" s="539">
        <f>'3. IS | DRE'!T23/1000</f>
        <v>145.35400000000001</v>
      </c>
      <c r="F13" s="539">
        <f>'3. IS | DRE'!U23/1000</f>
        <v>208.29187599999995</v>
      </c>
      <c r="G13" s="539">
        <f>'3. IS | DRE'!V23/1000</f>
        <v>273.73200000000003</v>
      </c>
      <c r="H13" s="539">
        <f>'3. IS | DRE'!W23/1000</f>
        <v>297.60700000000003</v>
      </c>
      <c r="I13" s="539">
        <f>'3. IS | DRE'!X23/1000</f>
        <v>293.95208107357217</v>
      </c>
      <c r="J13" s="539">
        <f>'3. IS | DRE'!Y23/1000</f>
        <v>340.25850124376643</v>
      </c>
      <c r="K13" s="539">
        <f>'3. IS | DRE'!Z23/1000</f>
        <v>357.54690000000016</v>
      </c>
      <c r="L13" s="539">
        <f>'3. IS | DRE'!AA23/1000</f>
        <v>383.52819999999997</v>
      </c>
      <c r="M13" s="539">
        <f>'3. IS | DRE'!AB23/1000</f>
        <v>417.92540000000002</v>
      </c>
      <c r="N13" s="255"/>
      <c r="O13" s="252">
        <f t="shared" si="2"/>
        <v>8.9686234284727995E-2</v>
      </c>
      <c r="P13" s="252">
        <f t="shared" si="3"/>
        <v>0.42174669583441071</v>
      </c>
      <c r="S13" s="243"/>
      <c r="T13" s="243"/>
      <c r="U13" s="243"/>
      <c r="V13" s="243"/>
      <c r="W13" s="243"/>
    </row>
    <row r="14" spans="1:26" ht="13" customHeight="1">
      <c r="A14" s="235"/>
      <c r="B14" s="16" t="str">
        <f>IF('Summary | Sumário'!$D$6=Names!$B$3,Names!BV16,Names!BW16)</f>
        <v>Net Income (R$ mm)</v>
      </c>
      <c r="C14" s="215">
        <f>'3. IS | DRE'!R29/1000</f>
        <v>11.404999999999999</v>
      </c>
      <c r="D14" s="215">
        <f>'3. IS | DRE'!S29/1000</f>
        <v>48.746000000000002</v>
      </c>
      <c r="E14" s="215">
        <f>'3. IS | DRE'!T29/1000</f>
        <v>91.290999999999997</v>
      </c>
      <c r="F14" s="215">
        <f>'3. IS | DRE'!U29/1000</f>
        <v>150.90100000000001</v>
      </c>
      <c r="G14" s="215">
        <f>'3. IS | DRE'!V29/1000</f>
        <v>182.79300000000001</v>
      </c>
      <c r="H14" s="215">
        <f>'3. IS | DRE'!W29/1000</f>
        <v>206.47900000000001</v>
      </c>
      <c r="I14" s="215">
        <f>'3. IS | DRE'!X29/1000</f>
        <v>242.67099999999999</v>
      </c>
      <c r="J14" s="215">
        <f>'3. IS | DRE'!Y29/1000</f>
        <v>275.18900000000002</v>
      </c>
      <c r="K14" s="215">
        <f>'3. IS | DRE'!Z29/1000</f>
        <v>286.52199999999999</v>
      </c>
      <c r="L14" s="215">
        <f>'3. IS | DRE'!AA29/1000</f>
        <v>315.13079999999997</v>
      </c>
      <c r="M14" s="215">
        <f>'3. IS | DRE'!AB29/1000</f>
        <v>336.34520000000003</v>
      </c>
      <c r="N14" s="215"/>
      <c r="O14" s="254">
        <f t="shared" si="2"/>
        <v>6.7319348029453385E-2</v>
      </c>
      <c r="P14" s="254">
        <f t="shared" si="3"/>
        <v>0.38601316185287926</v>
      </c>
      <c r="S14" s="243"/>
      <c r="T14" s="243"/>
      <c r="U14" s="243"/>
      <c r="V14" s="243"/>
      <c r="W14" s="243"/>
    </row>
    <row r="15" spans="1:26" s="710" customFormat="1" ht="13" customHeight="1">
      <c r="A15" s="706"/>
      <c r="B15" s="702"/>
      <c r="C15" s="707"/>
      <c r="D15" s="707"/>
      <c r="E15" s="707"/>
      <c r="F15" s="707"/>
      <c r="G15" s="707"/>
      <c r="H15" s="707"/>
      <c r="I15" s="707"/>
      <c r="J15" s="707"/>
      <c r="K15" s="707"/>
      <c r="L15" s="707"/>
      <c r="M15" s="707"/>
      <c r="N15" s="215"/>
      <c r="O15" s="708"/>
      <c r="P15" s="708"/>
      <c r="Q15" s="709"/>
      <c r="R15" s="709"/>
      <c r="S15" s="707"/>
      <c r="T15" s="707"/>
      <c r="U15" s="707"/>
      <c r="V15" s="707"/>
      <c r="W15" s="707"/>
    </row>
    <row r="16" spans="1:26" s="710" customFormat="1" ht="13" customHeight="1">
      <c r="A16" s="706"/>
      <c r="B16" s="24" t="str">
        <f>IF('Summary | Sumário'!$D$6=Names!$B$3,Names!BV17,Names!BW17)</f>
        <v>Balance Sheet &amp; Capital</v>
      </c>
      <c r="C16" s="274"/>
      <c r="D16" s="274"/>
      <c r="E16" s="274"/>
      <c r="F16" s="274"/>
      <c r="G16" s="274"/>
      <c r="H16" s="274"/>
      <c r="I16" s="274"/>
      <c r="J16" s="274"/>
      <c r="K16" s="274"/>
      <c r="L16" s="274"/>
      <c r="M16" s="274"/>
      <c r="N16" s="250"/>
      <c r="O16" s="648"/>
      <c r="P16" s="648"/>
      <c r="Q16" s="709"/>
      <c r="R16" s="709"/>
      <c r="S16" s="711"/>
      <c r="T16" s="711"/>
      <c r="U16" s="711"/>
      <c r="V16" s="711"/>
      <c r="W16" s="711"/>
      <c r="X16" s="712"/>
    </row>
    <row r="17" spans="1:24" s="710" customFormat="1" ht="13" customHeight="1">
      <c r="A17" s="706"/>
      <c r="B17" s="713" t="str">
        <f>IF('Summary | Sumário'!$D$6=Names!$B$3,Names!BV18,Names!BW18)</f>
        <v>Gross Loan Portfolio (R$ bn)</v>
      </c>
      <c r="C17" s="714">
        <f>'9.1 Asset Quality'!R5/1000000</f>
        <v>23.832874</v>
      </c>
      <c r="D17" s="714">
        <f>'9.1 Asset Quality'!S5/1000000</f>
        <v>25.141383000000001</v>
      </c>
      <c r="E17" s="714">
        <f>'9.1 Asset Quality'!T5/1000000</f>
        <v>27.043600999999999</v>
      </c>
      <c r="F17" s="714">
        <f>'9.1 Asset Quality'!U5/1000000</f>
        <v>29.784300999999999</v>
      </c>
      <c r="G17" s="714">
        <f>'9.1 Asset Quality'!V5/1000000</f>
        <v>30.858626881090203</v>
      </c>
      <c r="H17" s="714">
        <f>'9.1 Asset Quality'!W5/1000000</f>
        <v>32.971552000000003</v>
      </c>
      <c r="I17" s="714">
        <f>'9.1 Asset Quality'!X5/1000000</f>
        <v>33.705888000000002</v>
      </c>
      <c r="J17" s="714">
        <f>'9.1 Asset Quality'!Y5/1000000</f>
        <v>35.596293000000003</v>
      </c>
      <c r="K17" s="714">
        <f>'9.1 Asset Quality'!Z5/1000000</f>
        <v>37.395324000000002</v>
      </c>
      <c r="L17" s="714">
        <f>'9.1 Asset Quality'!AA5/1000000</f>
        <v>40.236766000000003</v>
      </c>
      <c r="M17" s="714">
        <f>'9.1 Asset Quality'!AB5/1000000</f>
        <v>43.81812</v>
      </c>
      <c r="N17" s="253"/>
      <c r="O17" s="716">
        <f t="shared" ref="O17:O19" si="4">M17/L17-1</f>
        <v>8.9007004191141936E-2</v>
      </c>
      <c r="P17" s="717">
        <f t="shared" ref="P17:P19" si="5">M17/I17-1</f>
        <v>0.30001381361025103</v>
      </c>
      <c r="Q17" s="709"/>
      <c r="R17" s="709"/>
      <c r="S17" s="711"/>
      <c r="T17" s="711"/>
      <c r="U17" s="711"/>
      <c r="V17" s="711"/>
      <c r="W17" s="711"/>
    </row>
    <row r="18" spans="1:24" s="710" customFormat="1" ht="13" customHeight="1">
      <c r="A18" s="706"/>
      <c r="B18" s="22" t="str">
        <f>IF('Summary | Sumário'!$D$6=Names!$B$3,Names!BV19,Names!BW19)</f>
        <v>Funding (R$ bn)</v>
      </c>
      <c r="C18" s="251">
        <f>'4. Funding'!R15/1000000</f>
        <v>33.532685000000001</v>
      </c>
      <c r="D18" s="251">
        <f>'4. Funding'!S15/1000000</f>
        <v>35.665087040739998</v>
      </c>
      <c r="E18" s="251">
        <f>'4. Funding'!T15/1000000</f>
        <v>39.571626560479999</v>
      </c>
      <c r="F18" s="251">
        <f>'4. Funding'!U15/1000000</f>
        <v>43.513032000000003</v>
      </c>
      <c r="G18" s="251">
        <f>'4. Funding'!V15/1000000</f>
        <v>43.783581005715945</v>
      </c>
      <c r="H18" s="251">
        <f>'4. Funding'!W15/1000000</f>
        <v>47.759601090000004</v>
      </c>
      <c r="I18" s="251">
        <f>'4. Funding'!X15/1000000</f>
        <v>50.267847091739995</v>
      </c>
      <c r="J18" s="251">
        <f>'4. Funding'!Y15/1000000</f>
        <v>55.065296396439997</v>
      </c>
      <c r="K18" s="251">
        <f>'4. Funding'!Z15/1000000</f>
        <v>59.074108000000003</v>
      </c>
      <c r="L18" s="251">
        <f>'4. Funding'!AA15/1000000</f>
        <v>62.241709999999998</v>
      </c>
      <c r="M18" s="251">
        <f>'4. Funding'!AB15/1000000</f>
        <v>67.948663999999994</v>
      </c>
      <c r="N18" s="253"/>
      <c r="O18" s="252">
        <f t="shared" si="4"/>
        <v>9.1690186532471518E-2</v>
      </c>
      <c r="P18" s="542">
        <f t="shared" si="5"/>
        <v>0.35173212960547318</v>
      </c>
      <c r="Q18" s="709"/>
      <c r="R18" s="709"/>
      <c r="S18" s="707"/>
      <c r="T18" s="707"/>
      <c r="U18" s="707"/>
      <c r="V18" s="707"/>
      <c r="W18" s="707"/>
    </row>
    <row r="19" spans="1:24" s="710" customFormat="1" ht="13" customHeight="1">
      <c r="A19" s="706"/>
      <c r="B19" s="702" t="str">
        <f>IF('Summary | Sumário'!$D$6=Names!$B$3,Names!BV20,Names!BW20)</f>
        <v>Shareholders` Equity (R$ bn)</v>
      </c>
      <c r="C19" s="715">
        <f>'2. BS | BP'!R38/1000000</f>
        <v>7.1399059999999999</v>
      </c>
      <c r="D19" s="715">
        <f>'2. BS | BP'!S38/1000000</f>
        <v>7.3176579999999998</v>
      </c>
      <c r="E19" s="715">
        <f>'2. BS | BP'!T38/1000000</f>
        <v>7.3682270000000001</v>
      </c>
      <c r="F19" s="715">
        <f>'2. BS | BP'!U38/1000000</f>
        <v>7.5966909999999999</v>
      </c>
      <c r="G19" s="715">
        <f>'2. BS | BP'!V38/1000000</f>
        <v>8.5384520009060338</v>
      </c>
      <c r="H19" s="715">
        <f>'2. BS | BP'!W38/1000000</f>
        <v>8.6075355620000007</v>
      </c>
      <c r="I19" s="715">
        <f>'2. BS | BP'!X38/1000000</f>
        <v>8.8673380000000002</v>
      </c>
      <c r="J19" s="715">
        <f>'2. BS | BP'!Y38/1000000</f>
        <v>9.0723070000000003</v>
      </c>
      <c r="K19" s="715">
        <f>'2. BS | BP'!Z38/1000000</f>
        <v>9.0128500000000003</v>
      </c>
      <c r="L19" s="715">
        <f>'2. BS | BP'!AA38/1000000</f>
        <v>9.3878319999999995</v>
      </c>
      <c r="M19" s="715">
        <f>'2. BS | BP'!AB38/1000000</f>
        <v>9.8081320000000005</v>
      </c>
      <c r="N19" s="253"/>
      <c r="O19" s="708">
        <f t="shared" si="4"/>
        <v>4.4770720225926652E-2</v>
      </c>
      <c r="P19" s="718">
        <f t="shared" si="5"/>
        <v>0.10609655344140489</v>
      </c>
      <c r="Q19" s="709"/>
      <c r="R19" s="709"/>
      <c r="S19" s="707"/>
      <c r="T19" s="707"/>
      <c r="U19" s="707"/>
      <c r="V19" s="707"/>
      <c r="W19" s="707"/>
      <c r="X19" s="719"/>
    </row>
    <row r="20" spans="1:24" s="710" customFormat="1" ht="13" customHeight="1">
      <c r="A20" s="706"/>
      <c r="B20" s="22"/>
      <c r="C20" s="242"/>
      <c r="D20" s="242"/>
      <c r="E20" s="242"/>
      <c r="F20" s="242"/>
      <c r="G20" s="242"/>
      <c r="H20" s="242"/>
      <c r="I20" s="242"/>
      <c r="J20" s="242"/>
      <c r="K20" s="242"/>
      <c r="L20" s="242"/>
      <c r="M20" s="242"/>
      <c r="N20" s="243"/>
      <c r="O20" s="538"/>
      <c r="P20" s="260"/>
      <c r="Q20" s="709"/>
      <c r="R20" s="709"/>
      <c r="S20" s="707"/>
      <c r="T20" s="707"/>
      <c r="U20" s="707"/>
      <c r="V20" s="707"/>
      <c r="W20" s="707"/>
    </row>
    <row r="21" spans="1:24" s="710" customFormat="1" ht="13" customHeight="1">
      <c r="A21" s="706"/>
      <c r="B21" s="722" t="str">
        <f>IF('Summary | Sumário'!$D$6=Names!$B$3,Names!BV23,Names!BW23)</f>
        <v>Volume KPIs</v>
      </c>
      <c r="C21" s="709"/>
      <c r="D21" s="709"/>
      <c r="E21" s="709"/>
      <c r="F21" s="709"/>
      <c r="G21" s="709"/>
      <c r="H21" s="709"/>
      <c r="I21" s="709"/>
      <c r="J21" s="709"/>
      <c r="K21" s="709"/>
      <c r="L21" s="709"/>
      <c r="M21" s="709"/>
      <c r="N21" s="250"/>
      <c r="O21" s="723"/>
      <c r="P21" s="723"/>
      <c r="Q21" s="709"/>
      <c r="R21" s="709"/>
      <c r="S21" s="707"/>
      <c r="T21" s="707"/>
      <c r="U21" s="707"/>
      <c r="V21" s="707"/>
      <c r="W21" s="707"/>
    </row>
    <row r="22" spans="1:24" s="710" customFormat="1" ht="13" customHeight="1">
      <c r="A22" s="706"/>
      <c r="B22" s="271" t="str">
        <f>IF('Summary | Sumário'!$D$6=Names!$B$3,Names!BV24,Names!BW24)</f>
        <v>Cards + PIX TPV (R$ bn)</v>
      </c>
      <c r="C22" s="533">
        <f>'4. Digital Acou. | Conta Di'!M12/1000</f>
        <v>181.36133153205003</v>
      </c>
      <c r="D22" s="533">
        <f>'4. Digital Acou. | Conta Di'!N12/1000</f>
        <v>196.99198220933999</v>
      </c>
      <c r="E22" s="533">
        <f>'4. Digital Acou. | Conta Di'!O12/1000</f>
        <v>219.41885998934995</v>
      </c>
      <c r="F22" s="533">
        <f>'4. Digital Acou. | Conta Di'!P12/1000</f>
        <v>253.47963343943999</v>
      </c>
      <c r="G22" s="533">
        <f>'4. Digital Acou. | Conta Di'!Q12/1000</f>
        <v>257.10899231503004</v>
      </c>
      <c r="H22" s="533">
        <f>'4. Digital Acou. | Conta Di'!R12/1000</f>
        <v>290.18742066855003</v>
      </c>
      <c r="I22" s="533">
        <f>'4. Digital Acou. | Conta Di'!S12/1000</f>
        <v>319.71058588529996</v>
      </c>
      <c r="J22" s="533">
        <f>'4. Digital Acou. | Conta Di'!T12/1000</f>
        <v>364.31774689758004</v>
      </c>
      <c r="K22" s="533">
        <f>'4. Digital Acou. | Conta Di'!U12/1000</f>
        <v>341.94097187047225</v>
      </c>
      <c r="L22" s="533">
        <f>'4. Digital Acou. | Conta Di'!V12/1000</f>
        <v>374.29993975720998</v>
      </c>
      <c r="M22" s="533">
        <f>'4. Digital Acou. | Conta Di'!W12/1000</f>
        <v>412.63440356810997</v>
      </c>
      <c r="N22" s="243"/>
      <c r="O22" s="273">
        <f t="shared" ref="O22:O24" si="6">M22/L22-1</f>
        <v>0.10241643061915973</v>
      </c>
      <c r="P22" s="541">
        <f t="shared" ref="P22:P24" si="7">M22/I22-1</f>
        <v>0.29064979949130487</v>
      </c>
      <c r="Q22" s="709"/>
      <c r="R22" s="709"/>
      <c r="S22" s="707"/>
      <c r="T22" s="707"/>
      <c r="U22" s="707"/>
      <c r="V22" s="707"/>
      <c r="W22" s="707"/>
    </row>
    <row r="23" spans="1:24" s="710" customFormat="1" ht="13" customHeight="1">
      <c r="A23" s="706"/>
      <c r="B23" s="702" t="str">
        <f>IF('Summary | Sumário'!$D$6=Names!$B$3,Names!BV25,Names!BW25)</f>
        <v>GMV Inter Shop (R$ mm)</v>
      </c>
      <c r="C23" s="707">
        <f>'3. Inter Shop'!L5</f>
        <v>829.25831872000003</v>
      </c>
      <c r="D23" s="707">
        <f>'3. Inter Shop'!M5</f>
        <v>755.63938086500002</v>
      </c>
      <c r="E23" s="707">
        <f>'3. Inter Shop'!N5</f>
        <v>869.35878100000002</v>
      </c>
      <c r="F23" s="707">
        <f>'3. Inter Shop'!O5</f>
        <v>1049.8873619999999</v>
      </c>
      <c r="G23" s="707">
        <f>'3. Inter Shop'!P5</f>
        <v>993.72802863999993</v>
      </c>
      <c r="H23" s="707">
        <f>'3. Inter Shop'!Q5</f>
        <v>1136.3548290000001</v>
      </c>
      <c r="I23" s="707">
        <f>'3. Inter Shop'!R5</f>
        <v>1381.38672453</v>
      </c>
      <c r="J23" s="707">
        <f>'3. Inter Shop'!S5</f>
        <v>1468.9165743599999</v>
      </c>
      <c r="K23" s="707">
        <f>'3. Inter Shop'!T5</f>
        <v>1282.482403</v>
      </c>
      <c r="L23" s="707">
        <f>'3. Inter Shop'!U5</f>
        <v>1236.6965090000001</v>
      </c>
      <c r="M23" s="707">
        <f>'3. Inter Shop'!V5</f>
        <v>1402.1078505799999</v>
      </c>
      <c r="N23" s="215"/>
      <c r="O23" s="708">
        <f t="shared" si="6"/>
        <v>0.13375257419765196</v>
      </c>
      <c r="P23" s="718">
        <f t="shared" si="7"/>
        <v>1.5000235402616857E-2</v>
      </c>
      <c r="Q23" s="709"/>
      <c r="R23" s="709"/>
      <c r="S23" s="707"/>
      <c r="T23" s="707"/>
      <c r="U23" s="707"/>
      <c r="V23" s="707"/>
      <c r="W23" s="707"/>
    </row>
    <row r="24" spans="1:24" s="710" customFormat="1" ht="13" customHeight="1">
      <c r="A24" s="706"/>
      <c r="B24" s="22" t="str">
        <f>IF('Summary | Sumário'!$D$6=Names!$B$3,Names!BV26,Names!BW26)</f>
        <v>AUC  (R$ bn)</v>
      </c>
      <c r="C24" s="543">
        <f>'1. Inter Invest'!M5/1000</f>
        <v>67.986417997459967</v>
      </c>
      <c r="D24" s="543">
        <f>'1. Inter Invest'!N5/1000</f>
        <v>76.842170568875446</v>
      </c>
      <c r="E24" s="543">
        <f>'1. Inter Invest'!O5/1000</f>
        <v>82.892927662269997</v>
      </c>
      <c r="F24" s="543">
        <f>'1. Inter Invest'!P5/1000</f>
        <v>91.798553433999999</v>
      </c>
      <c r="G24" s="543">
        <f>'1. Inter Invest'!Q5/1000</f>
        <v>94.882291527389754</v>
      </c>
      <c r="H24" s="543">
        <f>'1. Inter Invest'!R5/1000</f>
        <v>105.21894690225135</v>
      </c>
      <c r="I24" s="543">
        <f>'1. Inter Invest'!S5/1000</f>
        <v>122.4895022303232</v>
      </c>
      <c r="J24" s="543">
        <f>'1. Inter Invest'!T5/1000</f>
        <v>141.24089867975749</v>
      </c>
      <c r="K24" s="543">
        <f>'1. Inter Invest'!U5/1000</f>
        <v>145.96675700367001</v>
      </c>
      <c r="L24" s="543">
        <f>'1. Inter Invest'!V5/1000</f>
        <v>154.46903082499998</v>
      </c>
      <c r="M24" s="543">
        <f>'1. Inter Invest'!W5/1000</f>
        <v>169.97936709708</v>
      </c>
      <c r="N24" s="259"/>
      <c r="O24" s="252">
        <f t="shared" si="6"/>
        <v>0.10041065312083108</v>
      </c>
      <c r="P24" s="542">
        <f t="shared" si="7"/>
        <v>0.38770559110820146</v>
      </c>
      <c r="Q24" s="709"/>
      <c r="R24" s="709"/>
      <c r="S24" s="707"/>
      <c r="T24" s="707"/>
      <c r="U24" s="707"/>
      <c r="V24" s="707"/>
      <c r="W24" s="707"/>
    </row>
    <row r="25" spans="1:24" s="710" customFormat="1" ht="13" customHeight="1">
      <c r="A25" s="706"/>
      <c r="B25" s="702"/>
      <c r="C25" s="707"/>
      <c r="D25" s="707"/>
      <c r="E25" s="707"/>
      <c r="F25" s="707"/>
      <c r="G25" s="707"/>
      <c r="H25" s="707"/>
      <c r="I25" s="707"/>
      <c r="J25" s="707"/>
      <c r="K25" s="707"/>
      <c r="L25" s="707"/>
      <c r="M25" s="707"/>
      <c r="N25" s="215"/>
      <c r="O25" s="721"/>
      <c r="P25" s="721"/>
      <c r="Q25" s="709"/>
      <c r="R25" s="709"/>
      <c r="S25" s="707"/>
      <c r="T25" s="707"/>
      <c r="U25" s="707"/>
      <c r="V25" s="707"/>
      <c r="W25" s="707"/>
    </row>
    <row r="26" spans="1:24" s="710" customFormat="1" ht="13" customHeight="1">
      <c r="A26" s="706"/>
      <c r="B26" s="540" t="str">
        <f>IF('Summary | Sumário'!$D$6=Names!$B$3,Names!BV28,Names!BW28)</f>
        <v>Asset Quality</v>
      </c>
      <c r="C26" s="274"/>
      <c r="D26" s="274"/>
      <c r="E26" s="274"/>
      <c r="F26" s="274"/>
      <c r="G26" s="274"/>
      <c r="H26" s="274"/>
      <c r="I26" s="274"/>
      <c r="J26" s="274"/>
      <c r="K26" s="274"/>
      <c r="L26" s="274"/>
      <c r="M26" s="274"/>
      <c r="N26" s="250"/>
      <c r="O26" s="275"/>
      <c r="P26" s="275"/>
      <c r="Q26" s="709"/>
      <c r="R26" s="709"/>
      <c r="S26" s="724"/>
      <c r="T26" s="724"/>
      <c r="U26" s="724"/>
      <c r="V26" s="724"/>
      <c r="W26" s="711"/>
    </row>
    <row r="27" spans="1:24" s="710" customFormat="1" ht="13" customHeight="1">
      <c r="A27" s="706"/>
      <c r="B27" s="725" t="str">
        <f>IF('Summary | Sumário'!$D$6=Names!$B$3,Names!BV29,Names!BW29)</f>
        <v>NPL &gt; 90 days (%)</v>
      </c>
      <c r="C27" s="726">
        <f>'9.1 Asset Quality'!R26</f>
        <v>4.425561390533074E-2</v>
      </c>
      <c r="D27" s="726">
        <f>'9.1 Asset Quality'!S26</f>
        <v>4.6937273988870744E-2</v>
      </c>
      <c r="E27" s="726">
        <f>'9.1 Asset Quality'!T26</f>
        <v>4.6873218175344886E-2</v>
      </c>
      <c r="F27" s="726">
        <f>'9.1 Asset Quality'!U26</f>
        <v>4.5948866208864708E-2</v>
      </c>
      <c r="G27" s="726">
        <f>'9.1 Asset Quality'!V26</f>
        <v>4.8307930395170035E-2</v>
      </c>
      <c r="H27" s="726">
        <f>'9.1 Asset Quality'!W26</f>
        <v>4.6618172011492563E-2</v>
      </c>
      <c r="I27" s="726">
        <f>'9.1 Asset Quality'!X26</f>
        <v>4.5182000499596732E-2</v>
      </c>
      <c r="J27" s="726">
        <f>'9.1 Asset Quality'!Y26</f>
        <v>4.2179708903771096E-2</v>
      </c>
      <c r="K27" s="726">
        <f>'9.1 Asset Quality'!Z26</f>
        <v>4.0718360845246861E-2</v>
      </c>
      <c r="L27" s="726">
        <f>'9.1 Asset Quality'!AA26</f>
        <v>4.2012384903609853E-2</v>
      </c>
      <c r="M27" s="726">
        <f>'9.1 Asset Quality'!AB26</f>
        <v>4.2470166612367834E-2</v>
      </c>
      <c r="N27" s="261"/>
      <c r="O27" s="728">
        <f>(M27-L27)*100</f>
        <v>4.5778170875798024E-2</v>
      </c>
      <c r="P27" s="729">
        <f>(M27-I27)*100</f>
        <v>-0.27118338872288983</v>
      </c>
      <c r="Q27" s="709"/>
      <c r="R27" s="709"/>
      <c r="S27" s="711"/>
      <c r="T27" s="711"/>
      <c r="U27" s="711"/>
      <c r="V27" s="711"/>
      <c r="W27" s="711"/>
    </row>
    <row r="28" spans="1:24" s="710" customFormat="1" ht="13" customHeight="1">
      <c r="A28" s="706"/>
      <c r="B28" s="544" t="str">
        <f>IF('Summary | Sumário'!$D$6=Names!$B$3,Names!BV30,Names!BW30)</f>
        <v>NPL 15-90 days (%)</v>
      </c>
      <c r="C28" s="256">
        <f>'9.1 Asset Quality'!R21</f>
        <v>4.3458095606172524E-2</v>
      </c>
      <c r="D28" s="256">
        <f>'9.1 Asset Quality'!S21</f>
        <v>4.1964720582480561E-2</v>
      </c>
      <c r="E28" s="256">
        <f>'9.1 Asset Quality'!T21</f>
        <v>4.2636576262433189E-2</v>
      </c>
      <c r="F28" s="256">
        <f>'9.1 Asset Quality'!U21</f>
        <v>4.0071198175600488E-2</v>
      </c>
      <c r="G28" s="256">
        <f>'9.1 Asset Quality'!V21</f>
        <v>4.4087392795071748E-2</v>
      </c>
      <c r="H28" s="256">
        <f>'9.1 Asset Quality'!W21</f>
        <v>3.9289590020879214E-2</v>
      </c>
      <c r="I28" s="256">
        <f>'9.1 Asset Quality'!X21</f>
        <v>3.6008983670181932E-2</v>
      </c>
      <c r="J28" s="256">
        <f>'9.1 Asset Quality'!Y21</f>
        <v>3.4280430547543803E-2</v>
      </c>
      <c r="K28" s="256">
        <f>'9.1 Asset Quality'!Z21</f>
        <v>3.7539033898415307E-2</v>
      </c>
      <c r="L28" s="256">
        <f>'9.1 Asset Quality'!AA21</f>
        <v>3.7498374725471094E-2</v>
      </c>
      <c r="M28" s="256">
        <f>'9.1 Asset Quality'!AB21</f>
        <v>3.8018117748348602E-2</v>
      </c>
      <c r="N28" s="261"/>
      <c r="O28" s="257">
        <f t="shared" ref="O28:O29" si="8">(M28-L28)*100</f>
        <v>5.1974302287750851E-2</v>
      </c>
      <c r="P28" s="258">
        <f t="shared" ref="P28:P29" si="9">(M28-I28)*100</f>
        <v>0.20091340781666703</v>
      </c>
      <c r="Q28" s="709"/>
      <c r="R28" s="709"/>
      <c r="S28" s="711"/>
      <c r="T28" s="711"/>
      <c r="U28" s="711"/>
      <c r="V28" s="711"/>
      <c r="W28" s="711"/>
    </row>
    <row r="29" spans="1:24" s="710" customFormat="1" ht="13" customHeight="1">
      <c r="A29" s="706"/>
      <c r="B29" s="702" t="str">
        <f>IF('Summary | Sumário'!$D$6=Names!$B$3,Names!BV31,Names!BW31)</f>
        <v>Coverage Ratio (%)</v>
      </c>
      <c r="C29" s="727">
        <f>'9.1 Asset Quality'!R34</f>
        <v>1.3416430321424944</v>
      </c>
      <c r="D29" s="727">
        <f>'9.1 Asset Quality'!S34</f>
        <v>1.3296856642590198</v>
      </c>
      <c r="E29" s="727">
        <f>'9.1 Asset Quality'!T34</f>
        <v>1.3188960574080884</v>
      </c>
      <c r="F29" s="727">
        <f>'9.1 Asset Quality'!U34</f>
        <v>1.343397801947867</v>
      </c>
      <c r="G29" s="727">
        <f>'9.1 Asset Quality'!V34</f>
        <v>1.325796015185797</v>
      </c>
      <c r="H29" s="727">
        <f>'9.1 Asset Quality'!W34</f>
        <v>1.3017531336546826</v>
      </c>
      <c r="I29" s="727">
        <f>'9.1 Asset Quality'!X34</f>
        <v>1.2953231740838689</v>
      </c>
      <c r="J29" s="727">
        <f>'9.1 Asset Quality'!Y34</f>
        <v>1.3625649121395018</v>
      </c>
      <c r="K29" s="727">
        <f>'9.1 Asset Quality'!Z34</f>
        <v>1.4254534411552315</v>
      </c>
      <c r="L29" s="727">
        <f>'9.1 Asset Quality'!AA34</f>
        <v>1.4339593935505011</v>
      </c>
      <c r="M29" s="727">
        <f>'9.1 Asset Quality'!AB34</f>
        <v>1.4631857564609239</v>
      </c>
      <c r="N29" s="261"/>
      <c r="O29" s="731">
        <f t="shared" si="8"/>
        <v>2.9226362910422798</v>
      </c>
      <c r="P29" s="732">
        <f t="shared" si="9"/>
        <v>16.786258237705496</v>
      </c>
      <c r="Q29" s="709"/>
      <c r="R29" s="709"/>
      <c r="S29" s="720"/>
      <c r="T29" s="720"/>
      <c r="U29" s="720"/>
      <c r="V29" s="720"/>
      <c r="W29" s="720"/>
    </row>
    <row r="30" spans="1:24" s="710" customFormat="1" ht="13" customHeight="1">
      <c r="A30" s="706"/>
      <c r="B30" s="735"/>
      <c r="C30" s="242"/>
      <c r="D30" s="242"/>
      <c r="E30" s="242"/>
      <c r="F30" s="242"/>
      <c r="G30" s="242"/>
      <c r="H30" s="242"/>
      <c r="I30" s="242"/>
      <c r="J30" s="242"/>
      <c r="K30" s="242"/>
      <c r="L30" s="242"/>
      <c r="M30" s="242"/>
      <c r="N30" s="243"/>
      <c r="O30" s="538"/>
      <c r="P30" s="260"/>
      <c r="Q30" s="709"/>
      <c r="R30" s="709"/>
      <c r="S30" s="707"/>
      <c r="T30" s="707"/>
      <c r="U30" s="707"/>
      <c r="V30" s="707"/>
      <c r="W30" s="707"/>
    </row>
    <row r="31" spans="1:24" s="710" customFormat="1" ht="13" customHeight="1">
      <c r="A31" s="706"/>
      <c r="B31" s="722" t="str">
        <f>IF('Summary | Sumário'!$D$6=Names!$B$3,Names!BV33,Names!BW33)</f>
        <v>Performance KPIs</v>
      </c>
      <c r="C31" s="709"/>
      <c r="D31" s="709"/>
      <c r="E31" s="709"/>
      <c r="F31" s="709"/>
      <c r="G31" s="709"/>
      <c r="H31" s="709"/>
      <c r="I31" s="709"/>
      <c r="J31" s="709"/>
      <c r="K31" s="709"/>
      <c r="L31" s="709"/>
      <c r="M31" s="709"/>
      <c r="N31" s="250"/>
      <c r="O31" s="723"/>
      <c r="P31" s="723"/>
      <c r="Q31" s="709"/>
      <c r="R31" s="709"/>
      <c r="S31" s="707"/>
      <c r="T31" s="707"/>
      <c r="U31" s="707"/>
      <c r="V31" s="707"/>
      <c r="W31" s="707"/>
    </row>
    <row r="32" spans="1:24" s="710" customFormat="1" ht="13" customHeight="1">
      <c r="A32" s="706"/>
      <c r="B32" s="271" t="str">
        <f>IF('Summary | Sumário'!D$6=Names!B$3,Names!Q7,Names!R7)</f>
        <v>NIM 2.0 (%)</v>
      </c>
      <c r="C32" s="736">
        <f>'9.2 NIM &amp; Yields'!R9</f>
        <v>7.7923974174730459E-2</v>
      </c>
      <c r="D32" s="736">
        <f>'9.2 NIM &amp; Yields'!S9</f>
        <v>8.5539472440613981E-2</v>
      </c>
      <c r="E32" s="736">
        <f>'9.2 NIM &amp; Yields'!T9</f>
        <v>8.1482839464113735E-2</v>
      </c>
      <c r="F32" s="736">
        <f>'9.2 NIM &amp; Yields'!U9</f>
        <v>7.8697434892860935E-2</v>
      </c>
      <c r="G32" s="736">
        <f>'9.2 NIM &amp; Yields'!V9</f>
        <v>8.2180472229888515E-2</v>
      </c>
      <c r="H32" s="736">
        <f>'9.2 NIM &amp; Yields'!W9</f>
        <v>8.2371027681412398E-2</v>
      </c>
      <c r="I32" s="736">
        <f>'9.2 NIM &amp; Yields'!X9</f>
        <v>8.6757681580365315E-2</v>
      </c>
      <c r="J32" s="736">
        <f>'9.2 NIM &amp; Yields'!Y9</f>
        <v>8.7425087440085245E-2</v>
      </c>
      <c r="K32" s="736">
        <f>'9.2 NIM &amp; Yields'!Z9</f>
        <v>8.8434242308333022E-2</v>
      </c>
      <c r="L32" s="736">
        <f>'9.2 NIM &amp; Yields'!AA9</f>
        <v>9.0695418380868989E-2</v>
      </c>
      <c r="M32" s="736">
        <f>'9.2 NIM &amp; Yields'!AB9</f>
        <v>9.279500492766278E-2</v>
      </c>
      <c r="N32" s="243"/>
      <c r="O32" s="737">
        <f t="shared" ref="O32:O36" si="10">(M32-L32)*100</f>
        <v>0.20995865467937913</v>
      </c>
      <c r="P32" s="738">
        <f t="shared" ref="P32:P36" si="11">(M32-I32)*100</f>
        <v>0.60373233472974652</v>
      </c>
      <c r="Q32" s="709"/>
      <c r="R32" s="709"/>
      <c r="S32" s="707"/>
      <c r="T32" s="707"/>
      <c r="U32" s="707"/>
      <c r="V32" s="707"/>
      <c r="W32" s="707"/>
    </row>
    <row r="33" spans="1:23" s="710" customFormat="1" ht="13" customHeight="1">
      <c r="A33" s="706"/>
      <c r="B33" s="702" t="str">
        <f>IF('Summary | Sumário'!D$6=Names!B$3,Names!Q9,Names!R9)</f>
        <v>Risk-Adjusted NIM 2.0 (%)</v>
      </c>
      <c r="C33" s="733">
        <f>'9.2 NIM &amp; Yields'!R18</f>
        <v>4.0309153521016335E-2</v>
      </c>
      <c r="D33" s="733">
        <f>'9.2 NIM &amp; Yields'!S18</f>
        <v>4.4378043460152256E-2</v>
      </c>
      <c r="E33" s="733">
        <f>'9.2 NIM &amp; Yields'!T18</f>
        <v>4.2159442262429708E-2</v>
      </c>
      <c r="F33" s="733">
        <f>'9.2 NIM &amp; Yields'!U18</f>
        <v>4.4962357215369848E-2</v>
      </c>
      <c r="G33" s="733">
        <f>'9.2 NIM &amp; Yields'!V18</f>
        <v>4.8142369184789452E-2</v>
      </c>
      <c r="H33" s="733">
        <f>'9.2 NIM &amp; Yields'!W18</f>
        <v>4.9066733389372438E-2</v>
      </c>
      <c r="I33" s="733">
        <f>'9.2 NIM &amp; Yields'!X18</f>
        <v>5.163089103848454E-2</v>
      </c>
      <c r="J33" s="733">
        <f>'9.2 NIM &amp; Yields'!Y18</f>
        <v>5.2977147751792485E-2</v>
      </c>
      <c r="K33" s="733">
        <f>'9.2 NIM &amp; Yields'!Z18</f>
        <v>5.5095613637360492E-2</v>
      </c>
      <c r="L33" s="733">
        <f>'9.2 NIM &amp; Yields'!AA18</f>
        <v>5.5562359322360734E-2</v>
      </c>
      <c r="M33" s="733">
        <f>'9.2 NIM &amp; Yields'!AB18</f>
        <v>5.615052487716235E-2</v>
      </c>
      <c r="N33" s="318"/>
      <c r="O33" s="731">
        <f t="shared" si="10"/>
        <v>5.8816555480161598E-2</v>
      </c>
      <c r="P33" s="732">
        <f t="shared" si="11"/>
        <v>0.45196338386778101</v>
      </c>
      <c r="Q33" s="709"/>
      <c r="R33" s="709"/>
      <c r="S33" s="707"/>
      <c r="T33" s="707"/>
      <c r="U33" s="707"/>
      <c r="V33" s="707"/>
      <c r="W33" s="707"/>
    </row>
    <row r="34" spans="1:23" s="710" customFormat="1" ht="13" customHeight="1">
      <c r="A34" s="706"/>
      <c r="B34" s="22" t="str">
        <f>IF('Summary | Sumário'!$D$6=Names!$B$3,Names!BV36,Names!BW36)</f>
        <v>All-in Cost of Funding (% of CDI)</v>
      </c>
      <c r="C34" s="225">
        <f>'9.7 Cost of Funding'!R12</f>
        <v>0.59697348816995932</v>
      </c>
      <c r="D34" s="225">
        <f>'9.7 Cost of Funding'!S12</f>
        <v>0.5862739307988849</v>
      </c>
      <c r="E34" s="225">
        <f>'9.7 Cost of Funding'!T12</f>
        <v>0.61707902823666128</v>
      </c>
      <c r="F34" s="225">
        <f>'9.7 Cost of Funding'!U12</f>
        <v>0.59171705967014232</v>
      </c>
      <c r="G34" s="225">
        <f>'9.7 Cost of Funding'!V12</f>
        <v>0.61920574215306567</v>
      </c>
      <c r="H34" s="225">
        <f>'9.7 Cost of Funding'!W12</f>
        <v>0.64262556661987569</v>
      </c>
      <c r="I34" s="225">
        <f>'9.7 Cost of Funding'!X12</f>
        <v>0.65381139242560993</v>
      </c>
      <c r="J34" s="225">
        <f>'9.7 Cost of Funding'!Y12</f>
        <v>0.64151962469828561</v>
      </c>
      <c r="K34" s="225">
        <f>'9.7 Cost of Funding'!Z12</f>
        <v>0.63796352317117477</v>
      </c>
      <c r="L34" s="225">
        <f>'9.7 Cost of Funding'!AA12</f>
        <v>0.64839876062799318</v>
      </c>
      <c r="M34" s="225">
        <f>'9.7 Cost of Funding'!AB12</f>
        <v>0.68201992821835933</v>
      </c>
      <c r="N34" s="222"/>
      <c r="O34" s="257">
        <f t="shared" si="10"/>
        <v>3.3621167590366152</v>
      </c>
      <c r="P34" s="258">
        <f t="shared" si="11"/>
        <v>2.8208535792749401</v>
      </c>
      <c r="Q34" s="709"/>
      <c r="R34" s="709"/>
      <c r="S34" s="707"/>
      <c r="T34" s="707"/>
      <c r="U34" s="707"/>
      <c r="V34" s="707"/>
      <c r="W34" s="707"/>
    </row>
    <row r="35" spans="1:23" s="710" customFormat="1" ht="13" customHeight="1">
      <c r="A35" s="706"/>
      <c r="B35" s="730" t="str">
        <f>IF('Summary | Sumário'!$D$6=Names!$B$3,Names!BV37,Names!BW37)</f>
        <v>Efficiency Ratio (%)</v>
      </c>
      <c r="C35" s="734">
        <f>'9.4 Efficiency | Eficiência'!R15</f>
        <v>0.62351037661067732</v>
      </c>
      <c r="D35" s="734">
        <f>'9.4 Efficiency | Eficiência'!S15</f>
        <v>0.53383674950420901</v>
      </c>
      <c r="E35" s="734">
        <f>'9.4 Efficiency | Eficiência'!T15</f>
        <v>0.51720803695273643</v>
      </c>
      <c r="F35" s="734">
        <f>'9.4 Efficiency | Eficiência'!U15</f>
        <v>0.51364353479126668</v>
      </c>
      <c r="G35" s="734">
        <f>'9.4 Efficiency | Eficiência'!V15</f>
        <v>0.47740995408553893</v>
      </c>
      <c r="H35" s="734">
        <f>'9.4 Efficiency | Eficiência'!W15</f>
        <v>0.47563347568986319</v>
      </c>
      <c r="I35" s="734">
        <f>'9.4 Efficiency | Eficiência'!X15</f>
        <v>0.50211589888730823</v>
      </c>
      <c r="J35" s="734">
        <f>'9.4 Efficiency | Eficiência'!Y15</f>
        <v>0.48382626494846404</v>
      </c>
      <c r="K35" s="734">
        <f>'9.4 Efficiency | Eficiência'!Z15</f>
        <v>0.48281649047197628</v>
      </c>
      <c r="L35" s="734">
        <f>'9.4 Efficiency | Eficiência'!AA15</f>
        <v>0.47147874699369585</v>
      </c>
      <c r="M35" s="734">
        <f>'9.4 Efficiency | Eficiência'!AB15</f>
        <v>0.45172619796749802</v>
      </c>
      <c r="N35" s="262"/>
      <c r="O35" s="731">
        <f t="shared" si="10"/>
        <v>-1.975254902619783</v>
      </c>
      <c r="P35" s="732">
        <f t="shared" si="11"/>
        <v>-5.038970091981021</v>
      </c>
      <c r="Q35" s="709"/>
      <c r="R35" s="709"/>
      <c r="S35" s="724"/>
      <c r="T35" s="724"/>
      <c r="U35" s="724"/>
      <c r="V35" s="724"/>
      <c r="W35" s="711"/>
    </row>
    <row r="36" spans="1:23" s="710" customFormat="1" ht="13" customHeight="1">
      <c r="A36" s="706"/>
      <c r="B36" s="22" t="str">
        <f>IF('Summary | Sumário'!$D$6=Names!$B$3,Names!BV42,Names!BW42)</f>
        <v>ROE (%)</v>
      </c>
      <c r="C36" s="225">
        <f>'9.8 ROE'!R16</f>
        <v>6.506292220659432E-3</v>
      </c>
      <c r="D36" s="225">
        <f>'9.8 ROE'!S16</f>
        <v>2.7395160479617629E-2</v>
      </c>
      <c r="E36" s="225">
        <f>'9.8 ROE'!T16</f>
        <v>5.0491675207795732E-2</v>
      </c>
      <c r="F36" s="225">
        <f>'9.8 ROE'!U16</f>
        <v>8.194362028479428E-2</v>
      </c>
      <c r="G36" s="225">
        <f>'9.8 ROE'!V16</f>
        <v>9.2178380059035961E-2</v>
      </c>
      <c r="H36" s="225">
        <f>'9.8 ROE'!W16</f>
        <v>9.8005602972595141E-2</v>
      </c>
      <c r="I36" s="225">
        <f>'9.8 ROE'!X16</f>
        <v>0.1130724353464666</v>
      </c>
      <c r="J36" s="225">
        <f>'9.8 ROE'!Y16</f>
        <v>0.12506866951180479</v>
      </c>
      <c r="K36" s="225">
        <f>'9.8 ROE'!Z16</f>
        <v>0.12880482403335947</v>
      </c>
      <c r="L36" s="225">
        <f>'9.8 ROE'!AA16</f>
        <v>0.13859393461213435</v>
      </c>
      <c r="M36" s="225">
        <f>'9.8 ROE'!AB16</f>
        <v>0.1418473086925206</v>
      </c>
      <c r="N36" s="222"/>
      <c r="O36" s="257">
        <f t="shared" si="10"/>
        <v>0.32533740803862565</v>
      </c>
      <c r="P36" s="258">
        <f t="shared" si="11"/>
        <v>2.8774873346053997</v>
      </c>
      <c r="Q36" s="709"/>
      <c r="R36" s="709"/>
      <c r="S36" s="707"/>
      <c r="T36" s="707"/>
      <c r="U36" s="707"/>
      <c r="V36" s="707"/>
      <c r="W36" s="707"/>
    </row>
    <row r="37" spans="1:23" ht="13" customHeight="1">
      <c r="B37" s="18"/>
      <c r="C37" s="248"/>
      <c r="D37" s="248"/>
      <c r="E37" s="248"/>
      <c r="F37" s="248"/>
      <c r="G37" s="248"/>
      <c r="H37" s="248"/>
      <c r="I37" s="248"/>
      <c r="J37" s="248"/>
      <c r="K37" s="248"/>
      <c r="L37" s="248"/>
      <c r="M37" s="248"/>
      <c r="N37" s="248"/>
      <c r="O37" s="248"/>
      <c r="P37" s="248"/>
      <c r="Q37" s="248"/>
      <c r="R37" s="248"/>
      <c r="S37" s="248"/>
      <c r="T37" s="248"/>
      <c r="U37" s="248"/>
      <c r="V37" s="248"/>
      <c r="W37" s="248"/>
    </row>
    <row r="38" spans="1:23" ht="13" customHeight="1">
      <c r="B38" s="18"/>
      <c r="C38" s="248"/>
      <c r="D38" s="248"/>
      <c r="E38" s="248"/>
      <c r="F38" s="248"/>
      <c r="G38" s="248"/>
      <c r="H38" s="248"/>
      <c r="I38" s="248"/>
      <c r="J38" s="248"/>
      <c r="K38" s="248"/>
      <c r="L38" s="248"/>
      <c r="M38" s="248"/>
      <c r="N38" s="248"/>
      <c r="O38" s="248"/>
      <c r="P38" s="248"/>
      <c r="Q38" s="248"/>
      <c r="R38" s="248"/>
      <c r="S38" s="248"/>
      <c r="T38" s="248"/>
      <c r="U38" s="248"/>
      <c r="V38" s="248"/>
      <c r="W38" s="248"/>
    </row>
    <row r="40" spans="1:23" ht="13" customHeight="1">
      <c r="C40" s="249"/>
    </row>
  </sheetData>
  <sheetProtection algorithmName="SHA-512" hashValue="nfJSU/lch4Ef5b84zw0rXt2oSLDlVLQkZxt48CnsLlZnuoVBkM6C30sviATg5bnhch02waOyvh5SdFENAaLmIw==" saltValue="heUBr4WnvjayOsIUMVgRzA=="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5B4C1-B1C1-1C41-9FFC-03C030DA8A9B}">
  <sheetPr codeName="Sheet31">
    <tabColor theme="0" tint="-0.14999847407452621"/>
  </sheetPr>
  <dimension ref="A1"/>
  <sheetViews>
    <sheetView showGridLines="0" zoomScaleNormal="100" workbookViewId="0"/>
  </sheetViews>
  <sheetFormatPr baseColWidth="10" defaultColWidth="10.83203125" defaultRowHeight="15"/>
  <cols>
    <col min="1" max="31" width="10.83203125" customWidth="1"/>
  </cols>
  <sheetData/>
  <sheetProtection algorithmName="SHA-512" hashValue="RRNHBUSHeOC7ftmaBXDTB50wG5SNZklLl1CSGkRj9V1oEhs9XqFNy4xdKxIP9i0Py7DaBgRU+vL1qA3YNAxIHQ==" saltValue="I5/4EZD+xPcXZOasA3WTtw==" spinCount="100000" sheet="1" scenarios="1" selectLockedCells="1" selectUnlockedCells="1"/>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03347-86B6-1F4F-BD4E-8994EF4F3A57}">
  <sheetPr codeName="Sheet3">
    <tabColor rgb="FFEB7100"/>
  </sheetPr>
  <dimension ref="A1:AI47"/>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61" customWidth="1"/>
    <col min="2" max="2" width="79" style="15" bestFit="1" customWidth="1"/>
    <col min="3" max="8" width="10.83203125" style="250" customWidth="1"/>
    <col min="9" max="9" width="2.83203125" style="250" customWidth="1"/>
    <col min="10" max="28" width="10.83203125" style="250" customWidth="1"/>
    <col min="29" max="29" width="4.83203125" style="250" customWidth="1"/>
    <col min="30" max="32" width="10.83203125" style="250" customWidth="1"/>
    <col min="33" max="33" width="10.83203125" style="161"/>
    <col min="34" max="35" width="10.83203125" style="161" customWidth="1"/>
    <col min="36" max="16384" width="10.83203125" style="161"/>
  </cols>
  <sheetData>
    <row r="1" spans="1:35" s="238" customFormat="1" ht="13" customHeight="1">
      <c r="B1" s="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row>
    <row r="2" spans="1:35" s="10" customFormat="1" ht="13" customHeight="1">
      <c r="B2" s="267" t="str">
        <f>IF('Summary | Sumário'!D6=Names!B3,Names!K1,Names!L1)</f>
        <v>Balance Sheet (IFRS, R$ Thousands)</v>
      </c>
      <c r="C2" s="114">
        <f>IF('Summary | Sumário'!D6=Names!B3,Names!C2,Names!D2)</f>
        <v>2019</v>
      </c>
      <c r="D2" s="114">
        <f>IF('Summary | Sumário'!D6=Names!B3,Names!C3,Names!D3)</f>
        <v>2020</v>
      </c>
      <c r="E2" s="114">
        <f>IF('Summary | Sumário'!D6=Names!B3,Names!C4,Names!D4)</f>
        <v>2021</v>
      </c>
      <c r="F2" s="114">
        <f>IF('Summary | Sumário'!D6=Names!B3,Names!C5,Names!D5)</f>
        <v>2022</v>
      </c>
      <c r="G2" s="114">
        <f>IF('Summary | Sumário'!D6=Names!B3,Names!C18,Names!D18)</f>
        <v>2023</v>
      </c>
      <c r="H2" s="114">
        <f>IF('Summary | Sumário'!D6=Names!B3,Names!C23,Names!D23)</f>
        <v>2024</v>
      </c>
      <c r="I2" s="322"/>
      <c r="J2" s="20" t="str">
        <f>IF('Summary | Sumário'!D6=Names!B3,Names!C6,Names!D6)</f>
        <v>1Q21</v>
      </c>
      <c r="K2" s="21" t="str">
        <f>IF('Summary | Sumário'!D6=Names!B3,Names!C7,Names!D7)</f>
        <v>2Q21</v>
      </c>
      <c r="L2" s="21" t="str">
        <f>IF('Summary | Sumário'!D6=Names!B3,Names!C8,Names!D8)</f>
        <v>3Q21</v>
      </c>
      <c r="M2" s="21" t="str">
        <f>IF('Summary | Sumário'!D6=Names!B3,Names!C9,Names!D9)</f>
        <v>4Q21</v>
      </c>
      <c r="N2" s="21" t="str">
        <f>IF('Summary | Sumário'!D6=Names!B3,Names!C10,Names!D10)</f>
        <v>1Q22</v>
      </c>
      <c r="O2" s="21" t="str">
        <f>IF('Summary | Sumário'!D6=Names!B3,Names!C11,Names!D11)</f>
        <v>2Q22</v>
      </c>
      <c r="P2" s="21" t="str">
        <f>IF('Summary | Sumário'!D6=Names!B3,Names!C12,Names!D12)</f>
        <v>3Q22</v>
      </c>
      <c r="Q2" s="21" t="str">
        <f>IF('Summary | Sumário'!D6=Names!B3,Names!C13,Names!D13)</f>
        <v>4Q22</v>
      </c>
      <c r="R2" s="21" t="str">
        <f>IF('Summary | Sumário'!D6=Names!B3,Names!C14,Names!D14)</f>
        <v>1Q23</v>
      </c>
      <c r="S2" s="21" t="str">
        <f>IF('Summary | Sumário'!D6=Names!B3,Names!C15,Names!D15)</f>
        <v>2Q23</v>
      </c>
      <c r="T2" s="21" t="str">
        <f>IF('Summary | Sumário'!D6=Names!B3,Names!C16,Names!D16)</f>
        <v>3Q23</v>
      </c>
      <c r="U2" s="21" t="str">
        <f>IF('Summary | Sumário'!D6=Names!B3,Names!C17,Names!D17)</f>
        <v>4Q23</v>
      </c>
      <c r="V2" s="21" t="str">
        <f>IF('Summary | Sumário'!D6=Names!B3,Names!C19,Names!D19)</f>
        <v>1Q24</v>
      </c>
      <c r="W2" s="21" t="str">
        <f>IF('Summary | Sumário'!D6=Names!B3,Names!C20,Names!D20)</f>
        <v>2Q24</v>
      </c>
      <c r="X2" s="21" t="str">
        <f>IF('Summary | Sumário'!D6=Names!B3,Names!C21,Names!D21)</f>
        <v>3Q24</v>
      </c>
      <c r="Y2" s="21" t="str">
        <f>IF('Summary | Sumário'!D6=Names!B3,Names!C22,Names!D22)</f>
        <v>4Q24</v>
      </c>
      <c r="Z2" s="21" t="str">
        <f>IF('Summary | Sumário'!D6=Names!B3,Names!C24,Names!D24)</f>
        <v>1Q25</v>
      </c>
      <c r="AA2" s="21" t="str">
        <f>IF('Summary | Sumário'!D6=Names!B3,Names!C25,Names!D25)</f>
        <v>2Q25</v>
      </c>
      <c r="AB2" s="269" t="str">
        <f>IF('Summary | Sumário'!D6=Names!B3,Names!C26,Names!D26)</f>
        <v>3Q25</v>
      </c>
      <c r="AC2" s="321"/>
      <c r="AD2" s="104" t="str">
        <f>IF('Summary | Sumário'!$D$6=Names!$B$3,Names!$I$24,Names!$J$24)</f>
        <v>QoQ Variation</v>
      </c>
      <c r="AE2" s="104" t="str">
        <f>IF('Summary | Sumário'!$D$6=Names!$B$3,Names!$I$25,Names!$J$25)</f>
        <v>YoY Variation</v>
      </c>
      <c r="AF2" s="11"/>
      <c r="AH2" s="12"/>
      <c r="AI2" s="13"/>
    </row>
    <row r="3" spans="1:35" s="238" customFormat="1" ht="13" customHeight="1">
      <c r="B3" s="14"/>
      <c r="C3" s="126"/>
      <c r="D3" s="126"/>
      <c r="E3" s="126"/>
      <c r="F3" s="126"/>
      <c r="G3" s="126"/>
      <c r="H3" s="126"/>
      <c r="I3" s="127"/>
      <c r="J3" s="127"/>
      <c r="K3" s="127"/>
      <c r="L3" s="127"/>
      <c r="M3" s="127"/>
      <c r="N3" s="127"/>
      <c r="O3" s="127"/>
      <c r="P3" s="127"/>
      <c r="Q3" s="127"/>
      <c r="R3" s="127"/>
      <c r="S3" s="127"/>
      <c r="T3" s="127"/>
      <c r="U3" s="127"/>
      <c r="V3" s="127"/>
      <c r="W3" s="127"/>
      <c r="X3" s="127"/>
      <c r="Y3" s="127"/>
      <c r="Z3" s="127"/>
      <c r="AA3" s="127"/>
      <c r="AB3" s="127"/>
      <c r="AC3" s="127"/>
      <c r="AD3" s="118"/>
      <c r="AE3" s="118"/>
      <c r="AF3" s="127"/>
    </row>
    <row r="4" spans="1:35" ht="13" customHeight="1">
      <c r="A4" s="235"/>
      <c r="B4" s="9" t="str">
        <f>IF('Summary | Sumário'!D6=Names!B3,Names!K2,Names!L2)</f>
        <v>Assets</v>
      </c>
      <c r="C4" s="240"/>
      <c r="D4" s="240"/>
      <c r="E4" s="240"/>
      <c r="F4" s="240"/>
      <c r="G4" s="240"/>
      <c r="H4" s="240"/>
      <c r="I4" s="241"/>
      <c r="J4" s="240"/>
      <c r="K4" s="240"/>
      <c r="L4" s="240"/>
      <c r="M4" s="240"/>
      <c r="N4" s="240"/>
      <c r="O4" s="240"/>
      <c r="P4" s="241"/>
      <c r="Q4" s="241"/>
      <c r="R4" s="241"/>
      <c r="S4" s="241"/>
      <c r="T4" s="241"/>
      <c r="U4" s="241"/>
      <c r="V4" s="241"/>
      <c r="W4" s="241"/>
      <c r="X4" s="241"/>
      <c r="Y4" s="241"/>
      <c r="Z4" s="241"/>
      <c r="AA4" s="241"/>
      <c r="AB4" s="241"/>
      <c r="AC4" s="241"/>
      <c r="AD4" s="161"/>
      <c r="AE4" s="161"/>
      <c r="AF4" s="241"/>
    </row>
    <row r="5" spans="1:35" ht="13" customHeight="1">
      <c r="A5" s="235"/>
      <c r="B5" s="22" t="str">
        <f>IF('Summary | Sumário'!D6=Names!B3,Names!K3,Names!L3)</f>
        <v>Cash and equivalents</v>
      </c>
      <c r="C5" s="242">
        <v>3114789</v>
      </c>
      <c r="D5" s="242">
        <v>2154687</v>
      </c>
      <c r="E5" s="242">
        <f>M5</f>
        <v>500446</v>
      </c>
      <c r="F5" s="242">
        <f>Q5</f>
        <v>1331648</v>
      </c>
      <c r="G5" s="242">
        <f>U5</f>
        <v>4259379</v>
      </c>
      <c r="H5" s="242">
        <f>Y5</f>
        <v>1108393.9463064999</v>
      </c>
      <c r="I5" s="243"/>
      <c r="J5" s="242">
        <v>906123</v>
      </c>
      <c r="K5" s="242">
        <v>5731007.0010000002</v>
      </c>
      <c r="L5" s="242">
        <v>451774.29800000001</v>
      </c>
      <c r="M5" s="242">
        <v>500446</v>
      </c>
      <c r="N5" s="242">
        <v>1171654</v>
      </c>
      <c r="O5" s="242">
        <v>1549158</v>
      </c>
      <c r="P5" s="242">
        <v>838310</v>
      </c>
      <c r="Q5" s="242">
        <v>1331648</v>
      </c>
      <c r="R5" s="242">
        <v>1791707</v>
      </c>
      <c r="S5" s="242">
        <v>3672219</v>
      </c>
      <c r="T5" s="242">
        <v>4297077.8057988677</v>
      </c>
      <c r="U5" s="242">
        <v>4259379</v>
      </c>
      <c r="V5" s="242">
        <v>2830309.989293688</v>
      </c>
      <c r="W5" s="242">
        <v>2797339.324</v>
      </c>
      <c r="X5" s="242">
        <v>2273564.7124805599</v>
      </c>
      <c r="Y5" s="242">
        <v>1108393.9463064999</v>
      </c>
      <c r="Z5" s="242">
        <v>1458588</v>
      </c>
      <c r="AA5" s="242">
        <v>4834125</v>
      </c>
      <c r="AB5" s="242">
        <v>5695320</v>
      </c>
      <c r="AC5" s="243"/>
      <c r="AD5" s="256">
        <f>AB5/AA5-1</f>
        <v>0.17814909626871467</v>
      </c>
      <c r="AE5" s="256">
        <f>AB5/X5-1</f>
        <v>1.5050177673571268</v>
      </c>
      <c r="AF5" s="243"/>
    </row>
    <row r="6" spans="1:35" ht="13" customHeight="1">
      <c r="A6" s="235"/>
      <c r="B6" s="16" t="str">
        <f>IF('Summary | Sumário'!D6=Names!B3,Names!K4,Names!L4)</f>
        <v>Amounts due from financial institutions, net of provisions for expected credit losses</v>
      </c>
      <c r="C6" s="243">
        <v>256097</v>
      </c>
      <c r="D6" s="243">
        <v>502369</v>
      </c>
      <c r="E6" s="243">
        <f t="shared" ref="E6:E17" si="0">M6</f>
        <v>2051862</v>
      </c>
      <c r="F6" s="243">
        <f t="shared" ref="F6:F17" si="1">Q6</f>
        <v>4258856</v>
      </c>
      <c r="G6" s="243">
        <f t="shared" ref="G6:G17" si="2">U6</f>
        <v>3718505.7949100002</v>
      </c>
      <c r="H6" s="243">
        <f t="shared" ref="H6:H17" si="3">Y6</f>
        <v>6194960.1520200009</v>
      </c>
      <c r="I6" s="243"/>
      <c r="J6" s="243">
        <v>578499</v>
      </c>
      <c r="K6" s="243">
        <v>646905</v>
      </c>
      <c r="L6" s="243">
        <v>1408183</v>
      </c>
      <c r="M6" s="243">
        <v>2051862</v>
      </c>
      <c r="N6" s="243">
        <v>1807258</v>
      </c>
      <c r="O6" s="243">
        <v>1825289</v>
      </c>
      <c r="P6" s="243">
        <v>3417500</v>
      </c>
      <c r="Q6" s="243">
        <v>4258856</v>
      </c>
      <c r="R6" s="243">
        <v>3770074</v>
      </c>
      <c r="S6" s="243">
        <v>2556811</v>
      </c>
      <c r="T6" s="243">
        <v>3474243.8523399998</v>
      </c>
      <c r="U6" s="243">
        <v>3718505.7949100002</v>
      </c>
      <c r="V6" s="243">
        <v>4051287.3041199995</v>
      </c>
      <c r="W6" s="243">
        <v>5280321.6449999996</v>
      </c>
      <c r="X6" s="243">
        <v>5225481.9997899998</v>
      </c>
      <c r="Y6" s="243">
        <v>6194960.1520200009</v>
      </c>
      <c r="Z6" s="243">
        <v>6595073</v>
      </c>
      <c r="AA6" s="243">
        <v>4952995</v>
      </c>
      <c r="AB6" s="243">
        <v>3275871</v>
      </c>
      <c r="AC6" s="243"/>
      <c r="AD6" s="261">
        <f t="shared" ref="AD6:AD17" si="4">AB6/AA6-1</f>
        <v>-0.3386080543186496</v>
      </c>
      <c r="AE6" s="261">
        <f t="shared" ref="AE6:AE17" si="5">AB6/X6-1</f>
        <v>-0.37309687410048498</v>
      </c>
      <c r="AF6" s="243"/>
    </row>
    <row r="7" spans="1:35" ht="13" customHeight="1">
      <c r="A7" s="235"/>
      <c r="B7" s="22" t="str">
        <f>IF('Summary | Sumário'!D6=Names!B3,Names!K5,Names!L5)</f>
        <v>Deposits at Central Bank of Brazil</v>
      </c>
      <c r="C7" s="242">
        <v>392280</v>
      </c>
      <c r="D7" s="242">
        <v>1709729</v>
      </c>
      <c r="E7" s="242">
        <f t="shared" si="0"/>
        <v>2399488</v>
      </c>
      <c r="F7" s="242">
        <f t="shared" si="1"/>
        <v>2854778</v>
      </c>
      <c r="G7" s="242">
        <f t="shared" si="2"/>
        <v>2664415</v>
      </c>
      <c r="H7" s="242">
        <f t="shared" si="3"/>
        <v>5285401.7280000001</v>
      </c>
      <c r="I7" s="243"/>
      <c r="J7" s="242">
        <v>1644359</v>
      </c>
      <c r="K7" s="242">
        <v>1593298</v>
      </c>
      <c r="L7" s="242">
        <v>2331697</v>
      </c>
      <c r="M7" s="242">
        <v>2399488</v>
      </c>
      <c r="N7" s="242">
        <v>2361774</v>
      </c>
      <c r="O7" s="242">
        <v>2580989</v>
      </c>
      <c r="P7" s="242">
        <v>2686243</v>
      </c>
      <c r="Q7" s="242">
        <v>2854778</v>
      </c>
      <c r="R7" s="242">
        <v>2993616</v>
      </c>
      <c r="S7" s="242">
        <v>1703869</v>
      </c>
      <c r="T7" s="242">
        <v>2190872.3033499997</v>
      </c>
      <c r="U7" s="242">
        <v>2664415</v>
      </c>
      <c r="V7" s="242">
        <v>2925658.3690599999</v>
      </c>
      <c r="W7" s="242">
        <v>3725774.7710000002</v>
      </c>
      <c r="X7" s="242">
        <v>4185155.9511100003</v>
      </c>
      <c r="Y7" s="242">
        <v>5285401.7280000001</v>
      </c>
      <c r="Z7" s="242">
        <v>5648238</v>
      </c>
      <c r="AA7" s="242">
        <v>6179662</v>
      </c>
      <c r="AB7" s="242">
        <v>7072746</v>
      </c>
      <c r="AC7" s="243"/>
      <c r="AD7" s="256">
        <f t="shared" si="4"/>
        <v>0.14451987827165946</v>
      </c>
      <c r="AE7" s="256">
        <f t="shared" si="5"/>
        <v>0.68995996388716274</v>
      </c>
      <c r="AF7" s="243"/>
    </row>
    <row r="8" spans="1:35" ht="13" customHeight="1">
      <c r="A8" s="235"/>
      <c r="B8" s="702" t="str">
        <f>IF('Summary | Sumário'!D6=Names!B3,Names!K6,Names!L6)</f>
        <v>Securities, net of provisions for expected credit losses</v>
      </c>
      <c r="C8" s="243">
        <v>1155094</v>
      </c>
      <c r="D8" s="243">
        <v>5812622</v>
      </c>
      <c r="E8" s="243">
        <f t="shared" si="0"/>
        <v>12757687</v>
      </c>
      <c r="F8" s="243">
        <f t="shared" si="1"/>
        <v>12448565</v>
      </c>
      <c r="G8" s="243">
        <f t="shared" si="2"/>
        <v>16868112</v>
      </c>
      <c r="H8" s="243">
        <f t="shared" si="3"/>
        <v>23899551.020405103</v>
      </c>
      <c r="I8" s="243"/>
      <c r="J8" s="243">
        <v>6619726</v>
      </c>
      <c r="K8" s="243">
        <v>8230481</v>
      </c>
      <c r="L8" s="243">
        <v>13241180</v>
      </c>
      <c r="M8" s="243">
        <v>12757687</v>
      </c>
      <c r="N8" s="243">
        <v>12335401</v>
      </c>
      <c r="O8" s="243">
        <v>12710051</v>
      </c>
      <c r="P8" s="243">
        <v>13373465</v>
      </c>
      <c r="Q8" s="243">
        <v>12448565</v>
      </c>
      <c r="R8" s="243">
        <v>12535351</v>
      </c>
      <c r="S8" s="243">
        <v>14169684</v>
      </c>
      <c r="T8" s="243">
        <v>14908297</v>
      </c>
      <c r="U8" s="243">
        <v>16868112</v>
      </c>
      <c r="V8" s="243">
        <v>18167251</v>
      </c>
      <c r="W8" s="243">
        <v>18276425.519000001</v>
      </c>
      <c r="X8" s="243">
        <v>20586354.700983003</v>
      </c>
      <c r="Y8" s="243">
        <v>23899551.020405103</v>
      </c>
      <c r="Z8" s="243">
        <v>24703003</v>
      </c>
      <c r="AA8" s="243">
        <v>23860348</v>
      </c>
      <c r="AB8" s="243">
        <v>27078010</v>
      </c>
      <c r="AC8" s="243"/>
      <c r="AD8" s="261">
        <f t="shared" si="4"/>
        <v>0.13485394261642791</v>
      </c>
      <c r="AE8" s="261">
        <f t="shared" si="5"/>
        <v>0.31533777559496823</v>
      </c>
      <c r="AF8" s="243"/>
    </row>
    <row r="9" spans="1:35" ht="13" customHeight="1">
      <c r="A9" s="235"/>
      <c r="B9" s="22" t="str">
        <f>IF('Summary | Sumário'!D6=Names!B3,Names!K7,Names!L7)</f>
        <v>Derivative financial assets</v>
      </c>
      <c r="C9" s="242">
        <v>0</v>
      </c>
      <c r="D9" s="242">
        <v>27513</v>
      </c>
      <c r="E9" s="242">
        <f t="shared" si="0"/>
        <v>86948</v>
      </c>
      <c r="F9" s="242">
        <f t="shared" si="1"/>
        <v>0</v>
      </c>
      <c r="G9" s="242">
        <f t="shared" si="2"/>
        <v>4238</v>
      </c>
      <c r="H9" s="242">
        <f t="shared" si="3"/>
        <v>562.80100000000004</v>
      </c>
      <c r="I9" s="243"/>
      <c r="J9" s="242">
        <v>18603</v>
      </c>
      <c r="K9" s="242">
        <v>11684</v>
      </c>
      <c r="L9" s="242">
        <v>7643</v>
      </c>
      <c r="M9" s="242">
        <v>86948</v>
      </c>
      <c r="N9" s="242">
        <v>10410</v>
      </c>
      <c r="O9" s="242">
        <v>3212</v>
      </c>
      <c r="P9" s="242">
        <v>581</v>
      </c>
      <c r="Q9" s="242">
        <v>0</v>
      </c>
      <c r="R9" s="242">
        <v>1122</v>
      </c>
      <c r="S9" s="242">
        <v>3625</v>
      </c>
      <c r="T9" s="242">
        <v>9388.5369900000005</v>
      </c>
      <c r="U9" s="242">
        <v>4238</v>
      </c>
      <c r="V9" s="242">
        <v>7392.1129600000004</v>
      </c>
      <c r="W9" s="242">
        <v>7177.4260000000004</v>
      </c>
      <c r="X9" s="242">
        <v>18488.90812</v>
      </c>
      <c r="Y9" s="242">
        <v>562.80100000000004</v>
      </c>
      <c r="Z9" s="242">
        <v>8163</v>
      </c>
      <c r="AA9" s="242">
        <v>690</v>
      </c>
      <c r="AB9" s="242">
        <v>2493</v>
      </c>
      <c r="AC9" s="243"/>
      <c r="AD9" s="256">
        <f t="shared" si="4"/>
        <v>2.6130434782608694</v>
      </c>
      <c r="AE9" s="256">
        <f t="shared" si="5"/>
        <v>-0.86516239986593646</v>
      </c>
      <c r="AF9" s="243"/>
    </row>
    <row r="10" spans="1:35" ht="13" customHeight="1">
      <c r="A10" s="235"/>
      <c r="B10" s="702" t="str">
        <f>IF('Summary | Sumário'!D$6=Names!B$3,Names!K8,Names!L8)</f>
        <v>Loans and advances to customers, net of provisions for expected credit losses</v>
      </c>
      <c r="C10" s="243">
        <v>4561824</v>
      </c>
      <c r="D10" s="243">
        <v>8507703</v>
      </c>
      <c r="E10" s="243">
        <f t="shared" si="0"/>
        <v>16535430</v>
      </c>
      <c r="F10" s="243">
        <f t="shared" si="1"/>
        <v>21379916</v>
      </c>
      <c r="G10" s="243">
        <f t="shared" si="2"/>
        <v>27900543</v>
      </c>
      <c r="H10" s="243">
        <f t="shared" si="3"/>
        <v>33327355.1973699</v>
      </c>
      <c r="I10" s="243"/>
      <c r="J10" s="243">
        <v>9908120</v>
      </c>
      <c r="K10" s="243">
        <v>12040483</v>
      </c>
      <c r="L10" s="243">
        <v>14301537</v>
      </c>
      <c r="M10" s="243">
        <v>16535430</v>
      </c>
      <c r="N10" s="243">
        <v>17374632</v>
      </c>
      <c r="O10" s="243">
        <v>18510189</v>
      </c>
      <c r="P10" s="243">
        <v>19820903</v>
      </c>
      <c r="Q10" s="243">
        <v>21379916</v>
      </c>
      <c r="R10" s="243">
        <v>22371167</v>
      </c>
      <c r="S10" s="243">
        <v>23523982</v>
      </c>
      <c r="T10" s="243">
        <v>25296620</v>
      </c>
      <c r="U10" s="243">
        <v>27900543</v>
      </c>
      <c r="V10" s="243">
        <v>28826998.881090201</v>
      </c>
      <c r="W10" s="243">
        <v>30806640.206</v>
      </c>
      <c r="X10" s="243">
        <v>31478421.7243573</v>
      </c>
      <c r="Y10" s="243">
        <v>33327355.1973699</v>
      </c>
      <c r="Z10" s="243">
        <v>35088280</v>
      </c>
      <c r="AA10" s="243">
        <v>37779506</v>
      </c>
      <c r="AB10" s="243">
        <v>41113584</v>
      </c>
      <c r="AC10" s="243"/>
      <c r="AD10" s="261">
        <f t="shared" si="4"/>
        <v>8.8250968660098517E-2</v>
      </c>
      <c r="AE10" s="261">
        <f t="shared" si="5"/>
        <v>0.30608784519165488</v>
      </c>
      <c r="AF10" s="243"/>
    </row>
    <row r="11" spans="1:35" ht="13" customHeight="1">
      <c r="A11" s="235"/>
      <c r="B11" s="22" t="str">
        <f>IF('Summary | Sumário'!D$6=Names!B$3,Names!K9,Names!L9)</f>
        <v>Non-current assets held for sale</v>
      </c>
      <c r="C11" s="242">
        <v>121632</v>
      </c>
      <c r="D11" s="242">
        <v>119929</v>
      </c>
      <c r="E11" s="242">
        <f t="shared" si="0"/>
        <v>129793</v>
      </c>
      <c r="F11" s="242">
        <f t="shared" si="1"/>
        <v>166943</v>
      </c>
      <c r="G11" s="242">
        <f t="shared" si="2"/>
        <v>174355</v>
      </c>
      <c r="H11" s="242">
        <f t="shared" si="3"/>
        <v>234611.397</v>
      </c>
      <c r="I11" s="243"/>
      <c r="J11" s="242">
        <v>114385</v>
      </c>
      <c r="K11" s="242">
        <v>136305</v>
      </c>
      <c r="L11" s="242">
        <v>134931</v>
      </c>
      <c r="M11" s="242">
        <v>129793</v>
      </c>
      <c r="N11" s="242">
        <v>136641</v>
      </c>
      <c r="O11" s="242">
        <v>161254</v>
      </c>
      <c r="P11" s="242">
        <v>165703</v>
      </c>
      <c r="Q11" s="242">
        <v>166943</v>
      </c>
      <c r="R11" s="242">
        <v>178413</v>
      </c>
      <c r="S11" s="242">
        <v>176866</v>
      </c>
      <c r="T11" s="242">
        <v>169346.87808000002</v>
      </c>
      <c r="U11" s="242">
        <v>174355</v>
      </c>
      <c r="V11" s="242">
        <v>173712.38881</v>
      </c>
      <c r="W11" s="242">
        <v>179954.223</v>
      </c>
      <c r="X11" s="242">
        <v>184823.49188999998</v>
      </c>
      <c r="Y11" s="242">
        <v>234611.397</v>
      </c>
      <c r="Z11" s="242">
        <v>257696</v>
      </c>
      <c r="AA11" s="242">
        <v>260516</v>
      </c>
      <c r="AB11" s="242">
        <v>313776</v>
      </c>
      <c r="AC11" s="243"/>
      <c r="AD11" s="256">
        <f t="shared" si="4"/>
        <v>0.20444041824686399</v>
      </c>
      <c r="AE11" s="256">
        <f t="shared" si="5"/>
        <v>0.69770626445445427</v>
      </c>
      <c r="AF11" s="243"/>
    </row>
    <row r="12" spans="1:35" ht="13" customHeight="1">
      <c r="A12" s="235"/>
      <c r="B12" s="16" t="str">
        <f>IF('Summary | Sumário'!D$6=Names!B$3,Names!K10,Names!L10)</f>
        <v>Equity accounted investees</v>
      </c>
      <c r="C12" s="243">
        <v>0</v>
      </c>
      <c r="D12" s="243">
        <v>0</v>
      </c>
      <c r="E12" s="243">
        <f t="shared" si="0"/>
        <v>82445</v>
      </c>
      <c r="F12" s="243">
        <f t="shared" si="1"/>
        <v>72090</v>
      </c>
      <c r="G12" s="243">
        <f t="shared" si="2"/>
        <v>90634</v>
      </c>
      <c r="H12" s="243">
        <f t="shared" si="3"/>
        <v>10401.1976397009</v>
      </c>
      <c r="I12" s="243"/>
      <c r="J12" s="243">
        <v>91162</v>
      </c>
      <c r="K12" s="243">
        <v>95055</v>
      </c>
      <c r="L12" s="243">
        <v>148434</v>
      </c>
      <c r="M12" s="243">
        <v>82445</v>
      </c>
      <c r="N12" s="243">
        <v>85231</v>
      </c>
      <c r="O12" s="243">
        <v>80741</v>
      </c>
      <c r="P12" s="243">
        <v>76849</v>
      </c>
      <c r="Q12" s="243">
        <v>72090</v>
      </c>
      <c r="R12" s="243">
        <v>70820</v>
      </c>
      <c r="S12" s="243">
        <v>71900</v>
      </c>
      <c r="T12" s="243">
        <v>71884.022609999229</v>
      </c>
      <c r="U12" s="243">
        <v>90634</v>
      </c>
      <c r="V12" s="243">
        <v>89569</v>
      </c>
      <c r="W12" s="243">
        <v>88154.67</v>
      </c>
      <c r="X12" s="243">
        <v>10402.331405201901</v>
      </c>
      <c r="Y12" s="243">
        <v>10401.1976397009</v>
      </c>
      <c r="Z12" s="243">
        <v>10401</v>
      </c>
      <c r="AA12" s="243">
        <v>10402</v>
      </c>
      <c r="AB12" s="243">
        <v>10401</v>
      </c>
      <c r="AC12" s="243"/>
      <c r="AD12" s="261">
        <f t="shared" si="4"/>
        <v>-9.6135358584881203E-5</v>
      </c>
      <c r="AE12" s="261">
        <f t="shared" si="5"/>
        <v>-1.2799103874305828E-4</v>
      </c>
      <c r="AF12" s="243"/>
    </row>
    <row r="13" spans="1:35" ht="13" customHeight="1">
      <c r="A13" s="235"/>
      <c r="B13" s="22" t="str">
        <f>IF('Summary | Sumário'!D$6=Names!B$3,Names!K11,Names!L11)</f>
        <v>Property and equipment</v>
      </c>
      <c r="C13" s="242">
        <v>91851</v>
      </c>
      <c r="D13" s="242">
        <v>137846</v>
      </c>
      <c r="E13" s="242">
        <f t="shared" si="0"/>
        <v>163475</v>
      </c>
      <c r="F13" s="242">
        <f t="shared" si="1"/>
        <v>188019</v>
      </c>
      <c r="G13" s="242">
        <f t="shared" si="2"/>
        <v>167547</v>
      </c>
      <c r="H13" s="242">
        <f t="shared" si="3"/>
        <v>369941.72452466295</v>
      </c>
      <c r="I13" s="243"/>
      <c r="J13" s="242">
        <v>149132</v>
      </c>
      <c r="K13" s="242">
        <v>158686</v>
      </c>
      <c r="L13" s="242">
        <v>379252</v>
      </c>
      <c r="M13" s="242">
        <v>163475</v>
      </c>
      <c r="N13" s="242">
        <v>204039</v>
      </c>
      <c r="O13" s="242">
        <v>200804</v>
      </c>
      <c r="P13" s="242">
        <v>193905</v>
      </c>
      <c r="Q13" s="242">
        <v>188019</v>
      </c>
      <c r="R13" s="242">
        <v>180923</v>
      </c>
      <c r="S13" s="242">
        <v>179317</v>
      </c>
      <c r="T13" s="242">
        <v>173677</v>
      </c>
      <c r="U13" s="242">
        <v>167547</v>
      </c>
      <c r="V13" s="242">
        <v>187076.45079360603</v>
      </c>
      <c r="W13" s="242">
        <v>193646.723</v>
      </c>
      <c r="X13" s="242">
        <v>360062.75075838901</v>
      </c>
      <c r="Y13" s="242">
        <v>369941.72452466295</v>
      </c>
      <c r="Z13" s="242">
        <v>359211</v>
      </c>
      <c r="AA13" s="242">
        <v>377545</v>
      </c>
      <c r="AB13" s="242">
        <v>367318</v>
      </c>
      <c r="AC13" s="243"/>
      <c r="AD13" s="319">
        <f t="shared" si="4"/>
        <v>-2.7088161676091627E-2</v>
      </c>
      <c r="AE13" s="319">
        <f t="shared" si="5"/>
        <v>2.0149957823544673E-2</v>
      </c>
      <c r="AF13" s="243"/>
    </row>
    <row r="14" spans="1:35" ht="13" customHeight="1">
      <c r="A14" s="235"/>
      <c r="B14" s="16" t="str">
        <f>IF('Summary | Sumário'!D$6=Names!B$3,Names!K12,Names!L12)</f>
        <v>Intangible assets</v>
      </c>
      <c r="C14" s="243">
        <v>79248</v>
      </c>
      <c r="D14" s="243">
        <v>224516</v>
      </c>
      <c r="E14" s="243">
        <f t="shared" si="0"/>
        <v>430504</v>
      </c>
      <c r="F14" s="243">
        <f t="shared" si="1"/>
        <v>1238629</v>
      </c>
      <c r="G14" s="243">
        <f t="shared" si="2"/>
        <v>1345304</v>
      </c>
      <c r="H14" s="243">
        <f t="shared" si="3"/>
        <v>1836052.5846471</v>
      </c>
      <c r="I14" s="243"/>
      <c r="J14" s="243">
        <v>303418</v>
      </c>
      <c r="K14" s="243">
        <v>348745</v>
      </c>
      <c r="L14" s="243">
        <v>569127.75</v>
      </c>
      <c r="M14" s="243">
        <v>430504</v>
      </c>
      <c r="N14" s="243">
        <v>1316366</v>
      </c>
      <c r="O14" s="243">
        <v>1189909</v>
      </c>
      <c r="P14" s="243">
        <v>1209471</v>
      </c>
      <c r="Q14" s="243">
        <v>1238629</v>
      </c>
      <c r="R14" s="243">
        <v>1274423</v>
      </c>
      <c r="S14" s="243">
        <v>1303182</v>
      </c>
      <c r="T14" s="243">
        <v>1322350</v>
      </c>
      <c r="U14" s="243">
        <v>1345304</v>
      </c>
      <c r="V14" s="243">
        <v>1596177</v>
      </c>
      <c r="W14" s="243">
        <v>1661858.0249999999</v>
      </c>
      <c r="X14" s="243">
        <v>1711148.26883</v>
      </c>
      <c r="Y14" s="243">
        <v>1836052.5846471</v>
      </c>
      <c r="Z14" s="243">
        <v>1925819</v>
      </c>
      <c r="AA14" s="243">
        <v>1970727</v>
      </c>
      <c r="AB14" s="243">
        <v>2006644</v>
      </c>
      <c r="AC14" s="243"/>
      <c r="AD14" s="261">
        <f t="shared" si="4"/>
        <v>1.8225253929133656E-2</v>
      </c>
      <c r="AE14" s="261">
        <f t="shared" si="5"/>
        <v>0.17268856039695835</v>
      </c>
      <c r="AF14" s="243"/>
    </row>
    <row r="15" spans="1:35" ht="13" customHeight="1">
      <c r="A15" s="235"/>
      <c r="B15" s="22" t="str">
        <f>IF('Summary | Sumário'!D$6=Names!B$3,Names!K13,Names!L13)</f>
        <v>Deferred tax assets</v>
      </c>
      <c r="C15" s="242">
        <v>112217</v>
      </c>
      <c r="D15" s="242">
        <v>206018</v>
      </c>
      <c r="E15" s="242">
        <f t="shared" si="0"/>
        <v>695525.47689649905</v>
      </c>
      <c r="F15" s="242">
        <f t="shared" si="1"/>
        <v>978148</v>
      </c>
      <c r="G15" s="242">
        <f t="shared" si="2"/>
        <v>1033535</v>
      </c>
      <c r="H15" s="242">
        <f t="shared" si="3"/>
        <v>1705054.04740591</v>
      </c>
      <c r="I15" s="243"/>
      <c r="J15" s="242">
        <v>374673</v>
      </c>
      <c r="K15" s="242">
        <v>512637</v>
      </c>
      <c r="L15" s="242">
        <v>89648</v>
      </c>
      <c r="M15" s="242">
        <v>695525.47689649905</v>
      </c>
      <c r="N15" s="242">
        <v>831698</v>
      </c>
      <c r="O15" s="242">
        <v>931537</v>
      </c>
      <c r="P15" s="242">
        <v>872798</v>
      </c>
      <c r="Q15" s="242">
        <v>978148</v>
      </c>
      <c r="R15" s="242">
        <v>1008370</v>
      </c>
      <c r="S15" s="242">
        <v>940399</v>
      </c>
      <c r="T15" s="242">
        <v>1071248</v>
      </c>
      <c r="U15" s="242">
        <v>1033535</v>
      </c>
      <c r="V15" s="242">
        <v>1082102</v>
      </c>
      <c r="W15" s="242">
        <v>1218264.611</v>
      </c>
      <c r="X15" s="242">
        <v>1411485.33995961</v>
      </c>
      <c r="Y15" s="242">
        <v>1705054.04740591</v>
      </c>
      <c r="Z15" s="242">
        <v>1848861</v>
      </c>
      <c r="AA15" s="242">
        <v>1719491</v>
      </c>
      <c r="AB15" s="242">
        <v>1702928</v>
      </c>
      <c r="AC15" s="243"/>
      <c r="AD15" s="256">
        <f t="shared" si="4"/>
        <v>-9.6325017112621758E-3</v>
      </c>
      <c r="AE15" s="256">
        <f t="shared" si="5"/>
        <v>0.20647940987380697</v>
      </c>
      <c r="AF15" s="243"/>
    </row>
    <row r="16" spans="1:35" ht="13" customHeight="1">
      <c r="A16" s="235"/>
      <c r="B16" s="16" t="str">
        <f>IF('Summary | Sumário'!D$6=Names!B$3,Names!K14,Names!L14)</f>
        <v>Other assets</v>
      </c>
      <c r="C16" s="215">
        <v>192054</v>
      </c>
      <c r="D16" s="215">
        <v>518681</v>
      </c>
      <c r="E16" s="215">
        <f t="shared" si="0"/>
        <v>792734.63349000004</v>
      </c>
      <c r="F16" s="215">
        <f t="shared" si="1"/>
        <v>1425508</v>
      </c>
      <c r="G16" s="215">
        <f t="shared" si="2"/>
        <v>2125231</v>
      </c>
      <c r="H16" s="215">
        <f t="shared" si="3"/>
        <v>2486144.5552079803</v>
      </c>
      <c r="I16" s="215"/>
      <c r="J16" s="215">
        <v>728467</v>
      </c>
      <c r="K16" s="215">
        <v>804207.20399999991</v>
      </c>
      <c r="L16" s="215">
        <v>699185.75381999998</v>
      </c>
      <c r="M16" s="215">
        <v>792734.63349000004</v>
      </c>
      <c r="N16" s="215">
        <v>977090</v>
      </c>
      <c r="O16" s="215">
        <v>1190646</v>
      </c>
      <c r="P16" s="215">
        <v>1188339</v>
      </c>
      <c r="Q16" s="215">
        <v>1425508</v>
      </c>
      <c r="R16" s="215">
        <v>1525108</v>
      </c>
      <c r="S16" s="215">
        <v>1701475</v>
      </c>
      <c r="T16" s="215">
        <v>2093833</v>
      </c>
      <c r="U16" s="215">
        <v>2125231</v>
      </c>
      <c r="V16" s="215">
        <v>2609027</v>
      </c>
      <c r="W16" s="215">
        <v>2337903.2629999998</v>
      </c>
      <c r="X16" s="215">
        <v>2482687.2263140101</v>
      </c>
      <c r="Y16" s="215">
        <v>2486144.5552079803</v>
      </c>
      <c r="Z16" s="215">
        <v>2655231</v>
      </c>
      <c r="AA16" s="215">
        <v>2786912</v>
      </c>
      <c r="AB16" s="215">
        <v>3169417</v>
      </c>
      <c r="AC16" s="215"/>
      <c r="AD16" s="261">
        <f t="shared" si="4"/>
        <v>0.13725047651307243</v>
      </c>
      <c r="AE16" s="261">
        <f t="shared" si="5"/>
        <v>0.27660744632160617</v>
      </c>
      <c r="AF16" s="215"/>
    </row>
    <row r="17" spans="1:33" ht="13" customHeight="1">
      <c r="A17" s="235"/>
      <c r="B17" s="277" t="str">
        <f>IF('Summary | Sumário'!D$6=Names!B$3,Names!K15,Names!L15)</f>
        <v>Total assets</v>
      </c>
      <c r="C17" s="278">
        <v>10077086</v>
      </c>
      <c r="D17" s="278">
        <v>19921613</v>
      </c>
      <c r="E17" s="278">
        <f t="shared" si="0"/>
        <v>36626337.428616509</v>
      </c>
      <c r="F17" s="278">
        <f t="shared" si="1"/>
        <v>46343100</v>
      </c>
      <c r="G17" s="278">
        <f t="shared" si="2"/>
        <v>60351797</v>
      </c>
      <c r="H17" s="278">
        <f t="shared" si="3"/>
        <v>76458430.351526901</v>
      </c>
      <c r="I17" s="247"/>
      <c r="J17" s="278">
        <v>21436667</v>
      </c>
      <c r="K17" s="278">
        <v>30309493.204999998</v>
      </c>
      <c r="L17" s="278">
        <v>33762592.801820002</v>
      </c>
      <c r="M17" s="278">
        <v>36626337.428616509</v>
      </c>
      <c r="N17" s="278">
        <v>38612194</v>
      </c>
      <c r="O17" s="278">
        <v>40933779</v>
      </c>
      <c r="P17" s="278">
        <v>43844067</v>
      </c>
      <c r="Q17" s="278">
        <v>46343100</v>
      </c>
      <c r="R17" s="278">
        <v>47701094</v>
      </c>
      <c r="S17" s="278">
        <v>50003329</v>
      </c>
      <c r="T17" s="278">
        <v>55078840</v>
      </c>
      <c r="U17" s="278">
        <v>60351797</v>
      </c>
      <c r="V17" s="278">
        <v>62546562.496127494</v>
      </c>
      <c r="W17" s="278">
        <v>66573460.406000003</v>
      </c>
      <c r="X17" s="278">
        <v>69928077.405998006</v>
      </c>
      <c r="Y17" s="278">
        <v>76458430.351526901</v>
      </c>
      <c r="Z17" s="278">
        <v>80558566</v>
      </c>
      <c r="AA17" s="278">
        <v>84732919</v>
      </c>
      <c r="AB17" s="278">
        <v>91808508</v>
      </c>
      <c r="AC17" s="247"/>
      <c r="AD17" s="329">
        <f t="shared" si="4"/>
        <v>8.3504605807336763E-2</v>
      </c>
      <c r="AE17" s="329">
        <f t="shared" si="5"/>
        <v>0.31289907295699826</v>
      </c>
      <c r="AF17" s="227"/>
    </row>
    <row r="18" spans="1:33" ht="13" customHeight="1">
      <c r="A18" s="235"/>
      <c r="B18" s="3"/>
      <c r="C18" s="227"/>
      <c r="D18" s="227"/>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330"/>
      <c r="AE18" s="330"/>
      <c r="AF18" s="227"/>
      <c r="AG18" s="244"/>
    </row>
    <row r="19" spans="1:33" ht="13" customHeight="1">
      <c r="A19" s="235"/>
      <c r="B19" s="31" t="str">
        <f>IF('Summary | Sumário'!D$6=Names!B$3,Names!K16,Names!L16)</f>
        <v>Liabilities</v>
      </c>
      <c r="C19" s="236"/>
      <c r="D19" s="236"/>
      <c r="E19" s="236"/>
      <c r="F19" s="236"/>
      <c r="G19" s="236"/>
      <c r="H19" s="236"/>
      <c r="I19" s="227"/>
      <c r="J19" s="236"/>
      <c r="K19" s="236"/>
      <c r="L19" s="236"/>
      <c r="M19" s="236"/>
      <c r="N19" s="236"/>
      <c r="O19" s="236"/>
      <c r="P19" s="236"/>
      <c r="Q19" s="236"/>
      <c r="R19" s="236"/>
      <c r="S19" s="236"/>
      <c r="T19" s="236"/>
      <c r="U19" s="236"/>
      <c r="V19" s="236"/>
      <c r="W19" s="236"/>
      <c r="X19" s="236"/>
      <c r="Y19" s="236"/>
      <c r="Z19" s="236"/>
      <c r="AA19" s="236"/>
      <c r="AB19" s="236"/>
      <c r="AC19" s="227"/>
      <c r="AD19" s="325"/>
      <c r="AE19" s="325"/>
      <c r="AF19" s="227"/>
    </row>
    <row r="20" spans="1:33" ht="13" customHeight="1">
      <c r="A20" s="235"/>
      <c r="B20" s="702" t="str">
        <f>IF('Summary | Sumário'!D$6=Names!B$3,Names!K17,Names!L17)</f>
        <v>Deposits from banks</v>
      </c>
      <c r="C20" s="243">
        <v>1152492</v>
      </c>
      <c r="D20" s="243">
        <v>1756913</v>
      </c>
      <c r="E20" s="243">
        <f t="shared" ref="E20:E28" si="6">M20</f>
        <v>5341464</v>
      </c>
      <c r="F20" s="243">
        <f t="shared" ref="F20:F28" si="7">Q20</f>
        <v>7906897</v>
      </c>
      <c r="G20" s="243">
        <f t="shared" ref="G20:G29" si="8">U20</f>
        <v>9522469</v>
      </c>
      <c r="H20" s="243">
        <f t="shared" ref="H20:H29" si="9">Y20</f>
        <v>11319577</v>
      </c>
      <c r="I20" s="215"/>
      <c r="J20" s="243">
        <v>2236178</v>
      </c>
      <c r="K20" s="243">
        <v>3003367</v>
      </c>
      <c r="L20" s="243">
        <v>4235618</v>
      </c>
      <c r="M20" s="243">
        <v>5341464</v>
      </c>
      <c r="N20" s="243">
        <v>5917844</v>
      </c>
      <c r="O20" s="215">
        <v>6945236</v>
      </c>
      <c r="P20" s="215">
        <v>7349464</v>
      </c>
      <c r="Q20" s="215">
        <v>7906897</v>
      </c>
      <c r="R20" s="215">
        <v>8216538</v>
      </c>
      <c r="S20" s="215">
        <v>8023953</v>
      </c>
      <c r="T20" s="215">
        <v>9418244.5561900008</v>
      </c>
      <c r="U20" s="215">
        <v>9522469</v>
      </c>
      <c r="V20" s="215">
        <v>10483086.949449999</v>
      </c>
      <c r="W20" s="215">
        <v>10913779.435000001</v>
      </c>
      <c r="X20" s="215">
        <v>10403853</v>
      </c>
      <c r="Y20" s="215">
        <v>11319577</v>
      </c>
      <c r="Z20" s="215">
        <v>13807683</v>
      </c>
      <c r="AA20" s="215">
        <v>13885147</v>
      </c>
      <c r="AB20" s="215">
        <v>14253393</v>
      </c>
      <c r="AC20" s="215"/>
      <c r="AD20" s="222">
        <f>AB20/AA20-1</f>
        <v>2.6520857143248033E-2</v>
      </c>
      <c r="AE20" s="222">
        <f>AB20/X20-1</f>
        <v>0.37001099496503853</v>
      </c>
      <c r="AF20" s="215"/>
    </row>
    <row r="21" spans="1:33" ht="13" customHeight="1">
      <c r="A21" s="235"/>
      <c r="B21" s="22" t="str">
        <f>IF('Summary | Sumário'!D$6=Names!B$3,Names!K18,Names!L18)</f>
        <v>Deposits from customers</v>
      </c>
      <c r="C21" s="242">
        <v>4714439</v>
      </c>
      <c r="D21" s="242">
        <v>12436632</v>
      </c>
      <c r="E21" s="242">
        <f t="shared" si="6"/>
        <v>18333543</v>
      </c>
      <c r="F21" s="242">
        <f t="shared" si="7"/>
        <v>23642804</v>
      </c>
      <c r="G21" s="242">
        <f t="shared" si="8"/>
        <v>32651620</v>
      </c>
      <c r="H21" s="242">
        <f t="shared" si="9"/>
        <v>42803229</v>
      </c>
      <c r="I21" s="215"/>
      <c r="J21" s="242">
        <v>13392679</v>
      </c>
      <c r="K21" s="242">
        <v>15629130.619999999</v>
      </c>
      <c r="L21" s="242">
        <v>17093473.298</v>
      </c>
      <c r="M21" s="242">
        <v>18333543</v>
      </c>
      <c r="N21" s="242">
        <v>18958118</v>
      </c>
      <c r="O21" s="214">
        <v>19746409</v>
      </c>
      <c r="P21" s="214">
        <v>21452026</v>
      </c>
      <c r="Q21" s="214">
        <v>23642804</v>
      </c>
      <c r="R21" s="214">
        <v>24182006</v>
      </c>
      <c r="S21" s="214">
        <v>26299326</v>
      </c>
      <c r="T21" s="214">
        <v>29063988</v>
      </c>
      <c r="U21" s="214">
        <v>32651620</v>
      </c>
      <c r="V21" s="214">
        <v>32643444.086135942</v>
      </c>
      <c r="W21" s="214">
        <v>35978318.071000002</v>
      </c>
      <c r="X21" s="214">
        <v>39129759</v>
      </c>
      <c r="Y21" s="214">
        <v>42803229</v>
      </c>
      <c r="Z21" s="214">
        <v>43647768</v>
      </c>
      <c r="AA21" s="214">
        <v>46667343</v>
      </c>
      <c r="AB21" s="214">
        <v>51496386</v>
      </c>
      <c r="AC21" s="215"/>
      <c r="AD21" s="340">
        <f t="shared" ref="AD21:AD29" si="10">AB21/AA21-1</f>
        <v>0.10347799316537043</v>
      </c>
      <c r="AE21" s="340">
        <f t="shared" ref="AE21:AE29" si="11">AB21/X21-1</f>
        <v>0.31604148136971655</v>
      </c>
      <c r="AF21" s="215"/>
      <c r="AG21" s="245"/>
    </row>
    <row r="22" spans="1:33" ht="13" customHeight="1">
      <c r="A22" s="235"/>
      <c r="B22" s="16" t="str">
        <f>IF('Summary | Sumário'!D$6=Names!B$3,Names!K19,Names!L19)</f>
        <v>Securities issued</v>
      </c>
      <c r="C22" s="243">
        <v>1719580</v>
      </c>
      <c r="D22" s="243">
        <v>1729436</v>
      </c>
      <c r="E22" s="243">
        <f t="shared" si="6"/>
        <v>3572093</v>
      </c>
      <c r="F22" s="243">
        <f t="shared" si="7"/>
        <v>6202165</v>
      </c>
      <c r="G22" s="243">
        <f t="shared" si="8"/>
        <v>8095042</v>
      </c>
      <c r="H22" s="243">
        <f t="shared" si="9"/>
        <v>9890219</v>
      </c>
      <c r="I22" s="215"/>
      <c r="J22" s="243">
        <v>1704892</v>
      </c>
      <c r="K22" s="243">
        <v>2081723</v>
      </c>
      <c r="L22" s="243">
        <v>3093320</v>
      </c>
      <c r="M22" s="243">
        <v>3572093</v>
      </c>
      <c r="N22" s="243">
        <v>4280956</v>
      </c>
      <c r="O22" s="215">
        <v>6104223</v>
      </c>
      <c r="P22" s="215">
        <v>6916919</v>
      </c>
      <c r="Q22" s="215">
        <v>6202165</v>
      </c>
      <c r="R22" s="215">
        <v>6640557</v>
      </c>
      <c r="S22" s="215">
        <v>7006191.0407400001</v>
      </c>
      <c r="T22" s="215">
        <v>7462564.5372699993</v>
      </c>
      <c r="U22" s="215">
        <v>8095042</v>
      </c>
      <c r="V22" s="215">
        <v>8249142.2142699994</v>
      </c>
      <c r="W22" s="215">
        <v>8543248.1730000004</v>
      </c>
      <c r="X22" s="215">
        <v>9047656</v>
      </c>
      <c r="Y22" s="215">
        <v>9890219</v>
      </c>
      <c r="Z22" s="215">
        <v>10697969</v>
      </c>
      <c r="AA22" s="215">
        <v>11378259</v>
      </c>
      <c r="AB22" s="215">
        <v>12242366</v>
      </c>
      <c r="AC22" s="215"/>
      <c r="AD22" s="222">
        <f t="shared" si="10"/>
        <v>7.5943692264343721E-2</v>
      </c>
      <c r="AE22" s="222">
        <f t="shared" si="11"/>
        <v>0.35309808418887711</v>
      </c>
      <c r="AF22" s="215"/>
    </row>
    <row r="23" spans="1:33" ht="13" customHeight="1">
      <c r="A23" s="235"/>
      <c r="B23" s="22" t="str">
        <f>IF('Summary | Sumário'!D$6=Names!B$3,Names!K20,Names!L20)</f>
        <v>Derivative financial liabilities</v>
      </c>
      <c r="C23" s="242">
        <v>20941</v>
      </c>
      <c r="D23" s="242">
        <v>56758</v>
      </c>
      <c r="E23" s="242">
        <f t="shared" si="6"/>
        <v>66545</v>
      </c>
      <c r="F23" s="242">
        <f t="shared" si="7"/>
        <v>37768</v>
      </c>
      <c r="G23" s="242">
        <f t="shared" si="8"/>
        <v>15063</v>
      </c>
      <c r="H23" s="242">
        <f t="shared" si="9"/>
        <v>70048</v>
      </c>
      <c r="I23" s="215"/>
      <c r="J23" s="242">
        <v>83222</v>
      </c>
      <c r="K23" s="242">
        <v>78887</v>
      </c>
      <c r="L23" s="242">
        <v>81359</v>
      </c>
      <c r="M23" s="242">
        <v>66545</v>
      </c>
      <c r="N23" s="242">
        <v>76042</v>
      </c>
      <c r="O23" s="214">
        <v>65888</v>
      </c>
      <c r="P23" s="214">
        <v>40347</v>
      </c>
      <c r="Q23" s="214">
        <v>37768</v>
      </c>
      <c r="R23" s="214">
        <v>32614</v>
      </c>
      <c r="S23" s="214">
        <v>27996</v>
      </c>
      <c r="T23" s="214">
        <v>21058.658820000001</v>
      </c>
      <c r="U23" s="214">
        <v>15063</v>
      </c>
      <c r="V23" s="214">
        <v>13892.998310000001</v>
      </c>
      <c r="W23" s="214">
        <v>14039.200999999999</v>
      </c>
      <c r="X23" s="214">
        <v>8778</v>
      </c>
      <c r="Y23" s="214">
        <v>70048</v>
      </c>
      <c r="Z23" s="214">
        <v>5863</v>
      </c>
      <c r="AA23" s="214">
        <v>33193</v>
      </c>
      <c r="AB23" s="214">
        <v>23470</v>
      </c>
      <c r="AC23" s="215"/>
      <c r="AD23" s="340">
        <f t="shared" si="10"/>
        <v>-0.29292320670020788</v>
      </c>
      <c r="AE23" s="340">
        <f t="shared" si="11"/>
        <v>1.6737297789929371</v>
      </c>
      <c r="AF23" s="215"/>
    </row>
    <row r="24" spans="1:33" ht="13" customHeight="1">
      <c r="A24" s="235"/>
      <c r="B24" s="702" t="str">
        <f>IF('Summary | Sumário'!D$6=Names!B$3,Names!K21,Names!L21)</f>
        <v>Borrowings and on-lending</v>
      </c>
      <c r="C24" s="243">
        <v>29800</v>
      </c>
      <c r="D24" s="243">
        <v>27405</v>
      </c>
      <c r="E24" s="243">
        <f t="shared" si="6"/>
        <v>25071</v>
      </c>
      <c r="F24" s="243">
        <f t="shared" si="7"/>
        <v>36448</v>
      </c>
      <c r="G24" s="243">
        <f t="shared" si="8"/>
        <v>107412</v>
      </c>
      <c r="H24" s="243">
        <f t="shared" si="9"/>
        <v>128924</v>
      </c>
      <c r="I24" s="215"/>
      <c r="J24" s="243">
        <v>27179</v>
      </c>
      <c r="K24" s="243">
        <v>26325</v>
      </c>
      <c r="L24" s="243">
        <v>25580</v>
      </c>
      <c r="M24" s="243">
        <v>25071</v>
      </c>
      <c r="N24" s="243">
        <v>33002</v>
      </c>
      <c r="O24" s="215">
        <v>31855</v>
      </c>
      <c r="P24" s="215">
        <v>33119</v>
      </c>
      <c r="Q24" s="215">
        <v>36448</v>
      </c>
      <c r="R24" s="215">
        <v>36632</v>
      </c>
      <c r="S24" s="215">
        <v>38753</v>
      </c>
      <c r="T24" s="215">
        <v>87649</v>
      </c>
      <c r="U24" s="215">
        <v>107412</v>
      </c>
      <c r="V24" s="215">
        <v>102019.6489</v>
      </c>
      <c r="W24" s="215">
        <v>101630.08100000001</v>
      </c>
      <c r="X24" s="215">
        <v>114824</v>
      </c>
      <c r="Y24" s="215">
        <v>128924</v>
      </c>
      <c r="Z24" s="215">
        <v>397953</v>
      </c>
      <c r="AA24" s="215">
        <v>572557</v>
      </c>
      <c r="AB24" s="215">
        <v>676424</v>
      </c>
      <c r="AC24" s="215"/>
      <c r="AD24" s="222">
        <f t="shared" si="10"/>
        <v>0.18140901255246211</v>
      </c>
      <c r="AE24" s="222">
        <f t="shared" si="11"/>
        <v>4.8909635616247478</v>
      </c>
      <c r="AF24" s="215"/>
    </row>
    <row r="25" spans="1:33" ht="13" customHeight="1">
      <c r="A25" s="235"/>
      <c r="B25" s="22" t="str">
        <f>IF('Summary | Sumário'!D$6=Names!B$3,Names!K22,Names!L22)</f>
        <v>Tax liabilities</v>
      </c>
      <c r="C25" s="242">
        <v>18202</v>
      </c>
      <c r="D25" s="242">
        <v>30271</v>
      </c>
      <c r="E25" s="242">
        <f t="shared" si="6"/>
        <v>78406</v>
      </c>
      <c r="F25" s="242">
        <f t="shared" si="7"/>
        <v>166865</v>
      </c>
      <c r="G25" s="242">
        <f t="shared" si="8"/>
        <v>363262</v>
      </c>
      <c r="H25" s="242">
        <f t="shared" si="9"/>
        <v>574429</v>
      </c>
      <c r="I25" s="215"/>
      <c r="J25" s="242">
        <v>50880</v>
      </c>
      <c r="K25" s="242">
        <v>42517</v>
      </c>
      <c r="L25" s="242">
        <v>55514.155149999999</v>
      </c>
      <c r="M25" s="242">
        <v>78406</v>
      </c>
      <c r="N25" s="242">
        <v>102495</v>
      </c>
      <c r="O25" s="214">
        <v>163665</v>
      </c>
      <c r="P25" s="214">
        <v>153726</v>
      </c>
      <c r="Q25" s="214">
        <v>166865</v>
      </c>
      <c r="R25" s="214">
        <v>154341</v>
      </c>
      <c r="S25" s="214">
        <v>206021</v>
      </c>
      <c r="T25" s="214">
        <v>332844.93984000006</v>
      </c>
      <c r="U25" s="214">
        <v>363262</v>
      </c>
      <c r="V25" s="214">
        <v>439126</v>
      </c>
      <c r="W25" s="214">
        <v>357818.261</v>
      </c>
      <c r="X25" s="214">
        <v>457853</v>
      </c>
      <c r="Y25" s="214">
        <v>574429</v>
      </c>
      <c r="Z25" s="214">
        <v>461725</v>
      </c>
      <c r="AA25" s="214">
        <v>524764</v>
      </c>
      <c r="AB25" s="214">
        <v>660338</v>
      </c>
      <c r="AC25" s="215"/>
      <c r="AD25" s="340">
        <f t="shared" si="10"/>
        <v>0.25835232599797253</v>
      </c>
      <c r="AE25" s="340">
        <f t="shared" si="11"/>
        <v>0.44224893142558863</v>
      </c>
      <c r="AF25" s="215"/>
    </row>
    <row r="26" spans="1:33" ht="13" customHeight="1">
      <c r="A26" s="235"/>
      <c r="B26" s="16" t="str">
        <f>IF('Summary | Sumário'!D$6=Names!B$3,Names!K25,Names!L25)</f>
        <v>Provisions</v>
      </c>
      <c r="C26" s="243">
        <v>22055</v>
      </c>
      <c r="D26" s="243">
        <v>23637</v>
      </c>
      <c r="E26" s="243">
        <f t="shared" si="6"/>
        <v>52848</v>
      </c>
      <c r="F26" s="243">
        <f t="shared" si="7"/>
        <v>57449</v>
      </c>
      <c r="G26" s="243">
        <f t="shared" si="8"/>
        <v>70452</v>
      </c>
      <c r="H26" s="243">
        <f t="shared" si="9"/>
        <v>151737</v>
      </c>
      <c r="I26" s="215"/>
      <c r="J26" s="243">
        <v>25182</v>
      </c>
      <c r="K26" s="243">
        <v>37558</v>
      </c>
      <c r="L26" s="243">
        <v>41873</v>
      </c>
      <c r="M26" s="243">
        <v>52848</v>
      </c>
      <c r="N26" s="243">
        <v>55607</v>
      </c>
      <c r="O26" s="215">
        <v>61118</v>
      </c>
      <c r="P26" s="215">
        <v>59219</v>
      </c>
      <c r="Q26" s="215">
        <v>57449</v>
      </c>
      <c r="R26" s="215">
        <v>63213</v>
      </c>
      <c r="S26" s="215">
        <v>65931</v>
      </c>
      <c r="T26" s="215">
        <v>35040.451930000003</v>
      </c>
      <c r="U26" s="215">
        <v>70452</v>
      </c>
      <c r="V26" s="215">
        <v>70003.378370004008</v>
      </c>
      <c r="W26" s="215">
        <v>45712.063000000002</v>
      </c>
      <c r="X26" s="215">
        <v>54375</v>
      </c>
      <c r="Y26" s="215">
        <v>151737</v>
      </c>
      <c r="Z26" s="215">
        <v>223950</v>
      </c>
      <c r="AA26" s="215">
        <v>243929</v>
      </c>
      <c r="AB26" s="215">
        <v>258680</v>
      </c>
      <c r="AC26" s="215"/>
      <c r="AD26" s="222">
        <f t="shared" si="10"/>
        <v>6.0472514543166156E-2</v>
      </c>
      <c r="AE26" s="222">
        <f t="shared" si="11"/>
        <v>3.7573333333333334</v>
      </c>
      <c r="AF26" s="215"/>
    </row>
    <row r="27" spans="1:33" ht="13" customHeight="1">
      <c r="A27" s="235"/>
      <c r="B27" s="22" t="str">
        <f>IF('Summary | Sumário'!D$6=Names!B$3,Names!K26,Names!L26)</f>
        <v>Deferred tax liabilities</v>
      </c>
      <c r="C27" s="242">
        <v>21524</v>
      </c>
      <c r="D27" s="242">
        <v>60926</v>
      </c>
      <c r="E27" s="242">
        <f t="shared" si="6"/>
        <v>89235</v>
      </c>
      <c r="F27" s="242">
        <f t="shared" si="7"/>
        <v>30073</v>
      </c>
      <c r="G27" s="242">
        <f t="shared" si="8"/>
        <v>32539</v>
      </c>
      <c r="H27" s="242">
        <f t="shared" si="9"/>
        <v>61503</v>
      </c>
      <c r="I27" s="215"/>
      <c r="J27" s="242">
        <v>90691</v>
      </c>
      <c r="K27" s="242">
        <v>85656</v>
      </c>
      <c r="L27" s="242">
        <v>27373.95</v>
      </c>
      <c r="M27" s="242">
        <v>89235</v>
      </c>
      <c r="N27" s="242">
        <v>92379</v>
      </c>
      <c r="O27" s="214">
        <v>81915</v>
      </c>
      <c r="P27" s="214">
        <v>0</v>
      </c>
      <c r="Q27" s="214">
        <v>30073</v>
      </c>
      <c r="R27" s="214">
        <v>29638</v>
      </c>
      <c r="S27" s="214">
        <v>32670</v>
      </c>
      <c r="T27" s="214">
        <v>28894.89588</v>
      </c>
      <c r="U27" s="214">
        <v>32539</v>
      </c>
      <c r="V27" s="214">
        <v>49912</v>
      </c>
      <c r="W27" s="214">
        <v>29640.036</v>
      </c>
      <c r="X27" s="214">
        <v>46183</v>
      </c>
      <c r="Y27" s="214">
        <v>61503</v>
      </c>
      <c r="Z27" s="214">
        <v>107423</v>
      </c>
      <c r="AA27" s="214">
        <v>130150</v>
      </c>
      <c r="AB27" s="214">
        <v>46918</v>
      </c>
      <c r="AC27" s="215"/>
      <c r="AD27" s="340">
        <f t="shared" si="10"/>
        <v>-0.63950825970034575</v>
      </c>
      <c r="AE27" s="340">
        <f t="shared" si="11"/>
        <v>1.5914947058441431E-2</v>
      </c>
      <c r="AF27" s="215"/>
    </row>
    <row r="28" spans="1:33" ht="13" customHeight="1">
      <c r="A28" s="235"/>
      <c r="B28" s="16" t="str">
        <f>IF('Summary | Sumário'!D$6=Names!B$3,Names!K27,Names!L27)</f>
        <v>Other liabilities</v>
      </c>
      <c r="C28" s="215">
        <v>216115</v>
      </c>
      <c r="D28" s="215">
        <v>475420</v>
      </c>
      <c r="E28" s="215">
        <f t="shared" si="6"/>
        <v>617348.59181000001</v>
      </c>
      <c r="F28" s="215">
        <f t="shared" si="7"/>
        <v>1173527</v>
      </c>
      <c r="G28" s="215">
        <f t="shared" si="8"/>
        <v>1897248</v>
      </c>
      <c r="H28" s="215">
        <f t="shared" si="9"/>
        <v>2386457</v>
      </c>
      <c r="I28" s="215"/>
      <c r="J28" s="215">
        <v>575148</v>
      </c>
      <c r="K28" s="215">
        <v>631703.80099999998</v>
      </c>
      <c r="L28" s="215">
        <v>570154</v>
      </c>
      <c r="M28" s="215">
        <v>617348.59181000001</v>
      </c>
      <c r="N28" s="215">
        <v>741385</v>
      </c>
      <c r="O28" s="215">
        <v>618089</v>
      </c>
      <c r="P28" s="215">
        <v>698852</v>
      </c>
      <c r="Q28" s="215">
        <v>1173527</v>
      </c>
      <c r="R28" s="215">
        <v>1205649</v>
      </c>
      <c r="S28" s="215">
        <v>984830</v>
      </c>
      <c r="T28" s="215">
        <v>1260329</v>
      </c>
      <c r="U28" s="215">
        <v>1897248</v>
      </c>
      <c r="V28" s="215">
        <v>1957483</v>
      </c>
      <c r="W28" s="215">
        <v>1981740.4820000001</v>
      </c>
      <c r="X28" s="215">
        <v>1797457</v>
      </c>
      <c r="Y28" s="215">
        <v>2386457</v>
      </c>
      <c r="Z28" s="215">
        <v>2195382</v>
      </c>
      <c r="AA28" s="215">
        <v>1909745</v>
      </c>
      <c r="AB28" s="215">
        <v>2342401</v>
      </c>
      <c r="AC28" s="215"/>
      <c r="AD28" s="222">
        <f t="shared" si="10"/>
        <v>0.22655171240139382</v>
      </c>
      <c r="AE28" s="222">
        <f t="shared" si="11"/>
        <v>0.30317498554902844</v>
      </c>
      <c r="AF28" s="215"/>
    </row>
    <row r="29" spans="1:33" ht="13" customHeight="1">
      <c r="A29" s="235"/>
      <c r="B29" s="277" t="str">
        <f>IF('Summary | Sumário'!D$6=Names!B$3,Names!K28,Names!L28)</f>
        <v>Total liabilities</v>
      </c>
      <c r="C29" s="278">
        <v>7915148</v>
      </c>
      <c r="D29" s="278">
        <v>16597398</v>
      </c>
      <c r="E29" s="278">
        <f>M29</f>
        <v>28176553.591809999</v>
      </c>
      <c r="F29" s="278">
        <f>Q29</f>
        <v>39253996</v>
      </c>
      <c r="G29" s="278">
        <f t="shared" si="8"/>
        <v>52755107</v>
      </c>
      <c r="H29" s="278">
        <f t="shared" si="9"/>
        <v>67386123</v>
      </c>
      <c r="I29" s="247"/>
      <c r="J29" s="278">
        <v>18186051</v>
      </c>
      <c r="K29" s="278">
        <v>21616867.421</v>
      </c>
      <c r="L29" s="278">
        <v>25224265.40315</v>
      </c>
      <c r="M29" s="278">
        <v>28176553.591809999</v>
      </c>
      <c r="N29" s="278">
        <v>30257828</v>
      </c>
      <c r="O29" s="278">
        <v>33818398</v>
      </c>
      <c r="P29" s="278">
        <v>36703672</v>
      </c>
      <c r="Q29" s="278">
        <v>39253996</v>
      </c>
      <c r="R29" s="278">
        <v>40561188</v>
      </c>
      <c r="S29" s="278">
        <v>42685671</v>
      </c>
      <c r="T29" s="278">
        <v>47710613</v>
      </c>
      <c r="U29" s="278">
        <v>52755107</v>
      </c>
      <c r="V29" s="278">
        <v>54008110.275435939</v>
      </c>
      <c r="W29" s="278">
        <v>57965925.803000003</v>
      </c>
      <c r="X29" s="278">
        <v>61060739</v>
      </c>
      <c r="Y29" s="278">
        <v>67386123</v>
      </c>
      <c r="Z29" s="278">
        <v>71545716</v>
      </c>
      <c r="AA29" s="278">
        <v>75345087</v>
      </c>
      <c r="AB29" s="278">
        <v>82000376</v>
      </c>
      <c r="AC29" s="247"/>
      <c r="AD29" s="329">
        <f t="shared" si="10"/>
        <v>8.833076269458684E-2</v>
      </c>
      <c r="AE29" s="329">
        <f t="shared" si="11"/>
        <v>0.34293127372729626</v>
      </c>
      <c r="AF29" s="227"/>
    </row>
    <row r="30" spans="1:33" ht="13" customHeight="1">
      <c r="A30" s="235"/>
      <c r="B30" s="3"/>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330"/>
      <c r="AE30" s="330"/>
      <c r="AF30" s="227"/>
    </row>
    <row r="31" spans="1:33" ht="13" customHeight="1">
      <c r="A31" s="235"/>
      <c r="B31" s="31" t="str">
        <f>IF('Summary | Sumário'!D$6=Names!B$3,Names!K29,Names!L29)</f>
        <v>Equity</v>
      </c>
      <c r="C31" s="236"/>
      <c r="D31" s="236"/>
      <c r="E31" s="236"/>
      <c r="F31" s="236"/>
      <c r="G31" s="236"/>
      <c r="H31" s="236"/>
      <c r="I31" s="227"/>
      <c r="J31" s="236"/>
      <c r="K31" s="236"/>
      <c r="L31" s="236"/>
      <c r="M31" s="236"/>
      <c r="N31" s="236"/>
      <c r="O31" s="236"/>
      <c r="P31" s="236"/>
      <c r="Q31" s="236"/>
      <c r="R31" s="236"/>
      <c r="S31" s="236"/>
      <c r="T31" s="236"/>
      <c r="U31" s="236"/>
      <c r="V31" s="236"/>
      <c r="W31" s="236"/>
      <c r="X31" s="236"/>
      <c r="Y31" s="236"/>
      <c r="Z31" s="236"/>
      <c r="AA31" s="236"/>
      <c r="AB31" s="236"/>
      <c r="AC31" s="227"/>
      <c r="AD31" s="325"/>
      <c r="AE31" s="325"/>
      <c r="AF31" s="227"/>
    </row>
    <row r="32" spans="1:33" ht="13" customHeight="1">
      <c r="A32" s="235"/>
      <c r="B32" s="702" t="str">
        <f>IF('Summary | Sumário'!D$6=Names!B$3,Names!K30,Names!L30)</f>
        <v>Equity attributable to owners of the Company</v>
      </c>
      <c r="C32" s="243">
        <f>SUM(C33:C36)</f>
        <v>2157761</v>
      </c>
      <c r="D32" s="243">
        <f t="shared" ref="D32:Q32" si="12">SUM(D33:D36)</f>
        <v>3275634</v>
      </c>
      <c r="E32" s="243">
        <f t="shared" si="12"/>
        <v>2656124.8541782</v>
      </c>
      <c r="F32" s="243">
        <f t="shared" si="12"/>
        <v>6992382</v>
      </c>
      <c r="G32" s="243">
        <f t="shared" ref="G32:G38" si="13">U32</f>
        <v>7471810</v>
      </c>
      <c r="H32" s="243">
        <f t="shared" ref="H32:H38" si="14">Y32</f>
        <v>8895175</v>
      </c>
      <c r="I32" s="243"/>
      <c r="J32" s="243">
        <f t="shared" si="12"/>
        <v>3200971</v>
      </c>
      <c r="K32" s="243">
        <f t="shared" si="12"/>
        <v>2725582.0000000005</v>
      </c>
      <c r="L32" s="243">
        <f t="shared" si="12"/>
        <v>2684449.7805932802</v>
      </c>
      <c r="M32" s="243">
        <f t="shared" si="12"/>
        <v>2656124.8541782</v>
      </c>
      <c r="N32" s="243">
        <f t="shared" si="12"/>
        <v>2615835.2391781998</v>
      </c>
      <c r="O32" s="243">
        <f t="shared" si="12"/>
        <v>7034059</v>
      </c>
      <c r="P32" s="243">
        <f t="shared" si="12"/>
        <v>7044410</v>
      </c>
      <c r="Q32" s="243">
        <f t="shared" si="12"/>
        <v>6992382</v>
      </c>
      <c r="R32" s="243">
        <f t="shared" ref="R32:W32" si="15">SUM(R33:R36)</f>
        <v>7030966</v>
      </c>
      <c r="S32" s="243">
        <f t="shared" si="15"/>
        <v>7203957</v>
      </c>
      <c r="T32" s="243">
        <f t="shared" si="15"/>
        <v>7260368</v>
      </c>
      <c r="U32" s="243">
        <f t="shared" si="15"/>
        <v>7471810</v>
      </c>
      <c r="V32" s="243">
        <f t="shared" si="15"/>
        <v>8392474.0009060334</v>
      </c>
      <c r="W32" s="243">
        <f t="shared" si="15"/>
        <v>8461990.9470000006</v>
      </c>
      <c r="X32" s="243">
        <f t="shared" ref="X32:Y32" si="16">SUM(X33:X36)</f>
        <v>8707251</v>
      </c>
      <c r="Y32" s="243">
        <f t="shared" si="16"/>
        <v>8895175</v>
      </c>
      <c r="Z32" s="243">
        <f t="shared" ref="Z32:AA32" si="17">SUM(Z33:Z36)</f>
        <v>8900556</v>
      </c>
      <c r="AA32" s="243">
        <f t="shared" si="17"/>
        <v>9289608</v>
      </c>
      <c r="AB32" s="243">
        <f t="shared" ref="AB32" si="18">SUM(AB33:AB36)</f>
        <v>9679815</v>
      </c>
      <c r="AC32" s="243"/>
      <c r="AD32" s="261">
        <f>AB32/AA32-1</f>
        <v>4.2004678776542459E-2</v>
      </c>
      <c r="AE32" s="261">
        <f>AB32/X32-1</f>
        <v>0.11169587278464821</v>
      </c>
      <c r="AF32" s="243"/>
    </row>
    <row r="33" spans="1:32" ht="13" customHeight="1">
      <c r="A33" s="235"/>
      <c r="B33" s="23" t="str">
        <f>IF('Summary | Sumário'!D$6=Names!B$3,Names!K31,Names!L31)</f>
        <v>Share capital</v>
      </c>
      <c r="C33" s="242">
        <v>2068305</v>
      </c>
      <c r="D33" s="242">
        <v>3216455</v>
      </c>
      <c r="E33" s="242">
        <f t="shared" ref="E33:E38" si="19">M33</f>
        <v>13.23917819999042</v>
      </c>
      <c r="F33" s="242">
        <f t="shared" ref="F33:F38" si="20">Q33</f>
        <v>13</v>
      </c>
      <c r="G33" s="242">
        <f t="shared" si="13"/>
        <v>13</v>
      </c>
      <c r="H33" s="242">
        <f t="shared" si="14"/>
        <v>13</v>
      </c>
      <c r="I33" s="215"/>
      <c r="J33" s="242">
        <v>3216455</v>
      </c>
      <c r="K33" s="242">
        <v>12.78059328001109</v>
      </c>
      <c r="L33" s="242">
        <v>12.78059328001109</v>
      </c>
      <c r="M33" s="242">
        <v>13.23917819999042</v>
      </c>
      <c r="N33" s="242">
        <v>13.23917819999042</v>
      </c>
      <c r="O33" s="214">
        <v>13</v>
      </c>
      <c r="P33" s="214">
        <v>13</v>
      </c>
      <c r="Q33" s="214">
        <v>13</v>
      </c>
      <c r="R33" s="214">
        <v>13</v>
      </c>
      <c r="S33" s="214">
        <v>13</v>
      </c>
      <c r="T33" s="214">
        <v>13</v>
      </c>
      <c r="U33" s="214">
        <v>13</v>
      </c>
      <c r="V33" s="214">
        <v>13.000906033441424</v>
      </c>
      <c r="W33" s="214">
        <v>13.002000000000001</v>
      </c>
      <c r="X33" s="214">
        <v>13</v>
      </c>
      <c r="Y33" s="214">
        <v>13</v>
      </c>
      <c r="Z33" s="214">
        <v>13</v>
      </c>
      <c r="AA33" s="214">
        <v>13</v>
      </c>
      <c r="AB33" s="214">
        <v>13</v>
      </c>
      <c r="AC33" s="215"/>
      <c r="AD33" s="319">
        <f t="shared" ref="AD33:AD38" si="21">AB33/AA33-1</f>
        <v>0</v>
      </c>
      <c r="AE33" s="319">
        <f t="shared" ref="AE33:AE38" si="22">AB33/X33-1</f>
        <v>0</v>
      </c>
      <c r="AF33" s="215"/>
    </row>
    <row r="34" spans="1:32" ht="13" customHeight="1">
      <c r="A34" s="235"/>
      <c r="B34" s="17" t="str">
        <f>IF('Summary | Sumário'!D$6=Names!B$3,Names!K32,Names!L32)</f>
        <v>Reserves</v>
      </c>
      <c r="C34" s="243">
        <v>90152</v>
      </c>
      <c r="D34" s="243">
        <v>150709</v>
      </c>
      <c r="E34" s="243">
        <f t="shared" si="19"/>
        <v>2728396</v>
      </c>
      <c r="F34" s="243">
        <f t="shared" si="20"/>
        <v>7817670</v>
      </c>
      <c r="G34" s="243">
        <f t="shared" si="13"/>
        <v>8147285</v>
      </c>
      <c r="H34" s="243">
        <f t="shared" si="14"/>
        <v>9793992</v>
      </c>
      <c r="I34" s="215"/>
      <c r="J34" s="243">
        <v>57846</v>
      </c>
      <c r="K34" s="243">
        <v>2744512.2194067203</v>
      </c>
      <c r="L34" s="243">
        <v>2733223</v>
      </c>
      <c r="M34" s="243">
        <v>2728396</v>
      </c>
      <c r="N34" s="243">
        <v>2700579</v>
      </c>
      <c r="O34" s="215">
        <v>7842630</v>
      </c>
      <c r="P34" s="215">
        <v>7870186</v>
      </c>
      <c r="Q34" s="215">
        <v>7817670</v>
      </c>
      <c r="R34" s="215">
        <v>7855472</v>
      </c>
      <c r="S34" s="215">
        <v>7902577</v>
      </c>
      <c r="T34" s="215">
        <v>7998214</v>
      </c>
      <c r="U34" s="215">
        <v>8147285</v>
      </c>
      <c r="V34" s="215">
        <v>9116496</v>
      </c>
      <c r="W34" s="215">
        <v>9232289.6119999997</v>
      </c>
      <c r="X34" s="215">
        <v>9508076</v>
      </c>
      <c r="Y34" s="215">
        <v>9793992</v>
      </c>
      <c r="Z34" s="215">
        <v>9901230</v>
      </c>
      <c r="AA34" s="215">
        <v>10206691</v>
      </c>
      <c r="AB34" s="215">
        <v>10579565</v>
      </c>
      <c r="AC34" s="215"/>
      <c r="AD34" s="261">
        <f t="shared" si="21"/>
        <v>3.6532310030743531E-2</v>
      </c>
      <c r="AE34" s="261">
        <f t="shared" si="22"/>
        <v>0.11269251528910784</v>
      </c>
      <c r="AF34" s="215"/>
    </row>
    <row r="35" spans="1:32" ht="13" customHeight="1">
      <c r="A35" s="235"/>
      <c r="B35" s="23" t="str">
        <f>IF('Summary | Sumário'!D$6=Names!B$3,Names!K33,Names!L33)</f>
        <v xml:space="preserve">Other comprehensive loss </v>
      </c>
      <c r="C35" s="242">
        <v>-696</v>
      </c>
      <c r="D35" s="242">
        <v>25991</v>
      </c>
      <c r="E35" s="242">
        <f t="shared" si="19"/>
        <v>-72284.384999999995</v>
      </c>
      <c r="F35" s="242">
        <f t="shared" si="20"/>
        <v>-825301</v>
      </c>
      <c r="G35" s="242">
        <f t="shared" si="13"/>
        <v>-675488</v>
      </c>
      <c r="H35" s="242">
        <f t="shared" si="14"/>
        <v>-898830</v>
      </c>
      <c r="I35" s="215"/>
      <c r="J35" s="242">
        <v>-36968</v>
      </c>
      <c r="K35" s="242">
        <v>-18943</v>
      </c>
      <c r="L35" s="242">
        <v>-48786</v>
      </c>
      <c r="M35" s="242">
        <v>-72284.384999999995</v>
      </c>
      <c r="N35" s="242">
        <v>-84757</v>
      </c>
      <c r="O35" s="214">
        <v>-808584</v>
      </c>
      <c r="P35" s="214">
        <v>-825789</v>
      </c>
      <c r="Q35" s="214">
        <v>-825301</v>
      </c>
      <c r="R35" s="214">
        <v>-808110</v>
      </c>
      <c r="S35" s="214">
        <v>-682224</v>
      </c>
      <c r="T35" s="214">
        <v>-729442</v>
      </c>
      <c r="U35" s="214">
        <v>-675488</v>
      </c>
      <c r="V35" s="214">
        <v>-711252</v>
      </c>
      <c r="W35" s="214">
        <v>-756624.66700000002</v>
      </c>
      <c r="X35" s="214">
        <v>-800226</v>
      </c>
      <c r="Y35" s="214">
        <v>-898830</v>
      </c>
      <c r="Z35" s="214">
        <v>-985968</v>
      </c>
      <c r="AA35" s="214">
        <v>-917096</v>
      </c>
      <c r="AB35" s="214">
        <v>-899763</v>
      </c>
      <c r="AC35" s="215"/>
      <c r="AD35" s="319">
        <f t="shared" si="21"/>
        <v>-1.8899875258424403E-2</v>
      </c>
      <c r="AE35" s="319">
        <f t="shared" si="22"/>
        <v>0.12438611092366414</v>
      </c>
      <c r="AF35" s="215"/>
    </row>
    <row r="36" spans="1:32" ht="13" customHeight="1">
      <c r="A36" s="235"/>
      <c r="B36" s="17" t="str">
        <f>IF('Summary | Sumário'!D$6=Names!B$3,Names!K34,Names!L34)</f>
        <v>Treasury shares</v>
      </c>
      <c r="C36" s="243">
        <v>0</v>
      </c>
      <c r="D36" s="243">
        <v>-117521</v>
      </c>
      <c r="E36" s="243">
        <f t="shared" si="19"/>
        <v>0</v>
      </c>
      <c r="F36" s="243">
        <f t="shared" si="20"/>
        <v>0</v>
      </c>
      <c r="G36" s="243">
        <f t="shared" si="13"/>
        <v>0</v>
      </c>
      <c r="H36" s="243">
        <f t="shared" si="14"/>
        <v>0</v>
      </c>
      <c r="I36" s="215"/>
      <c r="J36" s="243">
        <v>-36362</v>
      </c>
      <c r="K36" s="243">
        <v>0</v>
      </c>
      <c r="L36" s="243">
        <v>0</v>
      </c>
      <c r="M36" s="243">
        <v>0</v>
      </c>
      <c r="N36" s="243">
        <v>0</v>
      </c>
      <c r="O36" s="215">
        <v>0</v>
      </c>
      <c r="P36" s="215">
        <v>0</v>
      </c>
      <c r="Q36" s="215">
        <v>0</v>
      </c>
      <c r="R36" s="215">
        <v>-16409</v>
      </c>
      <c r="S36" s="215">
        <v>-16409</v>
      </c>
      <c r="T36" s="215">
        <v>-8417</v>
      </c>
      <c r="U36" s="215">
        <v>0</v>
      </c>
      <c r="V36" s="215">
        <v>-12783</v>
      </c>
      <c r="W36" s="215">
        <v>-13687</v>
      </c>
      <c r="X36" s="215">
        <v>-612</v>
      </c>
      <c r="Y36" s="215">
        <v>0</v>
      </c>
      <c r="Z36" s="215">
        <v>-14719</v>
      </c>
      <c r="AA36" s="215">
        <v>0</v>
      </c>
      <c r="AB36" s="215">
        <v>0</v>
      </c>
      <c r="AC36" s="215"/>
      <c r="AD36" s="215">
        <v>0</v>
      </c>
      <c r="AE36" s="222" t="s">
        <v>1125</v>
      </c>
      <c r="AF36" s="215"/>
    </row>
    <row r="37" spans="1:32" ht="13" customHeight="1">
      <c r="A37" s="235"/>
      <c r="B37" s="22" t="str">
        <f>IF('Summary | Sumário'!D$6=Names!B$3,Names!K35,Names!L35)</f>
        <v>Non-controlling interest</v>
      </c>
      <c r="C37" s="242">
        <v>4177</v>
      </c>
      <c r="D37" s="242">
        <v>48581</v>
      </c>
      <c r="E37" s="242">
        <f t="shared" si="19"/>
        <v>5793658.7330626091</v>
      </c>
      <c r="F37" s="242">
        <f t="shared" si="20"/>
        <v>96722</v>
      </c>
      <c r="G37" s="242">
        <f t="shared" si="13"/>
        <v>124881</v>
      </c>
      <c r="H37" s="242">
        <f t="shared" si="14"/>
        <v>177132</v>
      </c>
      <c r="I37" s="215"/>
      <c r="J37" s="242">
        <v>49645</v>
      </c>
      <c r="K37" s="242">
        <v>5967043.7920000013</v>
      </c>
      <c r="L37" s="242">
        <v>5853877.4000000004</v>
      </c>
      <c r="M37" s="242">
        <v>5793658.7330626091</v>
      </c>
      <c r="N37" s="242">
        <v>5738531</v>
      </c>
      <c r="O37" s="214">
        <v>81322</v>
      </c>
      <c r="P37" s="214">
        <v>95985</v>
      </c>
      <c r="Q37" s="214">
        <v>96722</v>
      </c>
      <c r="R37" s="214">
        <v>108940</v>
      </c>
      <c r="S37" s="214">
        <v>113701</v>
      </c>
      <c r="T37" s="214">
        <v>107859</v>
      </c>
      <c r="U37" s="214">
        <v>124881</v>
      </c>
      <c r="V37" s="214">
        <v>145978</v>
      </c>
      <c r="W37" s="214">
        <v>145544.61499999999</v>
      </c>
      <c r="X37" s="214">
        <v>160088</v>
      </c>
      <c r="Y37" s="214">
        <v>177132</v>
      </c>
      <c r="Z37" s="214">
        <v>112294</v>
      </c>
      <c r="AA37" s="214">
        <v>98224</v>
      </c>
      <c r="AB37" s="214">
        <v>128317</v>
      </c>
      <c r="AC37" s="215"/>
      <c r="AD37" s="319">
        <f t="shared" si="21"/>
        <v>0.30637115165336382</v>
      </c>
      <c r="AE37" s="319">
        <f t="shared" si="22"/>
        <v>-0.19845959722152817</v>
      </c>
      <c r="AF37" s="215"/>
    </row>
    <row r="38" spans="1:32" ht="13" customHeight="1">
      <c r="A38" s="235"/>
      <c r="B38" s="14" t="str">
        <f>IF('Summary | Sumário'!D$6=Names!B$3,Names!K36,Names!L36)</f>
        <v>Total equity</v>
      </c>
      <c r="C38" s="246">
        <v>2161938</v>
      </c>
      <c r="D38" s="246">
        <v>3324215</v>
      </c>
      <c r="E38" s="246">
        <f t="shared" si="19"/>
        <v>8449783.5872408096</v>
      </c>
      <c r="F38" s="246">
        <f t="shared" si="20"/>
        <v>7089104</v>
      </c>
      <c r="G38" s="246">
        <f t="shared" si="13"/>
        <v>7596691</v>
      </c>
      <c r="H38" s="246">
        <f t="shared" si="14"/>
        <v>9072307</v>
      </c>
      <c r="I38" s="247"/>
      <c r="J38" s="246">
        <v>3250616</v>
      </c>
      <c r="K38" s="246">
        <v>8692625.7920000013</v>
      </c>
      <c r="L38" s="246">
        <v>8538327.1805932801</v>
      </c>
      <c r="M38" s="246">
        <v>8449783.5872408096</v>
      </c>
      <c r="N38" s="246">
        <v>8354366</v>
      </c>
      <c r="O38" s="247">
        <v>7115381</v>
      </c>
      <c r="P38" s="247">
        <v>7140395</v>
      </c>
      <c r="Q38" s="247">
        <v>7089104</v>
      </c>
      <c r="R38" s="247">
        <v>7139906</v>
      </c>
      <c r="S38" s="247">
        <v>7317658</v>
      </c>
      <c r="T38" s="247">
        <v>7368227</v>
      </c>
      <c r="U38" s="247">
        <v>7596691</v>
      </c>
      <c r="V38" s="247">
        <v>8538452.0009060334</v>
      </c>
      <c r="W38" s="247">
        <v>8607535.5620000008</v>
      </c>
      <c r="X38" s="247">
        <v>8867338</v>
      </c>
      <c r="Y38" s="247">
        <v>9072307</v>
      </c>
      <c r="Z38" s="247">
        <v>9012850</v>
      </c>
      <c r="AA38" s="247">
        <v>9387832</v>
      </c>
      <c r="AB38" s="247">
        <v>9808132</v>
      </c>
      <c r="AC38" s="247"/>
      <c r="AD38" s="261">
        <f t="shared" si="21"/>
        <v>4.477072022592643E-2</v>
      </c>
      <c r="AE38" s="261">
        <f t="shared" si="22"/>
        <v>0.10609655344140489</v>
      </c>
      <c r="AF38" s="227"/>
    </row>
    <row r="39" spans="1:32" ht="13" customHeight="1">
      <c r="A39" s="235"/>
      <c r="B39" s="24"/>
      <c r="C39" s="236"/>
      <c r="D39" s="236"/>
      <c r="E39" s="236"/>
      <c r="F39" s="236"/>
      <c r="G39" s="236"/>
      <c r="H39" s="236"/>
      <c r="I39" s="227"/>
      <c r="J39" s="236"/>
      <c r="K39" s="236"/>
      <c r="L39" s="236"/>
      <c r="M39" s="236"/>
      <c r="N39" s="236"/>
      <c r="O39" s="236"/>
      <c r="P39" s="236"/>
      <c r="Q39" s="236"/>
      <c r="R39" s="236"/>
      <c r="S39" s="236"/>
      <c r="T39" s="236"/>
      <c r="U39" s="236"/>
      <c r="V39" s="236"/>
      <c r="W39" s="236"/>
      <c r="X39" s="236"/>
      <c r="Y39" s="236"/>
      <c r="Z39" s="236"/>
      <c r="AA39" s="236"/>
      <c r="AB39" s="236"/>
      <c r="AC39" s="227"/>
      <c r="AD39" s="325"/>
      <c r="AE39" s="325"/>
      <c r="AF39" s="227"/>
    </row>
    <row r="40" spans="1:32" ht="13" customHeight="1">
      <c r="A40" s="235"/>
      <c r="B40" s="9" t="str">
        <f>IF('Summary | Sumário'!D$6=Names!B$3,Names!K37,Names!L37)</f>
        <v>Liabilities + equity</v>
      </c>
      <c r="C40" s="247"/>
      <c r="D40" s="247"/>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331"/>
      <c r="AE40" s="331"/>
      <c r="AF40" s="227"/>
    </row>
    <row r="41" spans="1:32" ht="13" customHeight="1">
      <c r="A41" s="235"/>
      <c r="B41" s="279" t="str">
        <f>IF('Summary | Sumário'!D$6=Names!B$3,Names!K38,Names!L38)</f>
        <v>Total liabilities and equity</v>
      </c>
      <c r="C41" s="280">
        <v>10077086</v>
      </c>
      <c r="D41" s="280">
        <v>19921613</v>
      </c>
      <c r="E41" s="280">
        <f>M41</f>
        <v>36626337.179050811</v>
      </c>
      <c r="F41" s="280">
        <f>Q41</f>
        <v>46343100</v>
      </c>
      <c r="G41" s="280">
        <f>U41</f>
        <v>60351797</v>
      </c>
      <c r="H41" s="280">
        <f>Y41</f>
        <v>76458430</v>
      </c>
      <c r="I41" s="247"/>
      <c r="J41" s="280">
        <v>21436667</v>
      </c>
      <c r="K41" s="280">
        <v>30309493.213</v>
      </c>
      <c r="L41" s="280">
        <v>33762592.583743282</v>
      </c>
      <c r="M41" s="280">
        <v>36626337.179050811</v>
      </c>
      <c r="N41" s="280">
        <v>38612194</v>
      </c>
      <c r="O41" s="278">
        <v>40933779</v>
      </c>
      <c r="P41" s="278">
        <v>43844067</v>
      </c>
      <c r="Q41" s="278">
        <v>46343100</v>
      </c>
      <c r="R41" s="278">
        <v>47701094</v>
      </c>
      <c r="S41" s="278">
        <v>50003329</v>
      </c>
      <c r="T41" s="278">
        <v>55078840</v>
      </c>
      <c r="U41" s="278">
        <v>60351797</v>
      </c>
      <c r="V41" s="278">
        <v>62546562.276341975</v>
      </c>
      <c r="W41" s="278">
        <v>66573461.365000002</v>
      </c>
      <c r="X41" s="278">
        <v>69928077</v>
      </c>
      <c r="Y41" s="278">
        <v>76458430</v>
      </c>
      <c r="Z41" s="278">
        <v>80558566</v>
      </c>
      <c r="AA41" s="278">
        <v>84732919</v>
      </c>
      <c r="AB41" s="278">
        <v>91808508</v>
      </c>
      <c r="AC41" s="247"/>
      <c r="AD41" s="329">
        <f>AB41/AA41-1</f>
        <v>8.3504605807336763E-2</v>
      </c>
      <c r="AE41" s="329">
        <f>AB41/X41-1</f>
        <v>0.31289908057960747</v>
      </c>
      <c r="AF41" s="227"/>
    </row>
    <row r="42" spans="1:32" ht="13" customHeight="1">
      <c r="B42" s="14"/>
      <c r="C42" s="248"/>
      <c r="D42" s="248"/>
      <c r="E42" s="248"/>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row>
    <row r="43" spans="1:32" ht="13" customHeight="1">
      <c r="B43" s="18"/>
      <c r="C43" s="248"/>
      <c r="D43" s="248"/>
      <c r="E43" s="248"/>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row>
    <row r="44" spans="1:32" ht="13" customHeight="1">
      <c r="C44" s="249"/>
      <c r="Q44" s="249"/>
      <c r="R44" s="249"/>
      <c r="S44" s="249"/>
      <c r="T44" s="249"/>
      <c r="U44" s="249"/>
      <c r="V44" s="249"/>
      <c r="W44" s="249"/>
      <c r="X44" s="249"/>
      <c r="Y44" s="249"/>
      <c r="Z44" s="249"/>
      <c r="AA44" s="249"/>
      <c r="AB44" s="249"/>
      <c r="AC44" s="249"/>
      <c r="AD44" s="249"/>
      <c r="AE44" s="249"/>
    </row>
    <row r="45" spans="1:32" ht="13" customHeight="1">
      <c r="J45" s="249"/>
      <c r="Q45" s="249"/>
      <c r="R45" s="249"/>
      <c r="S45" s="249"/>
      <c r="T45" s="249"/>
      <c r="U45" s="249"/>
      <c r="V45" s="249"/>
      <c r="W45" s="249"/>
      <c r="X45" s="249"/>
      <c r="Y45" s="249"/>
      <c r="Z45" s="249"/>
      <c r="AA45" s="249"/>
      <c r="AB45" s="249"/>
      <c r="AC45" s="249"/>
      <c r="AD45" s="249"/>
      <c r="AE45" s="249"/>
    </row>
    <row r="46" spans="1:32" ht="13" customHeight="1">
      <c r="Q46" s="249"/>
      <c r="R46" s="249"/>
      <c r="S46" s="249"/>
      <c r="T46" s="249"/>
      <c r="U46" s="249"/>
      <c r="V46" s="249"/>
      <c r="W46" s="249"/>
      <c r="X46" s="249"/>
      <c r="Y46" s="249"/>
      <c r="Z46" s="249"/>
      <c r="AA46" s="249"/>
      <c r="AB46" s="249"/>
      <c r="AC46" s="249"/>
      <c r="AD46" s="249"/>
      <c r="AE46" s="249"/>
    </row>
    <row r="47" spans="1:32" ht="13" customHeight="1">
      <c r="Q47" s="249"/>
      <c r="R47" s="249"/>
      <c r="S47" s="249"/>
      <c r="T47" s="249"/>
      <c r="U47" s="249"/>
      <c r="V47" s="249"/>
      <c r="W47" s="249"/>
      <c r="X47" s="249"/>
      <c r="Y47" s="249"/>
      <c r="Z47" s="249"/>
      <c r="AA47" s="249"/>
      <c r="AB47" s="249"/>
      <c r="AC47" s="249"/>
      <c r="AD47" s="249"/>
      <c r="AE47" s="249"/>
    </row>
  </sheetData>
  <sheetProtection algorithmName="SHA-512" hashValue="xWah/5FuYLE0TCeBNhD3wnZytDB4G0PgnyotaH0HmU3fRBaGfFz6gz8HwnNimR247ofMSRY/boOZRgMKnJF+Hw==" saltValue="K7Ot/LvSRxb/sjNPsfPWDw==" spinCount="100000" sheet="1" formatCells="0" formatColumns="0" formatRows="0" insertColumns="0" insertRows="0" insertHyperlinks="0" deleteColumns="0" deleteRows="0" sort="0" autoFilter="0" pivotTables="0"/>
  <phoneticPr fontId="6" type="noConversion"/>
  <pageMargins left="0.511811024" right="0.511811024" top="0.78740157499999996" bottom="0.78740157499999996" header="0.31496062000000002" footer="0.31496062000000002"/>
  <pageSetup paperSize="9" orientation="portrait" horizontalDpi="0" verticalDpi="0"/>
  <ignoredErrors>
    <ignoredError sqref="B2:AE4 B18:AE19 B5 E5:I5 B6 E6:I6 B7 E7:I7 B8 E8:I8 B9 E9:I9 B10 E10:I10 B11 E11:I11 B12 E12:I12 B13 E13:I13 B14 E14:I14 B15 E15:I15 B16 E16:I16 B17 E17:I17 B30:AE32 B20 E20:I20 B21 E21:I21 B22 E22:I22 B23 E23:I23 B24 E24:I24 B25 E25:I25 B26 E26:I26 B27 E27:I27 B28 E28:I28 B29 E29:I29 AC5:AE5 AC6:AE6 AC7:AE7 AC8:AE8 AC9:AE9 AC10:AE10 AC11:AE11 AC12:AE12 AC13:AE13 AC14:AE14 AC15:AE15 AC16:AE16 AC17:AE17 AC20:AE20 AC21:AE21 AC22:AE22 AC23:AE23 AC24:AE24 AC25:AE25 AC26:AE26 AC27:AE27 AC28:AE28 AC29:AE29 B39:AE40 B33 E33:I33 B34 E34:I34 B35 E35:I35 B36 E36:I36 B37 E37:I37 B38 E38:I38 B41 E41:I41 AC33:AE33 AC34:AE34 AC35:AE35 AC36:AE36 AC37:AE37 AC38:AE38 AC41:AE41" unlocked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D8006-174F-CB4D-8F57-C3ED229B1EBF}">
  <sheetPr codeName="Sheet4">
    <tabColor rgb="FFEB7100"/>
  </sheetPr>
  <dimension ref="A1:XER40"/>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5" style="116" customWidth="1"/>
    <col min="2" max="2" width="68.33203125" style="25" customWidth="1"/>
    <col min="3" max="8" width="10.83203125" style="116" customWidth="1"/>
    <col min="9" max="9" width="2.83203125" style="116" customWidth="1"/>
    <col min="10" max="28" width="10.83203125" style="116" customWidth="1"/>
    <col min="29" max="29" width="4.83203125" style="116" customWidth="1"/>
    <col min="30" max="31" width="10.83203125" style="116" customWidth="1"/>
    <col min="32" max="16384" width="10.83203125" style="116"/>
  </cols>
  <sheetData>
    <row r="1" spans="1:1019 1032:2046 2059:3060 3073:4087 4100:5114 5127:6141 6154:7168 7181:8182 8195:9209 9222:10236 10249:11263 11276:12277 12290:13304 13317:14331 14344:15358 15371:16372"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row>
    <row r="2" spans="1:1019 1032:2046 2059:3060 3073:4087 4100:5114 5127:6141 6154:7168 7181:8182 8195:9209 9222:10236 10249:11263 11276:12277 12290:13304 13317:14331 14344:15358 15371:16372" s="10" customFormat="1" ht="13" customHeight="1">
      <c r="B2" s="267" t="str">
        <f>IF('Summary | Sumário'!D$6=Names!B$3,Names!M1,Names!N1)</f>
        <v>Income Statement (IFRS, R$ Thousands)</v>
      </c>
      <c r="C2" s="114">
        <f>IF('Summary | Sumário'!D6=Names!B3,Names!C2,Names!D2)</f>
        <v>2019</v>
      </c>
      <c r="D2" s="114">
        <f>IF('Summary | Sumário'!D6=Names!B3,Names!C3,Names!D3)</f>
        <v>2020</v>
      </c>
      <c r="E2" s="114">
        <f>IF('Summary | Sumário'!D6=Names!B3,Names!C4,Names!D4)</f>
        <v>2021</v>
      </c>
      <c r="F2" s="114">
        <f>IF('Summary | Sumário'!D6=Names!B3,Names!C5,Names!D5)</f>
        <v>2022</v>
      </c>
      <c r="G2" s="114">
        <f>IF('Summary | Sumário'!D6=Names!B3,Names!C18,Names!D18)</f>
        <v>2023</v>
      </c>
      <c r="H2" s="114">
        <f>IF('Summary | Sumário'!D6=Names!B3,Names!C23,Names!D23)</f>
        <v>2024</v>
      </c>
      <c r="I2" s="322"/>
      <c r="J2" s="20" t="str">
        <f>IF('Summary | Sumário'!D6=Names!B3,Names!C6,Names!D6)</f>
        <v>1Q21</v>
      </c>
      <c r="K2" s="21" t="str">
        <f>IF('Summary | Sumário'!D6=Names!B3,Names!C7,Names!D7)</f>
        <v>2Q21</v>
      </c>
      <c r="L2" s="21" t="str">
        <f>IF('Summary | Sumário'!D6=Names!B3,Names!C8,Names!D8)</f>
        <v>3Q21</v>
      </c>
      <c r="M2" s="21" t="str">
        <f>IF('Summary | Sumário'!D6=Names!B3,Names!C9,Names!D9)</f>
        <v>4Q21</v>
      </c>
      <c r="N2" s="21" t="str">
        <f>IF('Summary | Sumário'!D6=Names!B3,Names!C10,Names!D10)</f>
        <v>1Q22</v>
      </c>
      <c r="O2" s="21" t="str">
        <f>IF('Summary | Sumário'!D6=Names!B3,Names!C11,Names!D11)</f>
        <v>2Q22</v>
      </c>
      <c r="P2" s="21" t="str">
        <f>IF('Summary | Sumário'!D6=Names!B3,Names!C12,Names!D12)</f>
        <v>3Q22</v>
      </c>
      <c r="Q2" s="21" t="str">
        <f>IF('Summary | Sumário'!D6=Names!B3,Names!C13,Names!D13)</f>
        <v>4Q22</v>
      </c>
      <c r="R2" s="21" t="str">
        <f>IF('Summary | Sumário'!D6=Names!B3,Names!C14,Names!D14)</f>
        <v>1Q23</v>
      </c>
      <c r="S2" s="21" t="str">
        <f>IF('Summary | Sumário'!D6=Names!B3,Names!C15,Names!D15)</f>
        <v>2Q23</v>
      </c>
      <c r="T2" s="21" t="str">
        <f>IF('Summary | Sumário'!D6=Names!B3,Names!C16,Names!D16)</f>
        <v>3Q23</v>
      </c>
      <c r="U2" s="21" t="str">
        <f>IF('Summary | Sumário'!D6=Names!B3,Names!C17,Names!D17)</f>
        <v>4Q23</v>
      </c>
      <c r="V2" s="21" t="str">
        <f>IF('Summary | Sumário'!D6=Names!B3,Names!C19,Names!D19)</f>
        <v>1Q24</v>
      </c>
      <c r="W2" s="21" t="str">
        <f>IF('Summary | Sumário'!D6=Names!B3,Names!C20,Names!D20)</f>
        <v>2Q24</v>
      </c>
      <c r="X2" s="21" t="str">
        <f>IF('Summary | Sumário'!D6=Names!B3,Names!C21,Names!D21)</f>
        <v>3Q24</v>
      </c>
      <c r="Y2" s="21" t="str">
        <f>IF('Summary | Sumário'!D6=Names!B3,Names!C22,Names!D22)</f>
        <v>4Q24</v>
      </c>
      <c r="Z2" s="21" t="str">
        <f>IF('Summary | Sumário'!D6=Names!B3,Names!C24,Names!D24)</f>
        <v>1Q25</v>
      </c>
      <c r="AA2" s="21" t="str">
        <f>IF('Summary | Sumário'!D6=Names!B3,Names!C25,Names!D25)</f>
        <v>2Q25</v>
      </c>
      <c r="AB2" s="269" t="str">
        <f>IF('Summary | Sumário'!D6=Names!B3,Names!C26,Names!D26)</f>
        <v>3Q25</v>
      </c>
      <c r="AC2" s="322"/>
      <c r="AD2" s="104" t="str">
        <f>IF('Summary | Sumário'!$D$6=Names!$B$3,Names!$I$24,Names!$J$24)</f>
        <v>QoQ Variation</v>
      </c>
      <c r="AE2" s="104" t="str">
        <f>IF('Summary | Sumário'!D6=Names!$B$3,Names!$I$25,Names!$J$25)</f>
        <v>YoY Variation</v>
      </c>
      <c r="AF2" s="11"/>
      <c r="AH2" s="12"/>
      <c r="AI2" s="13"/>
    </row>
    <row r="3" spans="1:1019 1032:2046 2059:3060 3073:4087 4100:5114 5127:6141 6154:7168 7181:8182 8195:9209 9222:10236 10249:11263 11276:12277 12290:13304 13317:14331 14344:15358 15371:16372" ht="13" customHeight="1">
      <c r="B3" s="14"/>
      <c r="C3" s="127"/>
      <c r="D3" s="127"/>
      <c r="E3" s="127"/>
      <c r="F3" s="127"/>
      <c r="G3" s="127"/>
      <c r="H3" s="127"/>
      <c r="I3" s="127"/>
      <c r="J3" s="127"/>
      <c r="K3" s="127"/>
      <c r="L3" s="127"/>
      <c r="M3" s="127"/>
      <c r="N3" s="127"/>
      <c r="O3" s="127"/>
      <c r="P3" s="127"/>
      <c r="Q3" s="127"/>
      <c r="R3" s="127"/>
      <c r="S3" s="127"/>
      <c r="T3" s="127"/>
      <c r="U3" s="127"/>
      <c r="V3" s="127"/>
      <c r="W3" s="127"/>
      <c r="X3" s="127"/>
      <c r="Y3" s="127"/>
      <c r="Z3" s="127"/>
      <c r="AA3" s="321"/>
      <c r="AB3" s="321"/>
      <c r="AC3" s="127"/>
      <c r="AD3" s="127"/>
      <c r="AE3" s="127"/>
    </row>
    <row r="4" spans="1:1019 1032:2046 2059:3060 3073:4087 4100:5114 5127:6141 6154:7168 7181:8182 8195:9209 9222:10236 10249:11263 11276:12277 12290:13304 13317:14331 14344:15358 15371:16372" ht="13" customHeight="1">
      <c r="A4" s="211"/>
      <c r="B4" s="16" t="str">
        <f>IF('Summary | Sumário'!D$6=Names!B$3,Names!M2,Names!N2)</f>
        <v>Interest income</v>
      </c>
      <c r="C4" s="187">
        <v>775515</v>
      </c>
      <c r="D4" s="187">
        <v>942655.89517999999</v>
      </c>
      <c r="E4" s="187">
        <v>1435428.2459999998</v>
      </c>
      <c r="F4" s="187">
        <v>2802658.0819999995</v>
      </c>
      <c r="G4" s="187">
        <v>4549827</v>
      </c>
      <c r="H4" s="187">
        <v>5139213</v>
      </c>
      <c r="I4" s="179"/>
      <c r="J4" s="187">
        <v>289003.935</v>
      </c>
      <c r="K4" s="187">
        <v>305659.75100000005</v>
      </c>
      <c r="L4" s="187">
        <v>367405.88</v>
      </c>
      <c r="M4" s="187">
        <v>473357.68</v>
      </c>
      <c r="N4" s="187">
        <v>521159.63199999993</v>
      </c>
      <c r="O4" s="187">
        <v>622312.6370000001</v>
      </c>
      <c r="P4" s="187">
        <v>788342.73100000003</v>
      </c>
      <c r="Q4" s="187">
        <v>870843.08199999994</v>
      </c>
      <c r="R4" s="187">
        <v>1012926.822</v>
      </c>
      <c r="S4" s="187">
        <v>1151105</v>
      </c>
      <c r="T4" s="187">
        <v>1106935.08874</v>
      </c>
      <c r="U4" s="187">
        <v>1278860.08926</v>
      </c>
      <c r="V4" s="187">
        <v>1217530.9999999998</v>
      </c>
      <c r="W4" s="187">
        <v>1172415.139</v>
      </c>
      <c r="X4" s="187">
        <v>1412226.140133633</v>
      </c>
      <c r="Y4" s="187">
        <v>1337040.7208663672</v>
      </c>
      <c r="Z4" s="187">
        <v>1806870</v>
      </c>
      <c r="AA4" s="187">
        <v>2128214</v>
      </c>
      <c r="AB4" s="187">
        <v>2226423</v>
      </c>
      <c r="AC4" s="187"/>
      <c r="AD4" s="332">
        <f>AB4/AA4-1</f>
        <v>4.6146205221843317E-2</v>
      </c>
      <c r="AE4" s="332">
        <f>AB4/X4-1</f>
        <v>0.57653433591685466</v>
      </c>
    </row>
    <row r="5" spans="1:1019 1032:2046 2059:3060 3073:4087 4100:5114 5127:6141 6154:7168 7181:8182 8195:9209 9222:10236 10249:11263 11276:12277 12290:13304 13317:14331 14344:15358 15371:16372" s="212" customFormat="1" ht="13" customHeight="1">
      <c r="A5" s="211"/>
      <c r="B5" s="22" t="str">
        <f>IF('Summary | Sumário'!D$6=Names!B$3,Names!M3,Names!N3)</f>
        <v>Interest expenses</v>
      </c>
      <c r="C5" s="234">
        <v>-256717</v>
      </c>
      <c r="D5" s="234">
        <v>-184335</v>
      </c>
      <c r="E5" s="234">
        <v>-543242</v>
      </c>
      <c r="F5" s="234">
        <v>-1972850</v>
      </c>
      <c r="G5" s="234">
        <v>-2887573</v>
      </c>
      <c r="H5" s="234">
        <v>-3311638.4190579997</v>
      </c>
      <c r="I5" s="179"/>
      <c r="J5" s="234">
        <v>-65559</v>
      </c>
      <c r="K5" s="234">
        <v>-86261</v>
      </c>
      <c r="L5" s="234">
        <v>-138587</v>
      </c>
      <c r="M5" s="234">
        <v>-252835</v>
      </c>
      <c r="N5" s="234">
        <v>-336771</v>
      </c>
      <c r="O5" s="234">
        <v>-465041</v>
      </c>
      <c r="P5" s="234">
        <v>-579678</v>
      </c>
      <c r="Q5" s="234">
        <v>-591360</v>
      </c>
      <c r="R5" s="234">
        <v>-672771</v>
      </c>
      <c r="S5" s="234">
        <v>-692206</v>
      </c>
      <c r="T5" s="234">
        <v>-770398</v>
      </c>
      <c r="U5" s="234">
        <v>-752198.00500000012</v>
      </c>
      <c r="V5" s="234">
        <v>-762246.89030000009</v>
      </c>
      <c r="W5" s="234">
        <v>-772642.60900000005</v>
      </c>
      <c r="X5" s="234">
        <v>-835616.71799999999</v>
      </c>
      <c r="Y5" s="234">
        <v>-941132.20175799984</v>
      </c>
      <c r="Z5" s="234">
        <v>-1179020</v>
      </c>
      <c r="AA5" s="234">
        <v>-1423958</v>
      </c>
      <c r="AB5" s="234">
        <v>-1653759</v>
      </c>
      <c r="AC5" s="187"/>
      <c r="AD5" s="502">
        <f t="shared" ref="AD5:AD7" si="0">AB5/AA5-1</f>
        <v>0.16138186659999798</v>
      </c>
      <c r="AE5" s="502">
        <f>AB5/X5-1</f>
        <v>0.97908797703111539</v>
      </c>
      <c r="AF5" s="116"/>
      <c r="AR5" s="213"/>
      <c r="BE5" s="213"/>
      <c r="BR5" s="213"/>
      <c r="CE5" s="213"/>
      <c r="CR5" s="213"/>
      <c r="DE5" s="213"/>
      <c r="DR5" s="213"/>
      <c r="EE5" s="213"/>
      <c r="ER5" s="213"/>
      <c r="FE5" s="213"/>
      <c r="FR5" s="213"/>
      <c r="GE5" s="213"/>
      <c r="GR5" s="213"/>
      <c r="HE5" s="213"/>
      <c r="HR5" s="213"/>
      <c r="IE5" s="213"/>
      <c r="IR5" s="213"/>
      <c r="JE5" s="213"/>
      <c r="JR5" s="213"/>
      <c r="KE5" s="213"/>
      <c r="KR5" s="213"/>
      <c r="LE5" s="213"/>
      <c r="LR5" s="213"/>
      <c r="ME5" s="213"/>
      <c r="MR5" s="213"/>
      <c r="NE5" s="213"/>
      <c r="NR5" s="213"/>
      <c r="OE5" s="213"/>
      <c r="OR5" s="213"/>
      <c r="PE5" s="213"/>
      <c r="PR5" s="213"/>
      <c r="QE5" s="213"/>
      <c r="QR5" s="213"/>
      <c r="RE5" s="213"/>
      <c r="RR5" s="213"/>
      <c r="SE5" s="213"/>
      <c r="SR5" s="213"/>
      <c r="TE5" s="213"/>
      <c r="TR5" s="213"/>
      <c r="UE5" s="213"/>
      <c r="UR5" s="213"/>
      <c r="VE5" s="213"/>
      <c r="VR5" s="213"/>
      <c r="WE5" s="213"/>
      <c r="WR5" s="213"/>
      <c r="XE5" s="213"/>
      <c r="XR5" s="213"/>
      <c r="YE5" s="213"/>
      <c r="YR5" s="213"/>
      <c r="ZE5" s="213"/>
      <c r="ZR5" s="213"/>
      <c r="AAE5" s="213"/>
      <c r="AAR5" s="213"/>
      <c r="ABE5" s="213"/>
      <c r="ABR5" s="213"/>
      <c r="ACE5" s="213"/>
      <c r="ACR5" s="213"/>
      <c r="ADE5" s="213"/>
      <c r="ADR5" s="213"/>
      <c r="AEE5" s="213"/>
      <c r="AER5" s="213"/>
      <c r="AFE5" s="213"/>
      <c r="AFR5" s="213"/>
      <c r="AGE5" s="213"/>
      <c r="AGR5" s="213"/>
      <c r="AHE5" s="213"/>
      <c r="AHR5" s="213"/>
      <c r="AIE5" s="213"/>
      <c r="AIR5" s="213"/>
      <c r="AJE5" s="213"/>
      <c r="AJR5" s="213"/>
      <c r="AKE5" s="213"/>
      <c r="AKR5" s="213"/>
      <c r="ALE5" s="213"/>
      <c r="ALR5" s="213"/>
      <c r="AME5" s="213"/>
      <c r="AMR5" s="213"/>
      <c r="ANE5" s="213"/>
      <c r="ANR5" s="213"/>
      <c r="AOE5" s="213"/>
      <c r="AOR5" s="213"/>
      <c r="APE5" s="213"/>
      <c r="APR5" s="213"/>
      <c r="AQE5" s="213"/>
      <c r="AQR5" s="213"/>
      <c r="ARE5" s="213"/>
      <c r="ARR5" s="213"/>
      <c r="ASE5" s="213"/>
      <c r="ASR5" s="213"/>
      <c r="ATE5" s="213"/>
      <c r="ATR5" s="213"/>
      <c r="AUE5" s="213"/>
      <c r="AUR5" s="213"/>
      <c r="AVE5" s="213"/>
      <c r="AVR5" s="213"/>
      <c r="AWE5" s="213"/>
      <c r="AWR5" s="213"/>
      <c r="AXE5" s="213"/>
      <c r="AXR5" s="213"/>
      <c r="AYE5" s="213"/>
      <c r="AYR5" s="213"/>
      <c r="AZE5" s="213"/>
      <c r="AZR5" s="213"/>
      <c r="BAE5" s="213"/>
      <c r="BAR5" s="213"/>
      <c r="BBE5" s="213"/>
      <c r="BBR5" s="213"/>
      <c r="BCE5" s="213"/>
      <c r="BCR5" s="213"/>
      <c r="BDE5" s="213"/>
      <c r="BDR5" s="213"/>
      <c r="BEE5" s="213"/>
      <c r="BER5" s="213"/>
      <c r="BFE5" s="213"/>
      <c r="BFR5" s="213"/>
      <c r="BGE5" s="213"/>
      <c r="BGR5" s="213"/>
      <c r="BHE5" s="213"/>
      <c r="BHR5" s="213"/>
      <c r="BIE5" s="213"/>
      <c r="BIR5" s="213"/>
      <c r="BJE5" s="213"/>
      <c r="BJR5" s="213"/>
      <c r="BKE5" s="213"/>
      <c r="BKR5" s="213"/>
      <c r="BLE5" s="213"/>
      <c r="BLR5" s="213"/>
      <c r="BME5" s="213"/>
      <c r="BMR5" s="213"/>
      <c r="BNE5" s="213"/>
      <c r="BNR5" s="213"/>
      <c r="BOE5" s="213"/>
      <c r="BOR5" s="213"/>
      <c r="BPE5" s="213"/>
      <c r="BPR5" s="213"/>
      <c r="BQE5" s="213"/>
      <c r="BQR5" s="213"/>
      <c r="BRE5" s="213"/>
      <c r="BRR5" s="213"/>
      <c r="BSE5" s="213"/>
      <c r="BSR5" s="213"/>
      <c r="BTE5" s="213"/>
      <c r="BTR5" s="213"/>
      <c r="BUE5" s="213"/>
      <c r="BUR5" s="213"/>
      <c r="BVE5" s="213"/>
      <c r="BVR5" s="213"/>
      <c r="BWE5" s="213"/>
      <c r="BWR5" s="213"/>
      <c r="BXE5" s="213"/>
      <c r="BXR5" s="213"/>
      <c r="BYE5" s="213"/>
      <c r="BYR5" s="213"/>
      <c r="BZE5" s="213"/>
      <c r="BZR5" s="213"/>
      <c r="CAE5" s="213"/>
      <c r="CAR5" s="213"/>
      <c r="CBE5" s="213"/>
      <c r="CBR5" s="213"/>
      <c r="CCE5" s="213"/>
      <c r="CCR5" s="213"/>
      <c r="CDE5" s="213"/>
      <c r="CDR5" s="213"/>
      <c r="CEE5" s="213"/>
      <c r="CER5" s="213"/>
      <c r="CFE5" s="213"/>
      <c r="CFR5" s="213"/>
      <c r="CGE5" s="213"/>
      <c r="CGR5" s="213"/>
      <c r="CHE5" s="213"/>
      <c r="CHR5" s="213"/>
      <c r="CIE5" s="213"/>
      <c r="CIR5" s="213"/>
      <c r="CJE5" s="213"/>
      <c r="CJR5" s="213"/>
      <c r="CKE5" s="213"/>
      <c r="CKR5" s="213"/>
      <c r="CLE5" s="213"/>
      <c r="CLR5" s="213"/>
      <c r="CME5" s="213"/>
      <c r="CMR5" s="213"/>
      <c r="CNE5" s="213"/>
      <c r="CNR5" s="213"/>
      <c r="COE5" s="213"/>
      <c r="COR5" s="213"/>
      <c r="CPE5" s="213"/>
      <c r="CPR5" s="213"/>
      <c r="CQE5" s="213"/>
      <c r="CQR5" s="213"/>
      <c r="CRE5" s="213"/>
      <c r="CRR5" s="213"/>
      <c r="CSE5" s="213"/>
      <c r="CSR5" s="213"/>
      <c r="CTE5" s="213"/>
      <c r="CTR5" s="213"/>
      <c r="CUE5" s="213"/>
      <c r="CUR5" s="213"/>
      <c r="CVE5" s="213"/>
      <c r="CVR5" s="213"/>
      <c r="CWE5" s="213"/>
      <c r="CWR5" s="213"/>
      <c r="CXE5" s="213"/>
      <c r="CXR5" s="213"/>
      <c r="CYE5" s="213"/>
      <c r="CYR5" s="213"/>
      <c r="CZE5" s="213"/>
      <c r="CZR5" s="213"/>
      <c r="DAE5" s="213"/>
      <c r="DAR5" s="213"/>
      <c r="DBE5" s="213"/>
      <c r="DBR5" s="213"/>
      <c r="DCE5" s="213"/>
      <c r="DCR5" s="213"/>
      <c r="DDE5" s="213"/>
      <c r="DDR5" s="213"/>
      <c r="DEE5" s="213"/>
      <c r="DER5" s="213"/>
      <c r="DFE5" s="213"/>
      <c r="DFR5" s="213"/>
      <c r="DGE5" s="213"/>
      <c r="DGR5" s="213"/>
      <c r="DHE5" s="213"/>
      <c r="DHR5" s="213"/>
      <c r="DIE5" s="213"/>
      <c r="DIR5" s="213"/>
      <c r="DJE5" s="213"/>
      <c r="DJR5" s="213"/>
      <c r="DKE5" s="213"/>
      <c r="DKR5" s="213"/>
      <c r="DLE5" s="213"/>
      <c r="DLR5" s="213"/>
      <c r="DME5" s="213"/>
      <c r="DMR5" s="213"/>
      <c r="DNE5" s="213"/>
      <c r="DNR5" s="213"/>
      <c r="DOE5" s="213"/>
      <c r="DOR5" s="213"/>
      <c r="DPE5" s="213"/>
      <c r="DPR5" s="213"/>
      <c r="DQE5" s="213"/>
      <c r="DQR5" s="213"/>
      <c r="DRE5" s="213"/>
      <c r="DRR5" s="213"/>
      <c r="DSE5" s="213"/>
      <c r="DSR5" s="213"/>
      <c r="DTE5" s="213"/>
      <c r="DTR5" s="213"/>
      <c r="DUE5" s="213"/>
      <c r="DUR5" s="213"/>
      <c r="DVE5" s="213"/>
      <c r="DVR5" s="213"/>
      <c r="DWE5" s="213"/>
      <c r="DWR5" s="213"/>
      <c r="DXE5" s="213"/>
      <c r="DXR5" s="213"/>
      <c r="DYE5" s="213"/>
      <c r="DYR5" s="213"/>
      <c r="DZE5" s="213"/>
      <c r="DZR5" s="213"/>
      <c r="EAE5" s="213"/>
      <c r="EAR5" s="213"/>
      <c r="EBE5" s="213"/>
      <c r="EBR5" s="213"/>
      <c r="ECE5" s="213"/>
      <c r="ECR5" s="213"/>
      <c r="EDE5" s="213"/>
      <c r="EDR5" s="213"/>
      <c r="EEE5" s="213"/>
      <c r="EER5" s="213"/>
      <c r="EFE5" s="213"/>
      <c r="EFR5" s="213"/>
      <c r="EGE5" s="213"/>
      <c r="EGR5" s="213"/>
      <c r="EHE5" s="213"/>
      <c r="EHR5" s="213"/>
      <c r="EIE5" s="213"/>
      <c r="EIR5" s="213"/>
      <c r="EJE5" s="213"/>
      <c r="EJR5" s="213"/>
      <c r="EKE5" s="213"/>
      <c r="EKR5" s="213"/>
      <c r="ELE5" s="213"/>
      <c r="ELR5" s="213"/>
      <c r="EME5" s="213"/>
      <c r="EMR5" s="213"/>
      <c r="ENE5" s="213"/>
      <c r="ENR5" s="213"/>
      <c r="EOE5" s="213"/>
      <c r="EOR5" s="213"/>
      <c r="EPE5" s="213"/>
      <c r="EPR5" s="213"/>
      <c r="EQE5" s="213"/>
      <c r="EQR5" s="213"/>
      <c r="ERE5" s="213"/>
      <c r="ERR5" s="213"/>
      <c r="ESE5" s="213"/>
      <c r="ESR5" s="213"/>
      <c r="ETE5" s="213"/>
      <c r="ETR5" s="213"/>
      <c r="EUE5" s="213"/>
      <c r="EUR5" s="213"/>
      <c r="EVE5" s="213"/>
      <c r="EVR5" s="213"/>
      <c r="EWE5" s="213"/>
      <c r="EWR5" s="213"/>
      <c r="EXE5" s="213"/>
      <c r="EXR5" s="213"/>
      <c r="EYE5" s="213"/>
      <c r="EYR5" s="213"/>
      <c r="EZE5" s="213"/>
      <c r="EZR5" s="213"/>
      <c r="FAE5" s="213"/>
      <c r="FAR5" s="213"/>
      <c r="FBE5" s="213"/>
      <c r="FBR5" s="213"/>
      <c r="FCE5" s="213"/>
      <c r="FCR5" s="213"/>
      <c r="FDE5" s="213"/>
      <c r="FDR5" s="213"/>
      <c r="FEE5" s="213"/>
      <c r="FER5" s="213"/>
      <c r="FFE5" s="213"/>
      <c r="FFR5" s="213"/>
      <c r="FGE5" s="213"/>
      <c r="FGR5" s="213"/>
      <c r="FHE5" s="213"/>
      <c r="FHR5" s="213"/>
      <c r="FIE5" s="213"/>
      <c r="FIR5" s="213"/>
      <c r="FJE5" s="213"/>
      <c r="FJR5" s="213"/>
      <c r="FKE5" s="213"/>
      <c r="FKR5" s="213"/>
      <c r="FLE5" s="213"/>
      <c r="FLR5" s="213"/>
      <c r="FME5" s="213"/>
      <c r="FMR5" s="213"/>
      <c r="FNE5" s="213"/>
      <c r="FNR5" s="213"/>
      <c r="FOE5" s="213"/>
      <c r="FOR5" s="213"/>
      <c r="FPE5" s="213"/>
      <c r="FPR5" s="213"/>
      <c r="FQE5" s="213"/>
      <c r="FQR5" s="213"/>
      <c r="FRE5" s="213"/>
      <c r="FRR5" s="213"/>
      <c r="FSE5" s="213"/>
      <c r="FSR5" s="213"/>
      <c r="FTE5" s="213"/>
      <c r="FTR5" s="213"/>
      <c r="FUE5" s="213"/>
      <c r="FUR5" s="213"/>
      <c r="FVE5" s="213"/>
      <c r="FVR5" s="213"/>
      <c r="FWE5" s="213"/>
      <c r="FWR5" s="213"/>
      <c r="FXE5" s="213"/>
      <c r="FXR5" s="213"/>
      <c r="FYE5" s="213"/>
      <c r="FYR5" s="213"/>
      <c r="FZE5" s="213"/>
      <c r="FZR5" s="213"/>
      <c r="GAE5" s="213"/>
      <c r="GAR5" s="213"/>
      <c r="GBE5" s="213"/>
      <c r="GBR5" s="213"/>
      <c r="GCE5" s="213"/>
      <c r="GCR5" s="213"/>
      <c r="GDE5" s="213"/>
      <c r="GDR5" s="213"/>
      <c r="GEE5" s="213"/>
      <c r="GER5" s="213"/>
      <c r="GFE5" s="213"/>
      <c r="GFR5" s="213"/>
      <c r="GGE5" s="213"/>
      <c r="GGR5" s="213"/>
      <c r="GHE5" s="213"/>
      <c r="GHR5" s="213"/>
      <c r="GIE5" s="213"/>
      <c r="GIR5" s="213"/>
      <c r="GJE5" s="213"/>
      <c r="GJR5" s="213"/>
      <c r="GKE5" s="213"/>
      <c r="GKR5" s="213"/>
      <c r="GLE5" s="213"/>
      <c r="GLR5" s="213"/>
      <c r="GME5" s="213"/>
      <c r="GMR5" s="213"/>
      <c r="GNE5" s="213"/>
      <c r="GNR5" s="213"/>
      <c r="GOE5" s="213"/>
      <c r="GOR5" s="213"/>
      <c r="GPE5" s="213"/>
      <c r="GPR5" s="213"/>
      <c r="GQE5" s="213"/>
      <c r="GQR5" s="213"/>
      <c r="GRE5" s="213"/>
      <c r="GRR5" s="213"/>
      <c r="GSE5" s="213"/>
      <c r="GSR5" s="213"/>
      <c r="GTE5" s="213"/>
      <c r="GTR5" s="213"/>
      <c r="GUE5" s="213"/>
      <c r="GUR5" s="213"/>
      <c r="GVE5" s="213"/>
      <c r="GVR5" s="213"/>
      <c r="GWE5" s="213"/>
      <c r="GWR5" s="213"/>
      <c r="GXE5" s="213"/>
      <c r="GXR5" s="213"/>
      <c r="GYE5" s="213"/>
      <c r="GYR5" s="213"/>
      <c r="GZE5" s="213"/>
      <c r="GZR5" s="213"/>
      <c r="HAE5" s="213"/>
      <c r="HAR5" s="213"/>
      <c r="HBE5" s="213"/>
      <c r="HBR5" s="213"/>
      <c r="HCE5" s="213"/>
      <c r="HCR5" s="213"/>
      <c r="HDE5" s="213"/>
      <c r="HDR5" s="213"/>
      <c r="HEE5" s="213"/>
      <c r="HER5" s="213"/>
      <c r="HFE5" s="213"/>
      <c r="HFR5" s="213"/>
      <c r="HGE5" s="213"/>
      <c r="HGR5" s="213"/>
      <c r="HHE5" s="213"/>
      <c r="HHR5" s="213"/>
      <c r="HIE5" s="213"/>
      <c r="HIR5" s="213"/>
      <c r="HJE5" s="213"/>
      <c r="HJR5" s="213"/>
      <c r="HKE5" s="213"/>
      <c r="HKR5" s="213"/>
      <c r="HLE5" s="213"/>
      <c r="HLR5" s="213"/>
      <c r="HME5" s="213"/>
      <c r="HMR5" s="213"/>
      <c r="HNE5" s="213"/>
      <c r="HNR5" s="213"/>
      <c r="HOE5" s="213"/>
      <c r="HOR5" s="213"/>
      <c r="HPE5" s="213"/>
      <c r="HPR5" s="213"/>
      <c r="HQE5" s="213"/>
      <c r="HQR5" s="213"/>
      <c r="HRE5" s="213"/>
      <c r="HRR5" s="213"/>
      <c r="HSE5" s="213"/>
      <c r="HSR5" s="213"/>
      <c r="HTE5" s="213"/>
      <c r="HTR5" s="213"/>
      <c r="HUE5" s="213"/>
      <c r="HUR5" s="213"/>
      <c r="HVE5" s="213"/>
      <c r="HVR5" s="213"/>
      <c r="HWE5" s="213"/>
      <c r="HWR5" s="213"/>
      <c r="HXE5" s="213"/>
      <c r="HXR5" s="213"/>
      <c r="HYE5" s="213"/>
      <c r="HYR5" s="213"/>
      <c r="HZE5" s="213"/>
      <c r="HZR5" s="213"/>
      <c r="IAE5" s="213"/>
      <c r="IAR5" s="213"/>
      <c r="IBE5" s="213"/>
      <c r="IBR5" s="213"/>
      <c r="ICE5" s="213"/>
      <c r="ICR5" s="213"/>
      <c r="IDE5" s="213"/>
      <c r="IDR5" s="213"/>
      <c r="IEE5" s="213"/>
      <c r="IER5" s="213"/>
      <c r="IFE5" s="213"/>
      <c r="IFR5" s="213"/>
      <c r="IGE5" s="213"/>
      <c r="IGR5" s="213"/>
      <c r="IHE5" s="213"/>
      <c r="IHR5" s="213"/>
      <c r="IIE5" s="213"/>
      <c r="IIR5" s="213"/>
      <c r="IJE5" s="213"/>
      <c r="IJR5" s="213"/>
      <c r="IKE5" s="213"/>
      <c r="IKR5" s="213"/>
      <c r="ILE5" s="213"/>
      <c r="ILR5" s="213"/>
      <c r="IME5" s="213"/>
      <c r="IMR5" s="213"/>
      <c r="INE5" s="213"/>
      <c r="INR5" s="213"/>
      <c r="IOE5" s="213"/>
      <c r="IOR5" s="213"/>
      <c r="IPE5" s="213"/>
      <c r="IPR5" s="213"/>
      <c r="IQE5" s="213"/>
      <c r="IQR5" s="213"/>
      <c r="IRE5" s="213"/>
      <c r="IRR5" s="213"/>
      <c r="ISE5" s="213"/>
      <c r="ISR5" s="213"/>
      <c r="ITE5" s="213"/>
      <c r="ITR5" s="213"/>
      <c r="IUE5" s="213"/>
      <c r="IUR5" s="213"/>
      <c r="IVE5" s="213"/>
      <c r="IVR5" s="213"/>
      <c r="IWE5" s="213"/>
      <c r="IWR5" s="213"/>
      <c r="IXE5" s="213"/>
      <c r="IXR5" s="213"/>
      <c r="IYE5" s="213"/>
      <c r="IYR5" s="213"/>
      <c r="IZE5" s="213"/>
      <c r="IZR5" s="213"/>
      <c r="JAE5" s="213"/>
      <c r="JAR5" s="213"/>
      <c r="JBE5" s="213"/>
      <c r="JBR5" s="213"/>
      <c r="JCE5" s="213"/>
      <c r="JCR5" s="213"/>
      <c r="JDE5" s="213"/>
      <c r="JDR5" s="213"/>
      <c r="JEE5" s="213"/>
      <c r="JER5" s="213"/>
      <c r="JFE5" s="213"/>
      <c r="JFR5" s="213"/>
      <c r="JGE5" s="213"/>
      <c r="JGR5" s="213"/>
      <c r="JHE5" s="213"/>
      <c r="JHR5" s="213"/>
      <c r="JIE5" s="213"/>
      <c r="JIR5" s="213"/>
      <c r="JJE5" s="213"/>
      <c r="JJR5" s="213"/>
      <c r="JKE5" s="213"/>
      <c r="JKR5" s="213"/>
      <c r="JLE5" s="213"/>
      <c r="JLR5" s="213"/>
      <c r="JME5" s="213"/>
      <c r="JMR5" s="213"/>
      <c r="JNE5" s="213"/>
      <c r="JNR5" s="213"/>
      <c r="JOE5" s="213"/>
      <c r="JOR5" s="213"/>
      <c r="JPE5" s="213"/>
      <c r="JPR5" s="213"/>
      <c r="JQE5" s="213"/>
      <c r="JQR5" s="213"/>
      <c r="JRE5" s="213"/>
      <c r="JRR5" s="213"/>
      <c r="JSE5" s="213"/>
      <c r="JSR5" s="213"/>
      <c r="JTE5" s="213"/>
      <c r="JTR5" s="213"/>
      <c r="JUE5" s="213"/>
      <c r="JUR5" s="213"/>
      <c r="JVE5" s="213"/>
      <c r="JVR5" s="213"/>
      <c r="JWE5" s="213"/>
      <c r="JWR5" s="213"/>
      <c r="JXE5" s="213"/>
      <c r="JXR5" s="213"/>
      <c r="JYE5" s="213"/>
      <c r="JYR5" s="213"/>
      <c r="JZE5" s="213"/>
      <c r="JZR5" s="213"/>
      <c r="KAE5" s="213"/>
      <c r="KAR5" s="213"/>
      <c r="KBE5" s="213"/>
      <c r="KBR5" s="213"/>
      <c r="KCE5" s="213"/>
      <c r="KCR5" s="213"/>
      <c r="KDE5" s="213"/>
      <c r="KDR5" s="213"/>
      <c r="KEE5" s="213"/>
      <c r="KER5" s="213"/>
      <c r="KFE5" s="213"/>
      <c r="KFR5" s="213"/>
      <c r="KGE5" s="213"/>
      <c r="KGR5" s="213"/>
      <c r="KHE5" s="213"/>
      <c r="KHR5" s="213"/>
      <c r="KIE5" s="213"/>
      <c r="KIR5" s="213"/>
      <c r="KJE5" s="213"/>
      <c r="KJR5" s="213"/>
      <c r="KKE5" s="213"/>
      <c r="KKR5" s="213"/>
      <c r="KLE5" s="213"/>
      <c r="KLR5" s="213"/>
      <c r="KME5" s="213"/>
      <c r="KMR5" s="213"/>
      <c r="KNE5" s="213"/>
      <c r="KNR5" s="213"/>
      <c r="KOE5" s="213"/>
      <c r="KOR5" s="213"/>
      <c r="KPE5" s="213"/>
      <c r="KPR5" s="213"/>
      <c r="KQE5" s="213"/>
      <c r="KQR5" s="213"/>
      <c r="KRE5" s="213"/>
      <c r="KRR5" s="213"/>
      <c r="KSE5" s="213"/>
      <c r="KSR5" s="213"/>
      <c r="KTE5" s="213"/>
      <c r="KTR5" s="213"/>
      <c r="KUE5" s="213"/>
      <c r="KUR5" s="213"/>
      <c r="KVE5" s="213"/>
      <c r="KVR5" s="213"/>
      <c r="KWE5" s="213"/>
      <c r="KWR5" s="213"/>
      <c r="KXE5" s="213"/>
      <c r="KXR5" s="213"/>
      <c r="KYE5" s="213"/>
      <c r="KYR5" s="213"/>
      <c r="KZE5" s="213"/>
      <c r="KZR5" s="213"/>
      <c r="LAE5" s="213"/>
      <c r="LAR5" s="213"/>
      <c r="LBE5" s="213"/>
      <c r="LBR5" s="213"/>
      <c r="LCE5" s="213"/>
      <c r="LCR5" s="213"/>
      <c r="LDE5" s="213"/>
      <c r="LDR5" s="213"/>
      <c r="LEE5" s="213"/>
      <c r="LER5" s="213"/>
      <c r="LFE5" s="213"/>
      <c r="LFR5" s="213"/>
      <c r="LGE5" s="213"/>
      <c r="LGR5" s="213"/>
      <c r="LHE5" s="213"/>
      <c r="LHR5" s="213"/>
      <c r="LIE5" s="213"/>
      <c r="LIR5" s="213"/>
      <c r="LJE5" s="213"/>
      <c r="LJR5" s="213"/>
      <c r="LKE5" s="213"/>
      <c r="LKR5" s="213"/>
      <c r="LLE5" s="213"/>
      <c r="LLR5" s="213"/>
      <c r="LME5" s="213"/>
      <c r="LMR5" s="213"/>
      <c r="LNE5" s="213"/>
      <c r="LNR5" s="213"/>
      <c r="LOE5" s="213"/>
      <c r="LOR5" s="213"/>
      <c r="LPE5" s="213"/>
      <c r="LPR5" s="213"/>
      <c r="LQE5" s="213"/>
      <c r="LQR5" s="213"/>
      <c r="LRE5" s="213"/>
      <c r="LRR5" s="213"/>
      <c r="LSE5" s="213"/>
      <c r="LSR5" s="213"/>
      <c r="LTE5" s="213"/>
      <c r="LTR5" s="213"/>
      <c r="LUE5" s="213"/>
      <c r="LUR5" s="213"/>
      <c r="LVE5" s="213"/>
      <c r="LVR5" s="213"/>
      <c r="LWE5" s="213"/>
      <c r="LWR5" s="213"/>
      <c r="LXE5" s="213"/>
      <c r="LXR5" s="213"/>
      <c r="LYE5" s="213"/>
      <c r="LYR5" s="213"/>
      <c r="LZE5" s="213"/>
      <c r="LZR5" s="213"/>
      <c r="MAE5" s="213"/>
      <c r="MAR5" s="213"/>
      <c r="MBE5" s="213"/>
      <c r="MBR5" s="213"/>
      <c r="MCE5" s="213"/>
      <c r="MCR5" s="213"/>
      <c r="MDE5" s="213"/>
      <c r="MDR5" s="213"/>
      <c r="MEE5" s="213"/>
      <c r="MER5" s="213"/>
      <c r="MFE5" s="213"/>
      <c r="MFR5" s="213"/>
      <c r="MGE5" s="213"/>
      <c r="MGR5" s="213"/>
      <c r="MHE5" s="213"/>
      <c r="MHR5" s="213"/>
      <c r="MIE5" s="213"/>
      <c r="MIR5" s="213"/>
      <c r="MJE5" s="213"/>
      <c r="MJR5" s="213"/>
      <c r="MKE5" s="213"/>
      <c r="MKR5" s="213"/>
      <c r="MLE5" s="213"/>
      <c r="MLR5" s="213"/>
      <c r="MME5" s="213"/>
      <c r="MMR5" s="213"/>
      <c r="MNE5" s="213"/>
      <c r="MNR5" s="213"/>
      <c r="MOE5" s="213"/>
      <c r="MOR5" s="213"/>
      <c r="MPE5" s="213"/>
      <c r="MPR5" s="213"/>
      <c r="MQE5" s="213"/>
      <c r="MQR5" s="213"/>
      <c r="MRE5" s="213"/>
      <c r="MRR5" s="213"/>
      <c r="MSE5" s="213"/>
      <c r="MSR5" s="213"/>
      <c r="MTE5" s="213"/>
      <c r="MTR5" s="213"/>
      <c r="MUE5" s="213"/>
      <c r="MUR5" s="213"/>
      <c r="MVE5" s="213"/>
      <c r="MVR5" s="213"/>
      <c r="MWE5" s="213"/>
      <c r="MWR5" s="213"/>
      <c r="MXE5" s="213"/>
      <c r="MXR5" s="213"/>
      <c r="MYE5" s="213"/>
      <c r="MYR5" s="213"/>
      <c r="MZE5" s="213"/>
      <c r="MZR5" s="213"/>
      <c r="NAE5" s="213"/>
      <c r="NAR5" s="213"/>
      <c r="NBE5" s="213"/>
      <c r="NBR5" s="213"/>
      <c r="NCE5" s="213"/>
      <c r="NCR5" s="213"/>
      <c r="NDE5" s="213"/>
      <c r="NDR5" s="213"/>
      <c r="NEE5" s="213"/>
      <c r="NER5" s="213"/>
      <c r="NFE5" s="213"/>
      <c r="NFR5" s="213"/>
      <c r="NGE5" s="213"/>
      <c r="NGR5" s="213"/>
      <c r="NHE5" s="213"/>
      <c r="NHR5" s="213"/>
      <c r="NIE5" s="213"/>
      <c r="NIR5" s="213"/>
      <c r="NJE5" s="213"/>
      <c r="NJR5" s="213"/>
      <c r="NKE5" s="213"/>
      <c r="NKR5" s="213"/>
      <c r="NLE5" s="213"/>
      <c r="NLR5" s="213"/>
      <c r="NME5" s="213"/>
      <c r="NMR5" s="213"/>
      <c r="NNE5" s="213"/>
      <c r="NNR5" s="213"/>
      <c r="NOE5" s="213"/>
      <c r="NOR5" s="213"/>
      <c r="NPE5" s="213"/>
      <c r="NPR5" s="213"/>
      <c r="NQE5" s="213"/>
      <c r="NQR5" s="213"/>
      <c r="NRE5" s="213"/>
      <c r="NRR5" s="213"/>
      <c r="NSE5" s="213"/>
      <c r="NSR5" s="213"/>
      <c r="NTE5" s="213"/>
      <c r="NTR5" s="213"/>
      <c r="NUE5" s="213"/>
      <c r="NUR5" s="213"/>
      <c r="NVE5" s="213"/>
      <c r="NVR5" s="213"/>
      <c r="NWE5" s="213"/>
      <c r="NWR5" s="213"/>
      <c r="NXE5" s="213"/>
      <c r="NXR5" s="213"/>
      <c r="NYE5" s="213"/>
      <c r="NYR5" s="213"/>
      <c r="NZE5" s="213"/>
      <c r="NZR5" s="213"/>
      <c r="OAE5" s="213"/>
      <c r="OAR5" s="213"/>
      <c r="OBE5" s="213"/>
      <c r="OBR5" s="213"/>
      <c r="OCE5" s="213"/>
      <c r="OCR5" s="213"/>
      <c r="ODE5" s="213"/>
      <c r="ODR5" s="213"/>
      <c r="OEE5" s="213"/>
      <c r="OER5" s="213"/>
      <c r="OFE5" s="213"/>
      <c r="OFR5" s="213"/>
      <c r="OGE5" s="213"/>
      <c r="OGR5" s="213"/>
      <c r="OHE5" s="213"/>
      <c r="OHR5" s="213"/>
      <c r="OIE5" s="213"/>
      <c r="OIR5" s="213"/>
      <c r="OJE5" s="213"/>
      <c r="OJR5" s="213"/>
      <c r="OKE5" s="213"/>
      <c r="OKR5" s="213"/>
      <c r="OLE5" s="213"/>
      <c r="OLR5" s="213"/>
      <c r="OME5" s="213"/>
      <c r="OMR5" s="213"/>
      <c r="ONE5" s="213"/>
      <c r="ONR5" s="213"/>
      <c r="OOE5" s="213"/>
      <c r="OOR5" s="213"/>
      <c r="OPE5" s="213"/>
      <c r="OPR5" s="213"/>
      <c r="OQE5" s="213"/>
      <c r="OQR5" s="213"/>
      <c r="ORE5" s="213"/>
      <c r="ORR5" s="213"/>
      <c r="OSE5" s="213"/>
      <c r="OSR5" s="213"/>
      <c r="OTE5" s="213"/>
      <c r="OTR5" s="213"/>
      <c r="OUE5" s="213"/>
      <c r="OUR5" s="213"/>
      <c r="OVE5" s="213"/>
      <c r="OVR5" s="213"/>
      <c r="OWE5" s="213"/>
      <c r="OWR5" s="213"/>
      <c r="OXE5" s="213"/>
      <c r="OXR5" s="213"/>
      <c r="OYE5" s="213"/>
      <c r="OYR5" s="213"/>
      <c r="OZE5" s="213"/>
      <c r="OZR5" s="213"/>
      <c r="PAE5" s="213"/>
      <c r="PAR5" s="213"/>
      <c r="PBE5" s="213"/>
      <c r="PBR5" s="213"/>
      <c r="PCE5" s="213"/>
      <c r="PCR5" s="213"/>
      <c r="PDE5" s="213"/>
      <c r="PDR5" s="213"/>
      <c r="PEE5" s="213"/>
      <c r="PER5" s="213"/>
      <c r="PFE5" s="213"/>
      <c r="PFR5" s="213"/>
      <c r="PGE5" s="213"/>
      <c r="PGR5" s="213"/>
      <c r="PHE5" s="213"/>
      <c r="PHR5" s="213"/>
      <c r="PIE5" s="213"/>
      <c r="PIR5" s="213"/>
      <c r="PJE5" s="213"/>
      <c r="PJR5" s="213"/>
      <c r="PKE5" s="213"/>
      <c r="PKR5" s="213"/>
      <c r="PLE5" s="213"/>
      <c r="PLR5" s="213"/>
      <c r="PME5" s="213"/>
      <c r="PMR5" s="213"/>
      <c r="PNE5" s="213"/>
      <c r="PNR5" s="213"/>
      <c r="POE5" s="213"/>
      <c r="POR5" s="213"/>
      <c r="PPE5" s="213"/>
      <c r="PPR5" s="213"/>
      <c r="PQE5" s="213"/>
      <c r="PQR5" s="213"/>
      <c r="PRE5" s="213"/>
      <c r="PRR5" s="213"/>
      <c r="PSE5" s="213"/>
      <c r="PSR5" s="213"/>
      <c r="PTE5" s="213"/>
      <c r="PTR5" s="213"/>
      <c r="PUE5" s="213"/>
      <c r="PUR5" s="213"/>
      <c r="PVE5" s="213"/>
      <c r="PVR5" s="213"/>
      <c r="PWE5" s="213"/>
      <c r="PWR5" s="213"/>
      <c r="PXE5" s="213"/>
      <c r="PXR5" s="213"/>
      <c r="PYE5" s="213"/>
      <c r="PYR5" s="213"/>
      <c r="PZE5" s="213"/>
      <c r="PZR5" s="213"/>
      <c r="QAE5" s="213"/>
      <c r="QAR5" s="213"/>
      <c r="QBE5" s="213"/>
      <c r="QBR5" s="213"/>
      <c r="QCE5" s="213"/>
      <c r="QCR5" s="213"/>
      <c r="QDE5" s="213"/>
      <c r="QDR5" s="213"/>
      <c r="QEE5" s="213"/>
      <c r="QER5" s="213"/>
      <c r="QFE5" s="213"/>
      <c r="QFR5" s="213"/>
      <c r="QGE5" s="213"/>
      <c r="QGR5" s="213"/>
      <c r="QHE5" s="213"/>
      <c r="QHR5" s="213"/>
      <c r="QIE5" s="213"/>
      <c r="QIR5" s="213"/>
      <c r="QJE5" s="213"/>
      <c r="QJR5" s="213"/>
      <c r="QKE5" s="213"/>
      <c r="QKR5" s="213"/>
      <c r="QLE5" s="213"/>
      <c r="QLR5" s="213"/>
      <c r="QME5" s="213"/>
      <c r="QMR5" s="213"/>
      <c r="QNE5" s="213"/>
      <c r="QNR5" s="213"/>
      <c r="QOE5" s="213"/>
      <c r="QOR5" s="213"/>
      <c r="QPE5" s="213"/>
      <c r="QPR5" s="213"/>
      <c r="QQE5" s="213"/>
      <c r="QQR5" s="213"/>
      <c r="QRE5" s="213"/>
      <c r="QRR5" s="213"/>
      <c r="QSE5" s="213"/>
      <c r="QSR5" s="213"/>
      <c r="QTE5" s="213"/>
      <c r="QTR5" s="213"/>
      <c r="QUE5" s="213"/>
      <c r="QUR5" s="213"/>
      <c r="QVE5" s="213"/>
      <c r="QVR5" s="213"/>
      <c r="QWE5" s="213"/>
      <c r="QWR5" s="213"/>
      <c r="QXE5" s="213"/>
      <c r="QXR5" s="213"/>
      <c r="QYE5" s="213"/>
      <c r="QYR5" s="213"/>
      <c r="QZE5" s="213"/>
      <c r="QZR5" s="213"/>
      <c r="RAE5" s="213"/>
      <c r="RAR5" s="213"/>
      <c r="RBE5" s="213"/>
      <c r="RBR5" s="213"/>
      <c r="RCE5" s="213"/>
      <c r="RCR5" s="213"/>
      <c r="RDE5" s="213"/>
      <c r="RDR5" s="213"/>
      <c r="REE5" s="213"/>
      <c r="RER5" s="213"/>
      <c r="RFE5" s="213"/>
      <c r="RFR5" s="213"/>
      <c r="RGE5" s="213"/>
      <c r="RGR5" s="213"/>
      <c r="RHE5" s="213"/>
      <c r="RHR5" s="213"/>
      <c r="RIE5" s="213"/>
      <c r="RIR5" s="213"/>
      <c r="RJE5" s="213"/>
      <c r="RJR5" s="213"/>
      <c r="RKE5" s="213"/>
      <c r="RKR5" s="213"/>
      <c r="RLE5" s="213"/>
      <c r="RLR5" s="213"/>
      <c r="RME5" s="213"/>
      <c r="RMR5" s="213"/>
      <c r="RNE5" s="213"/>
      <c r="RNR5" s="213"/>
      <c r="ROE5" s="213"/>
      <c r="ROR5" s="213"/>
      <c r="RPE5" s="213"/>
      <c r="RPR5" s="213"/>
      <c r="RQE5" s="213"/>
      <c r="RQR5" s="213"/>
      <c r="RRE5" s="213"/>
      <c r="RRR5" s="213"/>
      <c r="RSE5" s="213"/>
      <c r="RSR5" s="213"/>
      <c r="RTE5" s="213"/>
      <c r="RTR5" s="213"/>
      <c r="RUE5" s="213"/>
      <c r="RUR5" s="213"/>
      <c r="RVE5" s="213"/>
      <c r="RVR5" s="213"/>
      <c r="RWE5" s="213"/>
      <c r="RWR5" s="213"/>
      <c r="RXE5" s="213"/>
      <c r="RXR5" s="213"/>
      <c r="RYE5" s="213"/>
      <c r="RYR5" s="213"/>
      <c r="RZE5" s="213"/>
      <c r="RZR5" s="213"/>
      <c r="SAE5" s="213"/>
      <c r="SAR5" s="213"/>
      <c r="SBE5" s="213"/>
      <c r="SBR5" s="213"/>
      <c r="SCE5" s="213"/>
      <c r="SCR5" s="213"/>
      <c r="SDE5" s="213"/>
      <c r="SDR5" s="213"/>
      <c r="SEE5" s="213"/>
      <c r="SER5" s="213"/>
      <c r="SFE5" s="213"/>
      <c r="SFR5" s="213"/>
      <c r="SGE5" s="213"/>
      <c r="SGR5" s="213"/>
      <c r="SHE5" s="213"/>
      <c r="SHR5" s="213"/>
      <c r="SIE5" s="213"/>
      <c r="SIR5" s="213"/>
      <c r="SJE5" s="213"/>
      <c r="SJR5" s="213"/>
      <c r="SKE5" s="213"/>
      <c r="SKR5" s="213"/>
      <c r="SLE5" s="213"/>
      <c r="SLR5" s="213"/>
      <c r="SME5" s="213"/>
      <c r="SMR5" s="213"/>
      <c r="SNE5" s="213"/>
      <c r="SNR5" s="213"/>
      <c r="SOE5" s="213"/>
      <c r="SOR5" s="213"/>
      <c r="SPE5" s="213"/>
      <c r="SPR5" s="213"/>
      <c r="SQE5" s="213"/>
      <c r="SQR5" s="213"/>
      <c r="SRE5" s="213"/>
      <c r="SRR5" s="213"/>
      <c r="SSE5" s="213"/>
      <c r="SSR5" s="213"/>
      <c r="STE5" s="213"/>
      <c r="STR5" s="213"/>
      <c r="SUE5" s="213"/>
      <c r="SUR5" s="213"/>
      <c r="SVE5" s="213"/>
      <c r="SVR5" s="213"/>
      <c r="SWE5" s="213"/>
      <c r="SWR5" s="213"/>
      <c r="SXE5" s="213"/>
      <c r="SXR5" s="213"/>
      <c r="SYE5" s="213"/>
      <c r="SYR5" s="213"/>
      <c r="SZE5" s="213"/>
      <c r="SZR5" s="213"/>
      <c r="TAE5" s="213"/>
      <c r="TAR5" s="213"/>
      <c r="TBE5" s="213"/>
      <c r="TBR5" s="213"/>
      <c r="TCE5" s="213"/>
      <c r="TCR5" s="213"/>
      <c r="TDE5" s="213"/>
      <c r="TDR5" s="213"/>
      <c r="TEE5" s="213"/>
      <c r="TER5" s="213"/>
      <c r="TFE5" s="213"/>
      <c r="TFR5" s="213"/>
      <c r="TGE5" s="213"/>
      <c r="TGR5" s="213"/>
      <c r="THE5" s="213"/>
      <c r="THR5" s="213"/>
      <c r="TIE5" s="213"/>
      <c r="TIR5" s="213"/>
      <c r="TJE5" s="213"/>
      <c r="TJR5" s="213"/>
      <c r="TKE5" s="213"/>
      <c r="TKR5" s="213"/>
      <c r="TLE5" s="213"/>
      <c r="TLR5" s="213"/>
      <c r="TME5" s="213"/>
      <c r="TMR5" s="213"/>
      <c r="TNE5" s="213"/>
      <c r="TNR5" s="213"/>
      <c r="TOE5" s="213"/>
      <c r="TOR5" s="213"/>
      <c r="TPE5" s="213"/>
      <c r="TPR5" s="213"/>
      <c r="TQE5" s="213"/>
      <c r="TQR5" s="213"/>
      <c r="TRE5" s="213"/>
      <c r="TRR5" s="213"/>
      <c r="TSE5" s="213"/>
      <c r="TSR5" s="213"/>
      <c r="TTE5" s="213"/>
      <c r="TTR5" s="213"/>
      <c r="TUE5" s="213"/>
      <c r="TUR5" s="213"/>
      <c r="TVE5" s="213"/>
      <c r="TVR5" s="213"/>
      <c r="TWE5" s="213"/>
      <c r="TWR5" s="213"/>
      <c r="TXE5" s="213"/>
      <c r="TXR5" s="213"/>
      <c r="TYE5" s="213"/>
      <c r="TYR5" s="213"/>
      <c r="TZE5" s="213"/>
      <c r="TZR5" s="213"/>
      <c r="UAE5" s="213"/>
      <c r="UAR5" s="213"/>
      <c r="UBE5" s="213"/>
      <c r="UBR5" s="213"/>
      <c r="UCE5" s="213"/>
      <c r="UCR5" s="213"/>
      <c r="UDE5" s="213"/>
      <c r="UDR5" s="213"/>
      <c r="UEE5" s="213"/>
      <c r="UER5" s="213"/>
      <c r="UFE5" s="213"/>
      <c r="UFR5" s="213"/>
      <c r="UGE5" s="213"/>
      <c r="UGR5" s="213"/>
      <c r="UHE5" s="213"/>
      <c r="UHR5" s="213"/>
      <c r="UIE5" s="213"/>
      <c r="UIR5" s="213"/>
      <c r="UJE5" s="213"/>
      <c r="UJR5" s="213"/>
      <c r="UKE5" s="213"/>
      <c r="UKR5" s="213"/>
      <c r="ULE5" s="213"/>
      <c r="ULR5" s="213"/>
      <c r="UME5" s="213"/>
      <c r="UMR5" s="213"/>
      <c r="UNE5" s="213"/>
      <c r="UNR5" s="213"/>
      <c r="UOE5" s="213"/>
      <c r="UOR5" s="213"/>
      <c r="UPE5" s="213"/>
      <c r="UPR5" s="213"/>
      <c r="UQE5" s="213"/>
      <c r="UQR5" s="213"/>
      <c r="URE5" s="213"/>
      <c r="URR5" s="213"/>
      <c r="USE5" s="213"/>
      <c r="USR5" s="213"/>
      <c r="UTE5" s="213"/>
      <c r="UTR5" s="213"/>
      <c r="UUE5" s="213"/>
      <c r="UUR5" s="213"/>
      <c r="UVE5" s="213"/>
      <c r="UVR5" s="213"/>
      <c r="UWE5" s="213"/>
      <c r="UWR5" s="213"/>
      <c r="UXE5" s="213"/>
      <c r="UXR5" s="213"/>
      <c r="UYE5" s="213"/>
      <c r="UYR5" s="213"/>
      <c r="UZE5" s="213"/>
      <c r="UZR5" s="213"/>
      <c r="VAE5" s="213"/>
      <c r="VAR5" s="213"/>
      <c r="VBE5" s="213"/>
      <c r="VBR5" s="213"/>
      <c r="VCE5" s="213"/>
      <c r="VCR5" s="213"/>
      <c r="VDE5" s="213"/>
      <c r="VDR5" s="213"/>
      <c r="VEE5" s="213"/>
      <c r="VER5" s="213"/>
      <c r="VFE5" s="213"/>
      <c r="VFR5" s="213"/>
      <c r="VGE5" s="213"/>
      <c r="VGR5" s="213"/>
      <c r="VHE5" s="213"/>
      <c r="VHR5" s="213"/>
      <c r="VIE5" s="213"/>
      <c r="VIR5" s="213"/>
      <c r="VJE5" s="213"/>
      <c r="VJR5" s="213"/>
      <c r="VKE5" s="213"/>
      <c r="VKR5" s="213"/>
      <c r="VLE5" s="213"/>
      <c r="VLR5" s="213"/>
      <c r="VME5" s="213"/>
      <c r="VMR5" s="213"/>
      <c r="VNE5" s="213"/>
      <c r="VNR5" s="213"/>
      <c r="VOE5" s="213"/>
      <c r="VOR5" s="213"/>
      <c r="VPE5" s="213"/>
      <c r="VPR5" s="213"/>
      <c r="VQE5" s="213"/>
      <c r="VQR5" s="213"/>
      <c r="VRE5" s="213"/>
      <c r="VRR5" s="213"/>
      <c r="VSE5" s="213"/>
      <c r="VSR5" s="213"/>
      <c r="VTE5" s="213"/>
      <c r="VTR5" s="213"/>
      <c r="VUE5" s="213"/>
      <c r="VUR5" s="213"/>
      <c r="VVE5" s="213"/>
      <c r="VVR5" s="213"/>
      <c r="VWE5" s="213"/>
      <c r="VWR5" s="213"/>
      <c r="VXE5" s="213"/>
      <c r="VXR5" s="213"/>
      <c r="VYE5" s="213"/>
      <c r="VYR5" s="213"/>
      <c r="VZE5" s="213"/>
      <c r="VZR5" s="213"/>
      <c r="WAE5" s="213"/>
      <c r="WAR5" s="213"/>
      <c r="WBE5" s="213"/>
      <c r="WBR5" s="213"/>
      <c r="WCE5" s="213"/>
      <c r="WCR5" s="213"/>
      <c r="WDE5" s="213"/>
      <c r="WDR5" s="213"/>
      <c r="WEE5" s="213"/>
      <c r="WER5" s="213"/>
      <c r="WFE5" s="213"/>
      <c r="WFR5" s="213"/>
      <c r="WGE5" s="213"/>
      <c r="WGR5" s="213"/>
      <c r="WHE5" s="213"/>
      <c r="WHR5" s="213"/>
      <c r="WIE5" s="213"/>
      <c r="WIR5" s="213"/>
      <c r="WJE5" s="213"/>
      <c r="WJR5" s="213"/>
      <c r="WKE5" s="213"/>
      <c r="WKR5" s="213"/>
      <c r="WLE5" s="213"/>
      <c r="WLR5" s="213"/>
      <c r="WME5" s="213"/>
      <c r="WMR5" s="213"/>
      <c r="WNE5" s="213"/>
      <c r="WNR5" s="213"/>
      <c r="WOE5" s="213"/>
      <c r="WOR5" s="213"/>
      <c r="WPE5" s="213"/>
      <c r="WPR5" s="213"/>
      <c r="WQE5" s="213"/>
      <c r="WQR5" s="213"/>
      <c r="WRE5" s="213"/>
      <c r="WRR5" s="213"/>
      <c r="WSE5" s="213"/>
      <c r="WSR5" s="213"/>
      <c r="WTE5" s="213"/>
      <c r="WTR5" s="213"/>
      <c r="WUE5" s="213"/>
      <c r="WUR5" s="213"/>
      <c r="WVE5" s="213"/>
      <c r="WVR5" s="213"/>
      <c r="WWE5" s="213"/>
      <c r="WWR5" s="213"/>
      <c r="WXE5" s="213"/>
      <c r="WXR5" s="213"/>
      <c r="WYE5" s="213"/>
      <c r="WYR5" s="213"/>
      <c r="WZE5" s="213"/>
      <c r="WZR5" s="213"/>
      <c r="XAE5" s="213"/>
      <c r="XAR5" s="213"/>
      <c r="XBE5" s="213"/>
      <c r="XBR5" s="213"/>
      <c r="XCE5" s="213"/>
      <c r="XCR5" s="213"/>
      <c r="XDE5" s="213"/>
      <c r="XDR5" s="213"/>
      <c r="XEE5" s="213"/>
      <c r="XER5" s="213"/>
    </row>
    <row r="6" spans="1:1019 1032:2046 2059:3060 3073:4087 4100:5114 5127:6141 6154:7168 7181:8182 8195:9209 9222:10236 10249:11263 11276:12277 12290:13304 13317:14331 14344:15358 15371:16372" s="164" customFormat="1" ht="13" customHeight="1">
      <c r="A6" s="224"/>
      <c r="B6" s="702" t="str">
        <f>IF('Summary | Sumário'!D$6=Names!B$3,Names!M4,Names!N4)</f>
        <v>Income from securities, derivatives and foreign exchange</v>
      </c>
      <c r="C6" s="215">
        <v>72729</v>
      </c>
      <c r="D6" s="215">
        <v>-25040</v>
      </c>
      <c r="E6" s="215">
        <v>721949.66599999997</v>
      </c>
      <c r="F6" s="215">
        <v>1605401.1030000001</v>
      </c>
      <c r="G6" s="215">
        <v>1634543</v>
      </c>
      <c r="H6" s="215">
        <v>2629169.8134021345</v>
      </c>
      <c r="I6" s="215"/>
      <c r="J6" s="215">
        <v>74012.403999999995</v>
      </c>
      <c r="K6" s="215">
        <v>89585.596000000005</v>
      </c>
      <c r="L6" s="215">
        <v>224342</v>
      </c>
      <c r="M6" s="215">
        <v>334009.66600000003</v>
      </c>
      <c r="N6" s="215">
        <v>376055.38300000003</v>
      </c>
      <c r="O6" s="215">
        <v>429378.674</v>
      </c>
      <c r="P6" s="215">
        <v>378059.73599999998</v>
      </c>
      <c r="Q6" s="215">
        <v>421907.31</v>
      </c>
      <c r="R6" s="215">
        <v>386325.30200000003</v>
      </c>
      <c r="S6" s="215">
        <v>369367</v>
      </c>
      <c r="T6" s="215">
        <v>508679.01922000002</v>
      </c>
      <c r="U6" s="215">
        <v>370171.67877999996</v>
      </c>
      <c r="V6" s="215">
        <v>537136.61082000006</v>
      </c>
      <c r="W6" s="215">
        <v>642093.19580384996</v>
      </c>
      <c r="X6" s="215">
        <v>587740.70944000012</v>
      </c>
      <c r="Y6" s="215">
        <v>862199.29693614994</v>
      </c>
      <c r="Z6" s="215">
        <v>734744.3</v>
      </c>
      <c r="AA6" s="215">
        <v>765251</v>
      </c>
      <c r="AB6" s="215">
        <v>1050027</v>
      </c>
      <c r="AC6" s="215"/>
      <c r="AD6" s="332">
        <f t="shared" si="0"/>
        <v>0.37213411024618059</v>
      </c>
      <c r="AE6" s="332">
        <f>AB6/X6-1</f>
        <v>0.78654801876913827</v>
      </c>
    </row>
    <row r="7" spans="1:1019 1032:2046 2059:3060 3073:4087 4100:5114 5127:6141 6154:7168 7181:8182 8195:9209 9222:10236 10249:11263 11276:12277 12290:13304 13317:14331 14344:15358 15371:16372" s="161" customFormat="1" ht="13" customHeight="1">
      <c r="A7" s="235"/>
      <c r="B7" s="281" t="str">
        <f>IF('Summary | Sumário'!D$6=Names!B$3,Names!M5,Names!N5)</f>
        <v>Net interest income and income from securities, derivatives and foreing exchange</v>
      </c>
      <c r="C7" s="282">
        <v>591527</v>
      </c>
      <c r="D7" s="282">
        <v>733280.89517999999</v>
      </c>
      <c r="E7" s="282">
        <v>1614135.9119999998</v>
      </c>
      <c r="F7" s="282">
        <v>2435209.1849999996</v>
      </c>
      <c r="G7" s="282">
        <v>3296797</v>
      </c>
      <c r="H7" s="282">
        <v>4456744.3939420003</v>
      </c>
      <c r="I7" s="227"/>
      <c r="J7" s="282">
        <v>297457.33899999998</v>
      </c>
      <c r="K7" s="282">
        <v>308984.34700000007</v>
      </c>
      <c r="L7" s="282">
        <v>453160.88</v>
      </c>
      <c r="M7" s="282">
        <v>554532.34600000002</v>
      </c>
      <c r="N7" s="282">
        <v>560444.0149999999</v>
      </c>
      <c r="O7" s="282">
        <v>586650.3110000001</v>
      </c>
      <c r="P7" s="282">
        <v>586724.46699999995</v>
      </c>
      <c r="Q7" s="282">
        <v>701390.39199999999</v>
      </c>
      <c r="R7" s="282">
        <v>726481.12400000007</v>
      </c>
      <c r="S7" s="282">
        <v>828266</v>
      </c>
      <c r="T7" s="282">
        <v>845216.10796000005</v>
      </c>
      <c r="U7" s="282">
        <v>896833.76303999987</v>
      </c>
      <c r="V7" s="282">
        <v>992420.72051999974</v>
      </c>
      <c r="W7" s="282">
        <v>1041865.7258038499</v>
      </c>
      <c r="X7" s="282">
        <v>1164350.1315736333</v>
      </c>
      <c r="Y7" s="282">
        <v>1258107.8160445173</v>
      </c>
      <c r="Z7" s="282">
        <v>1362594.3</v>
      </c>
      <c r="AA7" s="282">
        <v>1469507</v>
      </c>
      <c r="AB7" s="282">
        <v>1622691</v>
      </c>
      <c r="AC7" s="227"/>
      <c r="AD7" s="317">
        <f t="shared" si="0"/>
        <v>0.10424176271361763</v>
      </c>
      <c r="AE7" s="317">
        <f>AB7/X7-1</f>
        <v>0.39364522405894653</v>
      </c>
    </row>
    <row r="8" spans="1:1019 1032:2046 2059:3060 3073:4087 4100:5114 5127:6141 6154:7168 7181:8182 8195:9209 9222:10236 10249:11263 11276:12277 12290:13304 13317:14331 14344:15358 15371:16372" ht="13" customHeight="1">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210"/>
      <c r="AE8" s="210"/>
    </row>
    <row r="9" spans="1:1019 1032:2046 2059:3060 3073:4087 4100:5114 5127:6141 6154:7168 7181:8182 8195:9209 9222:10236 10249:11263 11276:12277 12290:13304 13317:14331 14344:15358 15371:16372" s="212" customFormat="1" ht="13" customHeight="1">
      <c r="A9" s="211"/>
      <c r="B9" s="22" t="str">
        <f>IF('Summary | Sumário'!D$6=Names!B$3,Names!M6,Names!N6)</f>
        <v>Net revenues from services and commissions</v>
      </c>
      <c r="C9" s="234">
        <v>130457</v>
      </c>
      <c r="D9" s="234">
        <v>257145</v>
      </c>
      <c r="E9" s="234">
        <v>542569</v>
      </c>
      <c r="F9" s="234">
        <v>968039</v>
      </c>
      <c r="G9" s="234">
        <v>1304382</v>
      </c>
      <c r="H9" s="234">
        <v>1753280.4850000001</v>
      </c>
      <c r="I9" s="179"/>
      <c r="J9" s="234">
        <v>100965</v>
      </c>
      <c r="K9" s="234">
        <v>110911</v>
      </c>
      <c r="L9" s="234">
        <v>149283</v>
      </c>
      <c r="M9" s="234">
        <v>181410</v>
      </c>
      <c r="N9" s="234">
        <v>206219</v>
      </c>
      <c r="O9" s="234">
        <v>238515</v>
      </c>
      <c r="P9" s="234">
        <v>250433</v>
      </c>
      <c r="Q9" s="234">
        <v>272872</v>
      </c>
      <c r="R9" s="234">
        <v>282353</v>
      </c>
      <c r="S9" s="234">
        <v>298524</v>
      </c>
      <c r="T9" s="234">
        <v>347780</v>
      </c>
      <c r="U9" s="234">
        <v>375724.6</v>
      </c>
      <c r="V9" s="234">
        <v>374339.16833017452</v>
      </c>
      <c r="W9" s="234">
        <v>397142.87599999999</v>
      </c>
      <c r="X9" s="234">
        <v>467667</v>
      </c>
      <c r="Y9" s="234">
        <v>514131.44066982553</v>
      </c>
      <c r="Z9" s="234">
        <v>459924</v>
      </c>
      <c r="AA9" s="234">
        <v>495128</v>
      </c>
      <c r="AB9" s="234">
        <v>514179</v>
      </c>
      <c r="AC9" s="187"/>
      <c r="AD9" s="333">
        <f t="shared" ref="AD9:AD12" si="1">AB9/AA9-1</f>
        <v>3.8476919099707629E-2</v>
      </c>
      <c r="AE9" s="333">
        <f>AB9/X9-1</f>
        <v>9.9455381713911883E-2</v>
      </c>
      <c r="AF9" s="116"/>
      <c r="AR9" s="213"/>
      <c r="BE9" s="213"/>
      <c r="BR9" s="213"/>
      <c r="CE9" s="213"/>
      <c r="CR9" s="213"/>
      <c r="DE9" s="213"/>
      <c r="DR9" s="213"/>
      <c r="EE9" s="213"/>
      <c r="ER9" s="213"/>
      <c r="FE9" s="213"/>
      <c r="FR9" s="213"/>
      <c r="GE9" s="213"/>
      <c r="GR9" s="213"/>
      <c r="HE9" s="213"/>
      <c r="HR9" s="213"/>
      <c r="IE9" s="213"/>
      <c r="IR9" s="213"/>
      <c r="JE9" s="213"/>
      <c r="JR9" s="213"/>
      <c r="KE9" s="213"/>
      <c r="KR9" s="213"/>
      <c r="LE9" s="213"/>
      <c r="LR9" s="213"/>
      <c r="ME9" s="213"/>
      <c r="MR9" s="213"/>
      <c r="NE9" s="213"/>
      <c r="NR9" s="213"/>
      <c r="OE9" s="213"/>
      <c r="OR9" s="213"/>
      <c r="PE9" s="213"/>
      <c r="PR9" s="213"/>
      <c r="QE9" s="213"/>
      <c r="QR9" s="213"/>
      <c r="RE9" s="213"/>
      <c r="RR9" s="213"/>
      <c r="SE9" s="213"/>
      <c r="SR9" s="213"/>
      <c r="TE9" s="213"/>
      <c r="TR9" s="213"/>
      <c r="UE9" s="213"/>
      <c r="UR9" s="213"/>
      <c r="VE9" s="213"/>
      <c r="VR9" s="213"/>
      <c r="WE9" s="213"/>
      <c r="WR9" s="213"/>
      <c r="XE9" s="213"/>
      <c r="XR9" s="213"/>
      <c r="YE9" s="213"/>
      <c r="YR9" s="213"/>
      <c r="ZE9" s="213"/>
      <c r="ZR9" s="213"/>
      <c r="AAE9" s="213"/>
      <c r="AAR9" s="213"/>
      <c r="ABE9" s="213"/>
      <c r="ABR9" s="213"/>
      <c r="ACE9" s="213"/>
      <c r="ACR9" s="213"/>
      <c r="ADE9" s="213"/>
      <c r="ADR9" s="213"/>
      <c r="AEE9" s="213"/>
      <c r="AER9" s="213"/>
      <c r="AFE9" s="213"/>
      <c r="AFR9" s="213"/>
      <c r="AGE9" s="213"/>
      <c r="AGR9" s="213"/>
      <c r="AHE9" s="213"/>
      <c r="AHR9" s="213"/>
      <c r="AIE9" s="213"/>
      <c r="AIR9" s="213"/>
      <c r="AJE9" s="213"/>
      <c r="AJR9" s="213"/>
      <c r="AKE9" s="213"/>
      <c r="AKR9" s="213"/>
      <c r="ALE9" s="213"/>
      <c r="ALR9" s="213"/>
      <c r="AME9" s="213"/>
      <c r="AMR9" s="213"/>
      <c r="ANE9" s="213"/>
      <c r="ANR9" s="213"/>
      <c r="AOE9" s="213"/>
      <c r="AOR9" s="213"/>
      <c r="APE9" s="213"/>
      <c r="APR9" s="213"/>
      <c r="AQE9" s="213"/>
      <c r="AQR9" s="213"/>
      <c r="ARE9" s="213"/>
      <c r="ARR9" s="213"/>
      <c r="ASE9" s="213"/>
      <c r="ASR9" s="213"/>
      <c r="ATE9" s="213"/>
      <c r="ATR9" s="213"/>
      <c r="AUE9" s="213"/>
      <c r="AUR9" s="213"/>
      <c r="AVE9" s="213"/>
      <c r="AVR9" s="213"/>
      <c r="AWE9" s="213"/>
      <c r="AWR9" s="213"/>
      <c r="AXE9" s="213"/>
      <c r="AXR9" s="213"/>
      <c r="AYE9" s="213"/>
      <c r="AYR9" s="213"/>
      <c r="AZE9" s="213"/>
      <c r="AZR9" s="213"/>
      <c r="BAE9" s="213"/>
      <c r="BAR9" s="213"/>
      <c r="BBE9" s="213"/>
      <c r="BBR9" s="213"/>
      <c r="BCE9" s="213"/>
      <c r="BCR9" s="213"/>
      <c r="BDE9" s="213"/>
      <c r="BDR9" s="213"/>
      <c r="BEE9" s="213"/>
      <c r="BER9" s="213"/>
      <c r="BFE9" s="213"/>
      <c r="BFR9" s="213"/>
      <c r="BGE9" s="213"/>
      <c r="BGR9" s="213"/>
      <c r="BHE9" s="213"/>
      <c r="BHR9" s="213"/>
      <c r="BIE9" s="213"/>
      <c r="BIR9" s="213"/>
      <c r="BJE9" s="213"/>
      <c r="BJR9" s="213"/>
      <c r="BKE9" s="213"/>
      <c r="BKR9" s="213"/>
      <c r="BLE9" s="213"/>
      <c r="BLR9" s="213"/>
      <c r="BME9" s="213"/>
      <c r="BMR9" s="213"/>
      <c r="BNE9" s="213"/>
      <c r="BNR9" s="213"/>
      <c r="BOE9" s="213"/>
      <c r="BOR9" s="213"/>
      <c r="BPE9" s="213"/>
      <c r="BPR9" s="213"/>
      <c r="BQE9" s="213"/>
      <c r="BQR9" s="213"/>
      <c r="BRE9" s="213"/>
      <c r="BRR9" s="213"/>
      <c r="BSE9" s="213"/>
      <c r="BSR9" s="213"/>
      <c r="BTE9" s="213"/>
      <c r="BTR9" s="213"/>
      <c r="BUE9" s="213"/>
      <c r="BUR9" s="213"/>
      <c r="BVE9" s="213"/>
      <c r="BVR9" s="213"/>
      <c r="BWE9" s="213"/>
      <c r="BWR9" s="213"/>
      <c r="BXE9" s="213"/>
      <c r="BXR9" s="213"/>
      <c r="BYE9" s="213"/>
      <c r="BYR9" s="213"/>
      <c r="BZE9" s="213"/>
      <c r="BZR9" s="213"/>
      <c r="CAE9" s="213"/>
      <c r="CAR9" s="213"/>
      <c r="CBE9" s="213"/>
      <c r="CBR9" s="213"/>
      <c r="CCE9" s="213"/>
      <c r="CCR9" s="213"/>
      <c r="CDE9" s="213"/>
      <c r="CDR9" s="213"/>
      <c r="CEE9" s="213"/>
      <c r="CER9" s="213"/>
      <c r="CFE9" s="213"/>
      <c r="CFR9" s="213"/>
      <c r="CGE9" s="213"/>
      <c r="CGR9" s="213"/>
      <c r="CHE9" s="213"/>
      <c r="CHR9" s="213"/>
      <c r="CIE9" s="213"/>
      <c r="CIR9" s="213"/>
      <c r="CJE9" s="213"/>
      <c r="CJR9" s="213"/>
      <c r="CKE9" s="213"/>
      <c r="CKR9" s="213"/>
      <c r="CLE9" s="213"/>
      <c r="CLR9" s="213"/>
      <c r="CME9" s="213"/>
      <c r="CMR9" s="213"/>
      <c r="CNE9" s="213"/>
      <c r="CNR9" s="213"/>
      <c r="COE9" s="213"/>
      <c r="COR9" s="213"/>
      <c r="CPE9" s="213"/>
      <c r="CPR9" s="213"/>
      <c r="CQE9" s="213"/>
      <c r="CQR9" s="213"/>
      <c r="CRE9" s="213"/>
      <c r="CRR9" s="213"/>
      <c r="CSE9" s="213"/>
      <c r="CSR9" s="213"/>
      <c r="CTE9" s="213"/>
      <c r="CTR9" s="213"/>
      <c r="CUE9" s="213"/>
      <c r="CUR9" s="213"/>
      <c r="CVE9" s="213"/>
      <c r="CVR9" s="213"/>
      <c r="CWE9" s="213"/>
      <c r="CWR9" s="213"/>
      <c r="CXE9" s="213"/>
      <c r="CXR9" s="213"/>
      <c r="CYE9" s="213"/>
      <c r="CYR9" s="213"/>
      <c r="CZE9" s="213"/>
      <c r="CZR9" s="213"/>
      <c r="DAE9" s="213"/>
      <c r="DAR9" s="213"/>
      <c r="DBE9" s="213"/>
      <c r="DBR9" s="213"/>
      <c r="DCE9" s="213"/>
      <c r="DCR9" s="213"/>
      <c r="DDE9" s="213"/>
      <c r="DDR9" s="213"/>
      <c r="DEE9" s="213"/>
      <c r="DER9" s="213"/>
      <c r="DFE9" s="213"/>
      <c r="DFR9" s="213"/>
      <c r="DGE9" s="213"/>
      <c r="DGR9" s="213"/>
      <c r="DHE9" s="213"/>
      <c r="DHR9" s="213"/>
      <c r="DIE9" s="213"/>
      <c r="DIR9" s="213"/>
      <c r="DJE9" s="213"/>
      <c r="DJR9" s="213"/>
      <c r="DKE9" s="213"/>
      <c r="DKR9" s="213"/>
      <c r="DLE9" s="213"/>
      <c r="DLR9" s="213"/>
      <c r="DME9" s="213"/>
      <c r="DMR9" s="213"/>
      <c r="DNE9" s="213"/>
      <c r="DNR9" s="213"/>
      <c r="DOE9" s="213"/>
      <c r="DOR9" s="213"/>
      <c r="DPE9" s="213"/>
      <c r="DPR9" s="213"/>
      <c r="DQE9" s="213"/>
      <c r="DQR9" s="213"/>
      <c r="DRE9" s="213"/>
      <c r="DRR9" s="213"/>
      <c r="DSE9" s="213"/>
      <c r="DSR9" s="213"/>
      <c r="DTE9" s="213"/>
      <c r="DTR9" s="213"/>
      <c r="DUE9" s="213"/>
      <c r="DUR9" s="213"/>
      <c r="DVE9" s="213"/>
      <c r="DVR9" s="213"/>
      <c r="DWE9" s="213"/>
      <c r="DWR9" s="213"/>
      <c r="DXE9" s="213"/>
      <c r="DXR9" s="213"/>
      <c r="DYE9" s="213"/>
      <c r="DYR9" s="213"/>
      <c r="DZE9" s="213"/>
      <c r="DZR9" s="213"/>
      <c r="EAE9" s="213"/>
      <c r="EAR9" s="213"/>
      <c r="EBE9" s="213"/>
      <c r="EBR9" s="213"/>
      <c r="ECE9" s="213"/>
      <c r="ECR9" s="213"/>
      <c r="EDE9" s="213"/>
      <c r="EDR9" s="213"/>
      <c r="EEE9" s="213"/>
      <c r="EER9" s="213"/>
      <c r="EFE9" s="213"/>
      <c r="EFR9" s="213"/>
      <c r="EGE9" s="213"/>
      <c r="EGR9" s="213"/>
      <c r="EHE9" s="213"/>
      <c r="EHR9" s="213"/>
      <c r="EIE9" s="213"/>
      <c r="EIR9" s="213"/>
      <c r="EJE9" s="213"/>
      <c r="EJR9" s="213"/>
      <c r="EKE9" s="213"/>
      <c r="EKR9" s="213"/>
      <c r="ELE9" s="213"/>
      <c r="ELR9" s="213"/>
      <c r="EME9" s="213"/>
      <c r="EMR9" s="213"/>
      <c r="ENE9" s="213"/>
      <c r="ENR9" s="213"/>
      <c r="EOE9" s="213"/>
      <c r="EOR9" s="213"/>
      <c r="EPE9" s="213"/>
      <c r="EPR9" s="213"/>
      <c r="EQE9" s="213"/>
      <c r="EQR9" s="213"/>
      <c r="ERE9" s="213"/>
      <c r="ERR9" s="213"/>
      <c r="ESE9" s="213"/>
      <c r="ESR9" s="213"/>
      <c r="ETE9" s="213"/>
      <c r="ETR9" s="213"/>
      <c r="EUE9" s="213"/>
      <c r="EUR9" s="213"/>
      <c r="EVE9" s="213"/>
      <c r="EVR9" s="213"/>
      <c r="EWE9" s="213"/>
      <c r="EWR9" s="213"/>
      <c r="EXE9" s="213"/>
      <c r="EXR9" s="213"/>
      <c r="EYE9" s="213"/>
      <c r="EYR9" s="213"/>
      <c r="EZE9" s="213"/>
      <c r="EZR9" s="213"/>
      <c r="FAE9" s="213"/>
      <c r="FAR9" s="213"/>
      <c r="FBE9" s="213"/>
      <c r="FBR9" s="213"/>
      <c r="FCE9" s="213"/>
      <c r="FCR9" s="213"/>
      <c r="FDE9" s="213"/>
      <c r="FDR9" s="213"/>
      <c r="FEE9" s="213"/>
      <c r="FER9" s="213"/>
      <c r="FFE9" s="213"/>
      <c r="FFR9" s="213"/>
      <c r="FGE9" s="213"/>
      <c r="FGR9" s="213"/>
      <c r="FHE9" s="213"/>
      <c r="FHR9" s="213"/>
      <c r="FIE9" s="213"/>
      <c r="FIR9" s="213"/>
      <c r="FJE9" s="213"/>
      <c r="FJR9" s="213"/>
      <c r="FKE9" s="213"/>
      <c r="FKR9" s="213"/>
      <c r="FLE9" s="213"/>
      <c r="FLR9" s="213"/>
      <c r="FME9" s="213"/>
      <c r="FMR9" s="213"/>
      <c r="FNE9" s="213"/>
      <c r="FNR9" s="213"/>
      <c r="FOE9" s="213"/>
      <c r="FOR9" s="213"/>
      <c r="FPE9" s="213"/>
      <c r="FPR9" s="213"/>
      <c r="FQE9" s="213"/>
      <c r="FQR9" s="213"/>
      <c r="FRE9" s="213"/>
      <c r="FRR9" s="213"/>
      <c r="FSE9" s="213"/>
      <c r="FSR9" s="213"/>
      <c r="FTE9" s="213"/>
      <c r="FTR9" s="213"/>
      <c r="FUE9" s="213"/>
      <c r="FUR9" s="213"/>
      <c r="FVE9" s="213"/>
      <c r="FVR9" s="213"/>
      <c r="FWE9" s="213"/>
      <c r="FWR9" s="213"/>
      <c r="FXE9" s="213"/>
      <c r="FXR9" s="213"/>
      <c r="FYE9" s="213"/>
      <c r="FYR9" s="213"/>
      <c r="FZE9" s="213"/>
      <c r="FZR9" s="213"/>
      <c r="GAE9" s="213"/>
      <c r="GAR9" s="213"/>
      <c r="GBE9" s="213"/>
      <c r="GBR9" s="213"/>
      <c r="GCE9" s="213"/>
      <c r="GCR9" s="213"/>
      <c r="GDE9" s="213"/>
      <c r="GDR9" s="213"/>
      <c r="GEE9" s="213"/>
      <c r="GER9" s="213"/>
      <c r="GFE9" s="213"/>
      <c r="GFR9" s="213"/>
      <c r="GGE9" s="213"/>
      <c r="GGR9" s="213"/>
      <c r="GHE9" s="213"/>
      <c r="GHR9" s="213"/>
      <c r="GIE9" s="213"/>
      <c r="GIR9" s="213"/>
      <c r="GJE9" s="213"/>
      <c r="GJR9" s="213"/>
      <c r="GKE9" s="213"/>
      <c r="GKR9" s="213"/>
      <c r="GLE9" s="213"/>
      <c r="GLR9" s="213"/>
      <c r="GME9" s="213"/>
      <c r="GMR9" s="213"/>
      <c r="GNE9" s="213"/>
      <c r="GNR9" s="213"/>
      <c r="GOE9" s="213"/>
      <c r="GOR9" s="213"/>
      <c r="GPE9" s="213"/>
      <c r="GPR9" s="213"/>
      <c r="GQE9" s="213"/>
      <c r="GQR9" s="213"/>
      <c r="GRE9" s="213"/>
      <c r="GRR9" s="213"/>
      <c r="GSE9" s="213"/>
      <c r="GSR9" s="213"/>
      <c r="GTE9" s="213"/>
      <c r="GTR9" s="213"/>
      <c r="GUE9" s="213"/>
      <c r="GUR9" s="213"/>
      <c r="GVE9" s="213"/>
      <c r="GVR9" s="213"/>
      <c r="GWE9" s="213"/>
      <c r="GWR9" s="213"/>
      <c r="GXE9" s="213"/>
      <c r="GXR9" s="213"/>
      <c r="GYE9" s="213"/>
      <c r="GYR9" s="213"/>
      <c r="GZE9" s="213"/>
      <c r="GZR9" s="213"/>
      <c r="HAE9" s="213"/>
      <c r="HAR9" s="213"/>
      <c r="HBE9" s="213"/>
      <c r="HBR9" s="213"/>
      <c r="HCE9" s="213"/>
      <c r="HCR9" s="213"/>
      <c r="HDE9" s="213"/>
      <c r="HDR9" s="213"/>
      <c r="HEE9" s="213"/>
      <c r="HER9" s="213"/>
      <c r="HFE9" s="213"/>
      <c r="HFR9" s="213"/>
      <c r="HGE9" s="213"/>
      <c r="HGR9" s="213"/>
      <c r="HHE9" s="213"/>
      <c r="HHR9" s="213"/>
      <c r="HIE9" s="213"/>
      <c r="HIR9" s="213"/>
      <c r="HJE9" s="213"/>
      <c r="HJR9" s="213"/>
      <c r="HKE9" s="213"/>
      <c r="HKR9" s="213"/>
      <c r="HLE9" s="213"/>
      <c r="HLR9" s="213"/>
      <c r="HME9" s="213"/>
      <c r="HMR9" s="213"/>
      <c r="HNE9" s="213"/>
      <c r="HNR9" s="213"/>
      <c r="HOE9" s="213"/>
      <c r="HOR9" s="213"/>
      <c r="HPE9" s="213"/>
      <c r="HPR9" s="213"/>
      <c r="HQE9" s="213"/>
      <c r="HQR9" s="213"/>
      <c r="HRE9" s="213"/>
      <c r="HRR9" s="213"/>
      <c r="HSE9" s="213"/>
      <c r="HSR9" s="213"/>
      <c r="HTE9" s="213"/>
      <c r="HTR9" s="213"/>
      <c r="HUE9" s="213"/>
      <c r="HUR9" s="213"/>
      <c r="HVE9" s="213"/>
      <c r="HVR9" s="213"/>
      <c r="HWE9" s="213"/>
      <c r="HWR9" s="213"/>
      <c r="HXE9" s="213"/>
      <c r="HXR9" s="213"/>
      <c r="HYE9" s="213"/>
      <c r="HYR9" s="213"/>
      <c r="HZE9" s="213"/>
      <c r="HZR9" s="213"/>
      <c r="IAE9" s="213"/>
      <c r="IAR9" s="213"/>
      <c r="IBE9" s="213"/>
      <c r="IBR9" s="213"/>
      <c r="ICE9" s="213"/>
      <c r="ICR9" s="213"/>
      <c r="IDE9" s="213"/>
      <c r="IDR9" s="213"/>
      <c r="IEE9" s="213"/>
      <c r="IER9" s="213"/>
      <c r="IFE9" s="213"/>
      <c r="IFR9" s="213"/>
      <c r="IGE9" s="213"/>
      <c r="IGR9" s="213"/>
      <c r="IHE9" s="213"/>
      <c r="IHR9" s="213"/>
      <c r="IIE9" s="213"/>
      <c r="IIR9" s="213"/>
      <c r="IJE9" s="213"/>
      <c r="IJR9" s="213"/>
      <c r="IKE9" s="213"/>
      <c r="IKR9" s="213"/>
      <c r="ILE9" s="213"/>
      <c r="ILR9" s="213"/>
      <c r="IME9" s="213"/>
      <c r="IMR9" s="213"/>
      <c r="INE9" s="213"/>
      <c r="INR9" s="213"/>
      <c r="IOE9" s="213"/>
      <c r="IOR9" s="213"/>
      <c r="IPE9" s="213"/>
      <c r="IPR9" s="213"/>
      <c r="IQE9" s="213"/>
      <c r="IQR9" s="213"/>
      <c r="IRE9" s="213"/>
      <c r="IRR9" s="213"/>
      <c r="ISE9" s="213"/>
      <c r="ISR9" s="213"/>
      <c r="ITE9" s="213"/>
      <c r="ITR9" s="213"/>
      <c r="IUE9" s="213"/>
      <c r="IUR9" s="213"/>
      <c r="IVE9" s="213"/>
      <c r="IVR9" s="213"/>
      <c r="IWE9" s="213"/>
      <c r="IWR9" s="213"/>
      <c r="IXE9" s="213"/>
      <c r="IXR9" s="213"/>
      <c r="IYE9" s="213"/>
      <c r="IYR9" s="213"/>
      <c r="IZE9" s="213"/>
      <c r="IZR9" s="213"/>
      <c r="JAE9" s="213"/>
      <c r="JAR9" s="213"/>
      <c r="JBE9" s="213"/>
      <c r="JBR9" s="213"/>
      <c r="JCE9" s="213"/>
      <c r="JCR9" s="213"/>
      <c r="JDE9" s="213"/>
      <c r="JDR9" s="213"/>
      <c r="JEE9" s="213"/>
      <c r="JER9" s="213"/>
      <c r="JFE9" s="213"/>
      <c r="JFR9" s="213"/>
      <c r="JGE9" s="213"/>
      <c r="JGR9" s="213"/>
      <c r="JHE9" s="213"/>
      <c r="JHR9" s="213"/>
      <c r="JIE9" s="213"/>
      <c r="JIR9" s="213"/>
      <c r="JJE9" s="213"/>
      <c r="JJR9" s="213"/>
      <c r="JKE9" s="213"/>
      <c r="JKR9" s="213"/>
      <c r="JLE9" s="213"/>
      <c r="JLR9" s="213"/>
      <c r="JME9" s="213"/>
      <c r="JMR9" s="213"/>
      <c r="JNE9" s="213"/>
      <c r="JNR9" s="213"/>
      <c r="JOE9" s="213"/>
      <c r="JOR9" s="213"/>
      <c r="JPE9" s="213"/>
      <c r="JPR9" s="213"/>
      <c r="JQE9" s="213"/>
      <c r="JQR9" s="213"/>
      <c r="JRE9" s="213"/>
      <c r="JRR9" s="213"/>
      <c r="JSE9" s="213"/>
      <c r="JSR9" s="213"/>
      <c r="JTE9" s="213"/>
      <c r="JTR9" s="213"/>
      <c r="JUE9" s="213"/>
      <c r="JUR9" s="213"/>
      <c r="JVE9" s="213"/>
      <c r="JVR9" s="213"/>
      <c r="JWE9" s="213"/>
      <c r="JWR9" s="213"/>
      <c r="JXE9" s="213"/>
      <c r="JXR9" s="213"/>
      <c r="JYE9" s="213"/>
      <c r="JYR9" s="213"/>
      <c r="JZE9" s="213"/>
      <c r="JZR9" s="213"/>
      <c r="KAE9" s="213"/>
      <c r="KAR9" s="213"/>
      <c r="KBE9" s="213"/>
      <c r="KBR9" s="213"/>
      <c r="KCE9" s="213"/>
      <c r="KCR9" s="213"/>
      <c r="KDE9" s="213"/>
      <c r="KDR9" s="213"/>
      <c r="KEE9" s="213"/>
      <c r="KER9" s="213"/>
      <c r="KFE9" s="213"/>
      <c r="KFR9" s="213"/>
      <c r="KGE9" s="213"/>
      <c r="KGR9" s="213"/>
      <c r="KHE9" s="213"/>
      <c r="KHR9" s="213"/>
      <c r="KIE9" s="213"/>
      <c r="KIR9" s="213"/>
      <c r="KJE9" s="213"/>
      <c r="KJR9" s="213"/>
      <c r="KKE9" s="213"/>
      <c r="KKR9" s="213"/>
      <c r="KLE9" s="213"/>
      <c r="KLR9" s="213"/>
      <c r="KME9" s="213"/>
      <c r="KMR9" s="213"/>
      <c r="KNE9" s="213"/>
      <c r="KNR9" s="213"/>
      <c r="KOE9" s="213"/>
      <c r="KOR9" s="213"/>
      <c r="KPE9" s="213"/>
      <c r="KPR9" s="213"/>
      <c r="KQE9" s="213"/>
      <c r="KQR9" s="213"/>
      <c r="KRE9" s="213"/>
      <c r="KRR9" s="213"/>
      <c r="KSE9" s="213"/>
      <c r="KSR9" s="213"/>
      <c r="KTE9" s="213"/>
      <c r="KTR9" s="213"/>
      <c r="KUE9" s="213"/>
      <c r="KUR9" s="213"/>
      <c r="KVE9" s="213"/>
      <c r="KVR9" s="213"/>
      <c r="KWE9" s="213"/>
      <c r="KWR9" s="213"/>
      <c r="KXE9" s="213"/>
      <c r="KXR9" s="213"/>
      <c r="KYE9" s="213"/>
      <c r="KYR9" s="213"/>
      <c r="KZE9" s="213"/>
      <c r="KZR9" s="213"/>
      <c r="LAE9" s="213"/>
      <c r="LAR9" s="213"/>
      <c r="LBE9" s="213"/>
      <c r="LBR9" s="213"/>
      <c r="LCE9" s="213"/>
      <c r="LCR9" s="213"/>
      <c r="LDE9" s="213"/>
      <c r="LDR9" s="213"/>
      <c r="LEE9" s="213"/>
      <c r="LER9" s="213"/>
      <c r="LFE9" s="213"/>
      <c r="LFR9" s="213"/>
      <c r="LGE9" s="213"/>
      <c r="LGR9" s="213"/>
      <c r="LHE9" s="213"/>
      <c r="LHR9" s="213"/>
      <c r="LIE9" s="213"/>
      <c r="LIR9" s="213"/>
      <c r="LJE9" s="213"/>
      <c r="LJR9" s="213"/>
      <c r="LKE9" s="213"/>
      <c r="LKR9" s="213"/>
      <c r="LLE9" s="213"/>
      <c r="LLR9" s="213"/>
      <c r="LME9" s="213"/>
      <c r="LMR9" s="213"/>
      <c r="LNE9" s="213"/>
      <c r="LNR9" s="213"/>
      <c r="LOE9" s="213"/>
      <c r="LOR9" s="213"/>
      <c r="LPE9" s="213"/>
      <c r="LPR9" s="213"/>
      <c r="LQE9" s="213"/>
      <c r="LQR9" s="213"/>
      <c r="LRE9" s="213"/>
      <c r="LRR9" s="213"/>
      <c r="LSE9" s="213"/>
      <c r="LSR9" s="213"/>
      <c r="LTE9" s="213"/>
      <c r="LTR9" s="213"/>
      <c r="LUE9" s="213"/>
      <c r="LUR9" s="213"/>
      <c r="LVE9" s="213"/>
      <c r="LVR9" s="213"/>
      <c r="LWE9" s="213"/>
      <c r="LWR9" s="213"/>
      <c r="LXE9" s="213"/>
      <c r="LXR9" s="213"/>
      <c r="LYE9" s="213"/>
      <c r="LYR9" s="213"/>
      <c r="LZE9" s="213"/>
      <c r="LZR9" s="213"/>
      <c r="MAE9" s="213"/>
      <c r="MAR9" s="213"/>
      <c r="MBE9" s="213"/>
      <c r="MBR9" s="213"/>
      <c r="MCE9" s="213"/>
      <c r="MCR9" s="213"/>
      <c r="MDE9" s="213"/>
      <c r="MDR9" s="213"/>
      <c r="MEE9" s="213"/>
      <c r="MER9" s="213"/>
      <c r="MFE9" s="213"/>
      <c r="MFR9" s="213"/>
      <c r="MGE9" s="213"/>
      <c r="MGR9" s="213"/>
      <c r="MHE9" s="213"/>
      <c r="MHR9" s="213"/>
      <c r="MIE9" s="213"/>
      <c r="MIR9" s="213"/>
      <c r="MJE9" s="213"/>
      <c r="MJR9" s="213"/>
      <c r="MKE9" s="213"/>
      <c r="MKR9" s="213"/>
      <c r="MLE9" s="213"/>
      <c r="MLR9" s="213"/>
      <c r="MME9" s="213"/>
      <c r="MMR9" s="213"/>
      <c r="MNE9" s="213"/>
      <c r="MNR9" s="213"/>
      <c r="MOE9" s="213"/>
      <c r="MOR9" s="213"/>
      <c r="MPE9" s="213"/>
      <c r="MPR9" s="213"/>
      <c r="MQE9" s="213"/>
      <c r="MQR9" s="213"/>
      <c r="MRE9" s="213"/>
      <c r="MRR9" s="213"/>
      <c r="MSE9" s="213"/>
      <c r="MSR9" s="213"/>
      <c r="MTE9" s="213"/>
      <c r="MTR9" s="213"/>
      <c r="MUE9" s="213"/>
      <c r="MUR9" s="213"/>
      <c r="MVE9" s="213"/>
      <c r="MVR9" s="213"/>
      <c r="MWE9" s="213"/>
      <c r="MWR9" s="213"/>
      <c r="MXE9" s="213"/>
      <c r="MXR9" s="213"/>
      <c r="MYE9" s="213"/>
      <c r="MYR9" s="213"/>
      <c r="MZE9" s="213"/>
      <c r="MZR9" s="213"/>
      <c r="NAE9" s="213"/>
      <c r="NAR9" s="213"/>
      <c r="NBE9" s="213"/>
      <c r="NBR9" s="213"/>
      <c r="NCE9" s="213"/>
      <c r="NCR9" s="213"/>
      <c r="NDE9" s="213"/>
      <c r="NDR9" s="213"/>
      <c r="NEE9" s="213"/>
      <c r="NER9" s="213"/>
      <c r="NFE9" s="213"/>
      <c r="NFR9" s="213"/>
      <c r="NGE9" s="213"/>
      <c r="NGR9" s="213"/>
      <c r="NHE9" s="213"/>
      <c r="NHR9" s="213"/>
      <c r="NIE9" s="213"/>
      <c r="NIR9" s="213"/>
      <c r="NJE9" s="213"/>
      <c r="NJR9" s="213"/>
      <c r="NKE9" s="213"/>
      <c r="NKR9" s="213"/>
      <c r="NLE9" s="213"/>
      <c r="NLR9" s="213"/>
      <c r="NME9" s="213"/>
      <c r="NMR9" s="213"/>
      <c r="NNE9" s="213"/>
      <c r="NNR9" s="213"/>
      <c r="NOE9" s="213"/>
      <c r="NOR9" s="213"/>
      <c r="NPE9" s="213"/>
      <c r="NPR9" s="213"/>
      <c r="NQE9" s="213"/>
      <c r="NQR9" s="213"/>
      <c r="NRE9" s="213"/>
      <c r="NRR9" s="213"/>
      <c r="NSE9" s="213"/>
      <c r="NSR9" s="213"/>
      <c r="NTE9" s="213"/>
      <c r="NTR9" s="213"/>
      <c r="NUE9" s="213"/>
      <c r="NUR9" s="213"/>
      <c r="NVE9" s="213"/>
      <c r="NVR9" s="213"/>
      <c r="NWE9" s="213"/>
      <c r="NWR9" s="213"/>
      <c r="NXE9" s="213"/>
      <c r="NXR9" s="213"/>
      <c r="NYE9" s="213"/>
      <c r="NYR9" s="213"/>
      <c r="NZE9" s="213"/>
      <c r="NZR9" s="213"/>
      <c r="OAE9" s="213"/>
      <c r="OAR9" s="213"/>
      <c r="OBE9" s="213"/>
      <c r="OBR9" s="213"/>
      <c r="OCE9" s="213"/>
      <c r="OCR9" s="213"/>
      <c r="ODE9" s="213"/>
      <c r="ODR9" s="213"/>
      <c r="OEE9" s="213"/>
      <c r="OER9" s="213"/>
      <c r="OFE9" s="213"/>
      <c r="OFR9" s="213"/>
      <c r="OGE9" s="213"/>
      <c r="OGR9" s="213"/>
      <c r="OHE9" s="213"/>
      <c r="OHR9" s="213"/>
      <c r="OIE9" s="213"/>
      <c r="OIR9" s="213"/>
      <c r="OJE9" s="213"/>
      <c r="OJR9" s="213"/>
      <c r="OKE9" s="213"/>
      <c r="OKR9" s="213"/>
      <c r="OLE9" s="213"/>
      <c r="OLR9" s="213"/>
      <c r="OME9" s="213"/>
      <c r="OMR9" s="213"/>
      <c r="ONE9" s="213"/>
      <c r="ONR9" s="213"/>
      <c r="OOE9" s="213"/>
      <c r="OOR9" s="213"/>
      <c r="OPE9" s="213"/>
      <c r="OPR9" s="213"/>
      <c r="OQE9" s="213"/>
      <c r="OQR9" s="213"/>
      <c r="ORE9" s="213"/>
      <c r="ORR9" s="213"/>
      <c r="OSE9" s="213"/>
      <c r="OSR9" s="213"/>
      <c r="OTE9" s="213"/>
      <c r="OTR9" s="213"/>
      <c r="OUE9" s="213"/>
      <c r="OUR9" s="213"/>
      <c r="OVE9" s="213"/>
      <c r="OVR9" s="213"/>
      <c r="OWE9" s="213"/>
      <c r="OWR9" s="213"/>
      <c r="OXE9" s="213"/>
      <c r="OXR9" s="213"/>
      <c r="OYE9" s="213"/>
      <c r="OYR9" s="213"/>
      <c r="OZE9" s="213"/>
      <c r="OZR9" s="213"/>
      <c r="PAE9" s="213"/>
      <c r="PAR9" s="213"/>
      <c r="PBE9" s="213"/>
      <c r="PBR9" s="213"/>
      <c r="PCE9" s="213"/>
      <c r="PCR9" s="213"/>
      <c r="PDE9" s="213"/>
      <c r="PDR9" s="213"/>
      <c r="PEE9" s="213"/>
      <c r="PER9" s="213"/>
      <c r="PFE9" s="213"/>
      <c r="PFR9" s="213"/>
      <c r="PGE9" s="213"/>
      <c r="PGR9" s="213"/>
      <c r="PHE9" s="213"/>
      <c r="PHR9" s="213"/>
      <c r="PIE9" s="213"/>
      <c r="PIR9" s="213"/>
      <c r="PJE9" s="213"/>
      <c r="PJR9" s="213"/>
      <c r="PKE9" s="213"/>
      <c r="PKR9" s="213"/>
      <c r="PLE9" s="213"/>
      <c r="PLR9" s="213"/>
      <c r="PME9" s="213"/>
      <c r="PMR9" s="213"/>
      <c r="PNE9" s="213"/>
      <c r="PNR9" s="213"/>
      <c r="POE9" s="213"/>
      <c r="POR9" s="213"/>
      <c r="PPE9" s="213"/>
      <c r="PPR9" s="213"/>
      <c r="PQE9" s="213"/>
      <c r="PQR9" s="213"/>
      <c r="PRE9" s="213"/>
      <c r="PRR9" s="213"/>
      <c r="PSE9" s="213"/>
      <c r="PSR9" s="213"/>
      <c r="PTE9" s="213"/>
      <c r="PTR9" s="213"/>
      <c r="PUE9" s="213"/>
      <c r="PUR9" s="213"/>
      <c r="PVE9" s="213"/>
      <c r="PVR9" s="213"/>
      <c r="PWE9" s="213"/>
      <c r="PWR9" s="213"/>
      <c r="PXE9" s="213"/>
      <c r="PXR9" s="213"/>
      <c r="PYE9" s="213"/>
      <c r="PYR9" s="213"/>
      <c r="PZE9" s="213"/>
      <c r="PZR9" s="213"/>
      <c r="QAE9" s="213"/>
      <c r="QAR9" s="213"/>
      <c r="QBE9" s="213"/>
      <c r="QBR9" s="213"/>
      <c r="QCE9" s="213"/>
      <c r="QCR9" s="213"/>
      <c r="QDE9" s="213"/>
      <c r="QDR9" s="213"/>
      <c r="QEE9" s="213"/>
      <c r="QER9" s="213"/>
      <c r="QFE9" s="213"/>
      <c r="QFR9" s="213"/>
      <c r="QGE9" s="213"/>
      <c r="QGR9" s="213"/>
      <c r="QHE9" s="213"/>
      <c r="QHR9" s="213"/>
      <c r="QIE9" s="213"/>
      <c r="QIR9" s="213"/>
      <c r="QJE9" s="213"/>
      <c r="QJR9" s="213"/>
      <c r="QKE9" s="213"/>
      <c r="QKR9" s="213"/>
      <c r="QLE9" s="213"/>
      <c r="QLR9" s="213"/>
      <c r="QME9" s="213"/>
      <c r="QMR9" s="213"/>
      <c r="QNE9" s="213"/>
      <c r="QNR9" s="213"/>
      <c r="QOE9" s="213"/>
      <c r="QOR9" s="213"/>
      <c r="QPE9" s="213"/>
      <c r="QPR9" s="213"/>
      <c r="QQE9" s="213"/>
      <c r="QQR9" s="213"/>
      <c r="QRE9" s="213"/>
      <c r="QRR9" s="213"/>
      <c r="QSE9" s="213"/>
      <c r="QSR9" s="213"/>
      <c r="QTE9" s="213"/>
      <c r="QTR9" s="213"/>
      <c r="QUE9" s="213"/>
      <c r="QUR9" s="213"/>
      <c r="QVE9" s="213"/>
      <c r="QVR9" s="213"/>
      <c r="QWE9" s="213"/>
      <c r="QWR9" s="213"/>
      <c r="QXE9" s="213"/>
      <c r="QXR9" s="213"/>
      <c r="QYE9" s="213"/>
      <c r="QYR9" s="213"/>
      <c r="QZE9" s="213"/>
      <c r="QZR9" s="213"/>
      <c r="RAE9" s="213"/>
      <c r="RAR9" s="213"/>
      <c r="RBE9" s="213"/>
      <c r="RBR9" s="213"/>
      <c r="RCE9" s="213"/>
      <c r="RCR9" s="213"/>
      <c r="RDE9" s="213"/>
      <c r="RDR9" s="213"/>
      <c r="REE9" s="213"/>
      <c r="RER9" s="213"/>
      <c r="RFE9" s="213"/>
      <c r="RFR9" s="213"/>
      <c r="RGE9" s="213"/>
      <c r="RGR9" s="213"/>
      <c r="RHE9" s="213"/>
      <c r="RHR9" s="213"/>
      <c r="RIE9" s="213"/>
      <c r="RIR9" s="213"/>
      <c r="RJE9" s="213"/>
      <c r="RJR9" s="213"/>
      <c r="RKE9" s="213"/>
      <c r="RKR9" s="213"/>
      <c r="RLE9" s="213"/>
      <c r="RLR9" s="213"/>
      <c r="RME9" s="213"/>
      <c r="RMR9" s="213"/>
      <c r="RNE9" s="213"/>
      <c r="RNR9" s="213"/>
      <c r="ROE9" s="213"/>
      <c r="ROR9" s="213"/>
      <c r="RPE9" s="213"/>
      <c r="RPR9" s="213"/>
      <c r="RQE9" s="213"/>
      <c r="RQR9" s="213"/>
      <c r="RRE9" s="213"/>
      <c r="RRR9" s="213"/>
      <c r="RSE9" s="213"/>
      <c r="RSR9" s="213"/>
      <c r="RTE9" s="213"/>
      <c r="RTR9" s="213"/>
      <c r="RUE9" s="213"/>
      <c r="RUR9" s="213"/>
      <c r="RVE9" s="213"/>
      <c r="RVR9" s="213"/>
      <c r="RWE9" s="213"/>
      <c r="RWR9" s="213"/>
      <c r="RXE9" s="213"/>
      <c r="RXR9" s="213"/>
      <c r="RYE9" s="213"/>
      <c r="RYR9" s="213"/>
      <c r="RZE9" s="213"/>
      <c r="RZR9" s="213"/>
      <c r="SAE9" s="213"/>
      <c r="SAR9" s="213"/>
      <c r="SBE9" s="213"/>
      <c r="SBR9" s="213"/>
      <c r="SCE9" s="213"/>
      <c r="SCR9" s="213"/>
      <c r="SDE9" s="213"/>
      <c r="SDR9" s="213"/>
      <c r="SEE9" s="213"/>
      <c r="SER9" s="213"/>
      <c r="SFE9" s="213"/>
      <c r="SFR9" s="213"/>
      <c r="SGE9" s="213"/>
      <c r="SGR9" s="213"/>
      <c r="SHE9" s="213"/>
      <c r="SHR9" s="213"/>
      <c r="SIE9" s="213"/>
      <c r="SIR9" s="213"/>
      <c r="SJE9" s="213"/>
      <c r="SJR9" s="213"/>
      <c r="SKE9" s="213"/>
      <c r="SKR9" s="213"/>
      <c r="SLE9" s="213"/>
      <c r="SLR9" s="213"/>
      <c r="SME9" s="213"/>
      <c r="SMR9" s="213"/>
      <c r="SNE9" s="213"/>
      <c r="SNR9" s="213"/>
      <c r="SOE9" s="213"/>
      <c r="SOR9" s="213"/>
      <c r="SPE9" s="213"/>
      <c r="SPR9" s="213"/>
      <c r="SQE9" s="213"/>
      <c r="SQR9" s="213"/>
      <c r="SRE9" s="213"/>
      <c r="SRR9" s="213"/>
      <c r="SSE9" s="213"/>
      <c r="SSR9" s="213"/>
      <c r="STE9" s="213"/>
      <c r="STR9" s="213"/>
      <c r="SUE9" s="213"/>
      <c r="SUR9" s="213"/>
      <c r="SVE9" s="213"/>
      <c r="SVR9" s="213"/>
      <c r="SWE9" s="213"/>
      <c r="SWR9" s="213"/>
      <c r="SXE9" s="213"/>
      <c r="SXR9" s="213"/>
      <c r="SYE9" s="213"/>
      <c r="SYR9" s="213"/>
      <c r="SZE9" s="213"/>
      <c r="SZR9" s="213"/>
      <c r="TAE9" s="213"/>
      <c r="TAR9" s="213"/>
      <c r="TBE9" s="213"/>
      <c r="TBR9" s="213"/>
      <c r="TCE9" s="213"/>
      <c r="TCR9" s="213"/>
      <c r="TDE9" s="213"/>
      <c r="TDR9" s="213"/>
      <c r="TEE9" s="213"/>
      <c r="TER9" s="213"/>
      <c r="TFE9" s="213"/>
      <c r="TFR9" s="213"/>
      <c r="TGE9" s="213"/>
      <c r="TGR9" s="213"/>
      <c r="THE9" s="213"/>
      <c r="THR9" s="213"/>
      <c r="TIE9" s="213"/>
      <c r="TIR9" s="213"/>
      <c r="TJE9" s="213"/>
      <c r="TJR9" s="213"/>
      <c r="TKE9" s="213"/>
      <c r="TKR9" s="213"/>
      <c r="TLE9" s="213"/>
      <c r="TLR9" s="213"/>
      <c r="TME9" s="213"/>
      <c r="TMR9" s="213"/>
      <c r="TNE9" s="213"/>
      <c r="TNR9" s="213"/>
      <c r="TOE9" s="213"/>
      <c r="TOR9" s="213"/>
      <c r="TPE9" s="213"/>
      <c r="TPR9" s="213"/>
      <c r="TQE9" s="213"/>
      <c r="TQR9" s="213"/>
      <c r="TRE9" s="213"/>
      <c r="TRR9" s="213"/>
      <c r="TSE9" s="213"/>
      <c r="TSR9" s="213"/>
      <c r="TTE9" s="213"/>
      <c r="TTR9" s="213"/>
      <c r="TUE9" s="213"/>
      <c r="TUR9" s="213"/>
      <c r="TVE9" s="213"/>
      <c r="TVR9" s="213"/>
      <c r="TWE9" s="213"/>
      <c r="TWR9" s="213"/>
      <c r="TXE9" s="213"/>
      <c r="TXR9" s="213"/>
      <c r="TYE9" s="213"/>
      <c r="TYR9" s="213"/>
      <c r="TZE9" s="213"/>
      <c r="TZR9" s="213"/>
      <c r="UAE9" s="213"/>
      <c r="UAR9" s="213"/>
      <c r="UBE9" s="213"/>
      <c r="UBR9" s="213"/>
      <c r="UCE9" s="213"/>
      <c r="UCR9" s="213"/>
      <c r="UDE9" s="213"/>
      <c r="UDR9" s="213"/>
      <c r="UEE9" s="213"/>
      <c r="UER9" s="213"/>
      <c r="UFE9" s="213"/>
      <c r="UFR9" s="213"/>
      <c r="UGE9" s="213"/>
      <c r="UGR9" s="213"/>
      <c r="UHE9" s="213"/>
      <c r="UHR9" s="213"/>
      <c r="UIE9" s="213"/>
      <c r="UIR9" s="213"/>
      <c r="UJE9" s="213"/>
      <c r="UJR9" s="213"/>
      <c r="UKE9" s="213"/>
      <c r="UKR9" s="213"/>
      <c r="ULE9" s="213"/>
      <c r="ULR9" s="213"/>
      <c r="UME9" s="213"/>
      <c r="UMR9" s="213"/>
      <c r="UNE9" s="213"/>
      <c r="UNR9" s="213"/>
      <c r="UOE9" s="213"/>
      <c r="UOR9" s="213"/>
      <c r="UPE9" s="213"/>
      <c r="UPR9" s="213"/>
      <c r="UQE9" s="213"/>
      <c r="UQR9" s="213"/>
      <c r="URE9" s="213"/>
      <c r="URR9" s="213"/>
      <c r="USE9" s="213"/>
      <c r="USR9" s="213"/>
      <c r="UTE9" s="213"/>
      <c r="UTR9" s="213"/>
      <c r="UUE9" s="213"/>
      <c r="UUR9" s="213"/>
      <c r="UVE9" s="213"/>
      <c r="UVR9" s="213"/>
      <c r="UWE9" s="213"/>
      <c r="UWR9" s="213"/>
      <c r="UXE9" s="213"/>
      <c r="UXR9" s="213"/>
      <c r="UYE9" s="213"/>
      <c r="UYR9" s="213"/>
      <c r="UZE9" s="213"/>
      <c r="UZR9" s="213"/>
      <c r="VAE9" s="213"/>
      <c r="VAR9" s="213"/>
      <c r="VBE9" s="213"/>
      <c r="VBR9" s="213"/>
      <c r="VCE9" s="213"/>
      <c r="VCR9" s="213"/>
      <c r="VDE9" s="213"/>
      <c r="VDR9" s="213"/>
      <c r="VEE9" s="213"/>
      <c r="VER9" s="213"/>
      <c r="VFE9" s="213"/>
      <c r="VFR9" s="213"/>
      <c r="VGE9" s="213"/>
      <c r="VGR9" s="213"/>
      <c r="VHE9" s="213"/>
      <c r="VHR9" s="213"/>
      <c r="VIE9" s="213"/>
      <c r="VIR9" s="213"/>
      <c r="VJE9" s="213"/>
      <c r="VJR9" s="213"/>
      <c r="VKE9" s="213"/>
      <c r="VKR9" s="213"/>
      <c r="VLE9" s="213"/>
      <c r="VLR9" s="213"/>
      <c r="VME9" s="213"/>
      <c r="VMR9" s="213"/>
      <c r="VNE9" s="213"/>
      <c r="VNR9" s="213"/>
      <c r="VOE9" s="213"/>
      <c r="VOR9" s="213"/>
      <c r="VPE9" s="213"/>
      <c r="VPR9" s="213"/>
      <c r="VQE9" s="213"/>
      <c r="VQR9" s="213"/>
      <c r="VRE9" s="213"/>
      <c r="VRR9" s="213"/>
      <c r="VSE9" s="213"/>
      <c r="VSR9" s="213"/>
      <c r="VTE9" s="213"/>
      <c r="VTR9" s="213"/>
      <c r="VUE9" s="213"/>
      <c r="VUR9" s="213"/>
      <c r="VVE9" s="213"/>
      <c r="VVR9" s="213"/>
      <c r="VWE9" s="213"/>
      <c r="VWR9" s="213"/>
      <c r="VXE9" s="213"/>
      <c r="VXR9" s="213"/>
      <c r="VYE9" s="213"/>
      <c r="VYR9" s="213"/>
      <c r="VZE9" s="213"/>
      <c r="VZR9" s="213"/>
      <c r="WAE9" s="213"/>
      <c r="WAR9" s="213"/>
      <c r="WBE9" s="213"/>
      <c r="WBR9" s="213"/>
      <c r="WCE9" s="213"/>
      <c r="WCR9" s="213"/>
      <c r="WDE9" s="213"/>
      <c r="WDR9" s="213"/>
      <c r="WEE9" s="213"/>
      <c r="WER9" s="213"/>
      <c r="WFE9" s="213"/>
      <c r="WFR9" s="213"/>
      <c r="WGE9" s="213"/>
      <c r="WGR9" s="213"/>
      <c r="WHE9" s="213"/>
      <c r="WHR9" s="213"/>
      <c r="WIE9" s="213"/>
      <c r="WIR9" s="213"/>
      <c r="WJE9" s="213"/>
      <c r="WJR9" s="213"/>
      <c r="WKE9" s="213"/>
      <c r="WKR9" s="213"/>
      <c r="WLE9" s="213"/>
      <c r="WLR9" s="213"/>
      <c r="WME9" s="213"/>
      <c r="WMR9" s="213"/>
      <c r="WNE9" s="213"/>
      <c r="WNR9" s="213"/>
      <c r="WOE9" s="213"/>
      <c r="WOR9" s="213"/>
      <c r="WPE9" s="213"/>
      <c r="WPR9" s="213"/>
      <c r="WQE9" s="213"/>
      <c r="WQR9" s="213"/>
      <c r="WRE9" s="213"/>
      <c r="WRR9" s="213"/>
      <c r="WSE9" s="213"/>
      <c r="WSR9" s="213"/>
      <c r="WTE9" s="213"/>
      <c r="WTR9" s="213"/>
      <c r="WUE9" s="213"/>
      <c r="WUR9" s="213"/>
      <c r="WVE9" s="213"/>
      <c r="WVR9" s="213"/>
      <c r="WWE9" s="213"/>
      <c r="WWR9" s="213"/>
      <c r="WXE9" s="213"/>
      <c r="WXR9" s="213"/>
      <c r="WYE9" s="213"/>
      <c r="WYR9" s="213"/>
      <c r="WZE9" s="213"/>
      <c r="WZR9" s="213"/>
      <c r="XAE9" s="213"/>
      <c r="XAR9" s="213"/>
      <c r="XBE9" s="213"/>
      <c r="XBR9" s="213"/>
      <c r="XCE9" s="213"/>
      <c r="XCR9" s="213"/>
      <c r="XDE9" s="213"/>
      <c r="XDR9" s="213"/>
      <c r="XEE9" s="213"/>
      <c r="XER9" s="213"/>
    </row>
    <row r="10" spans="1:1019 1032:2046 2059:3060 3073:4087 4100:5114 5127:6141 6154:7168 7181:8182 8195:9209 9222:10236 10249:11263 11276:12277 12290:13304 13317:14331 14344:15358 15371:16372" s="164" customFormat="1" ht="13" customHeight="1">
      <c r="A10" s="224"/>
      <c r="B10" s="16" t="str">
        <f>IF('Summary | Sumário'!D$6=Names!B$3,Names!M7,Names!N7)</f>
        <v>Expenses from services and commissions</v>
      </c>
      <c r="C10" s="215">
        <v>-56627.339</v>
      </c>
      <c r="D10" s="215">
        <v>-71611</v>
      </c>
      <c r="E10" s="215">
        <v>-100297</v>
      </c>
      <c r="F10" s="215">
        <v>-129233</v>
      </c>
      <c r="G10" s="215">
        <v>-135582</v>
      </c>
      <c r="H10" s="215">
        <v>-143430.21100000001</v>
      </c>
      <c r="I10" s="215"/>
      <c r="J10" s="215">
        <v>-23279</v>
      </c>
      <c r="K10" s="215">
        <v>-21841</v>
      </c>
      <c r="L10" s="215">
        <v>-26430</v>
      </c>
      <c r="M10" s="215">
        <v>-28747</v>
      </c>
      <c r="N10" s="215">
        <v>-28516</v>
      </c>
      <c r="O10" s="215">
        <v>-33954</v>
      </c>
      <c r="P10" s="215">
        <v>-33404</v>
      </c>
      <c r="Q10" s="215">
        <v>-33359</v>
      </c>
      <c r="R10" s="215">
        <v>-35678</v>
      </c>
      <c r="S10" s="215">
        <v>-31723</v>
      </c>
      <c r="T10" s="215">
        <v>-32271</v>
      </c>
      <c r="U10" s="215">
        <v>-35910</v>
      </c>
      <c r="V10" s="215">
        <v>-34021.773478642281</v>
      </c>
      <c r="W10" s="215">
        <v>-32942.008999999998</v>
      </c>
      <c r="X10" s="215">
        <v>-37676.508000000002</v>
      </c>
      <c r="Y10" s="215">
        <v>-38789.920521357737</v>
      </c>
      <c r="Z10" s="215">
        <v>-40810.6</v>
      </c>
      <c r="AA10" s="215">
        <v>-42997</v>
      </c>
      <c r="AB10" s="215">
        <v>-46809</v>
      </c>
      <c r="AC10" s="215"/>
      <c r="AD10" s="332">
        <f t="shared" si="1"/>
        <v>8.8657348187082929E-2</v>
      </c>
      <c r="AE10" s="332">
        <f>AB10/X10-1</f>
        <v>0.24239220895949276</v>
      </c>
    </row>
    <row r="11" spans="1:1019 1032:2046 2059:3060 3073:4087 4100:5114 5127:6141 6154:7168 7181:8182 8195:9209 9222:10236 10249:11263 11276:12277 12290:13304 13317:14331 14344:15358 15371:16372" ht="13" customHeight="1">
      <c r="A11" s="211"/>
      <c r="B11" s="22" t="str">
        <f>IF('Summary | Sumário'!D$6=Names!B$3,Names!M10,Names!N10)</f>
        <v>Other revenues</v>
      </c>
      <c r="C11" s="214">
        <v>46867</v>
      </c>
      <c r="D11" s="214">
        <v>92564</v>
      </c>
      <c r="E11" s="214">
        <v>165415</v>
      </c>
      <c r="F11" s="214">
        <v>288682</v>
      </c>
      <c r="G11" s="214">
        <v>286980</v>
      </c>
      <c r="H11" s="214">
        <v>333570.52926939999</v>
      </c>
      <c r="I11" s="215"/>
      <c r="J11" s="214">
        <v>41623</v>
      </c>
      <c r="K11" s="214">
        <v>69359</v>
      </c>
      <c r="L11" s="214">
        <v>30496</v>
      </c>
      <c r="M11" s="214">
        <v>23937</v>
      </c>
      <c r="N11" s="214">
        <v>95374</v>
      </c>
      <c r="O11" s="214">
        <v>85809</v>
      </c>
      <c r="P11" s="214">
        <v>46550</v>
      </c>
      <c r="Q11" s="214">
        <v>60949</v>
      </c>
      <c r="R11" s="214">
        <v>50958</v>
      </c>
      <c r="S11" s="214">
        <v>54967</v>
      </c>
      <c r="T11" s="214">
        <v>104770.50028000001</v>
      </c>
      <c r="U11" s="214">
        <v>76284.499719999993</v>
      </c>
      <c r="V11" s="214">
        <v>68201</v>
      </c>
      <c r="W11" s="214">
        <v>72531.218238679983</v>
      </c>
      <c r="X11" s="214">
        <v>81802.620979938802</v>
      </c>
      <c r="Y11" s="214">
        <v>111035.69005078121</v>
      </c>
      <c r="Z11" s="214">
        <v>56093.4</v>
      </c>
      <c r="AA11" s="214">
        <v>81444.399999999994</v>
      </c>
      <c r="AB11" s="214">
        <v>72103</v>
      </c>
      <c r="AC11" s="215"/>
      <c r="AD11" s="333">
        <f t="shared" si="1"/>
        <v>-0.11469665194905965</v>
      </c>
      <c r="AE11" s="333">
        <f>AB11/X11-1</f>
        <v>-0.11857347434280285</v>
      </c>
    </row>
    <row r="12" spans="1:1019 1032:2046 2059:3060 3073:4087 4100:5114 5127:6141 6154:7168 7181:8182 8195:9209 9222:10236 10249:11263 11276:12277 12290:13304 13317:14331 14344:15358 15371:16372" s="161" customFormat="1" ht="13" customHeight="1">
      <c r="A12" s="235"/>
      <c r="B12" s="283" t="str">
        <f>IF('Summary | Sumário'!D$6=Names!B$3,Names!M26,Names!N26)</f>
        <v>Revenues</v>
      </c>
      <c r="C12" s="284">
        <v>712223.66099999996</v>
      </c>
      <c r="D12" s="284">
        <v>1011378.89518</v>
      </c>
      <c r="E12" s="284">
        <v>2221823.2459999998</v>
      </c>
      <c r="F12" s="284">
        <v>3562697.1849999996</v>
      </c>
      <c r="G12" s="284">
        <v>4752577</v>
      </c>
      <c r="H12" s="284">
        <v>6400165.1972113997</v>
      </c>
      <c r="I12" s="227"/>
      <c r="J12" s="284">
        <v>416766.33899999998</v>
      </c>
      <c r="K12" s="284">
        <v>467413.34700000007</v>
      </c>
      <c r="L12" s="284">
        <v>606509.88</v>
      </c>
      <c r="M12" s="284">
        <v>731132.34600000002</v>
      </c>
      <c r="N12" s="284">
        <v>833521.0149999999</v>
      </c>
      <c r="O12" s="284">
        <v>877020.3110000001</v>
      </c>
      <c r="P12" s="284">
        <v>850303.46699999995</v>
      </c>
      <c r="Q12" s="284">
        <v>1001852.392</v>
      </c>
      <c r="R12" s="284">
        <v>1024114.1240000001</v>
      </c>
      <c r="S12" s="284">
        <v>1150034</v>
      </c>
      <c r="T12" s="284">
        <v>1265495.60824</v>
      </c>
      <c r="U12" s="284">
        <v>1312933.8627599999</v>
      </c>
      <c r="V12" s="284">
        <v>1400940.115371532</v>
      </c>
      <c r="W12" s="284">
        <v>1478597.8110425298</v>
      </c>
      <c r="X12" s="284">
        <v>1676142.244553572</v>
      </c>
      <c r="Y12" s="284">
        <v>1844485.0262437663</v>
      </c>
      <c r="Z12" s="284">
        <v>1837801.1</v>
      </c>
      <c r="AA12" s="284">
        <v>2003082.4</v>
      </c>
      <c r="AB12" s="284">
        <v>2162164</v>
      </c>
      <c r="AC12" s="227"/>
      <c r="AD12" s="334">
        <f t="shared" si="1"/>
        <v>7.9418400361363162E-2</v>
      </c>
      <c r="AE12" s="334">
        <f>AB12/X12-1</f>
        <v>0.28996450451964839</v>
      </c>
    </row>
    <row r="13" spans="1:1019 1032:2046 2059:3060 3073:4087 4100:5114 5127:6141 6154:7168 7181:8182 8195:9209 9222:10236 10249:11263 11276:12277 12290:13304 13317:14331 14344:15358 15371:16372" s="161" customFormat="1" ht="13" customHeight="1">
      <c r="A13" s="235"/>
      <c r="B13" s="52"/>
      <c r="C13" s="236"/>
      <c r="D13" s="236"/>
      <c r="E13" s="236"/>
      <c r="F13" s="236"/>
      <c r="G13" s="236"/>
      <c r="H13" s="236"/>
      <c r="I13" s="227"/>
      <c r="J13" s="236"/>
      <c r="K13" s="236"/>
      <c r="L13" s="236"/>
      <c r="M13" s="236"/>
      <c r="N13" s="236"/>
      <c r="O13" s="236"/>
      <c r="P13" s="236"/>
      <c r="Q13" s="236"/>
      <c r="R13" s="236"/>
      <c r="S13" s="236"/>
      <c r="T13" s="236"/>
      <c r="U13" s="236"/>
      <c r="V13" s="236"/>
      <c r="W13" s="236"/>
      <c r="X13" s="236"/>
      <c r="Y13" s="236"/>
      <c r="Z13" s="236"/>
      <c r="AA13" s="236"/>
      <c r="AB13" s="236"/>
      <c r="AC13" s="227"/>
      <c r="AD13" s="325"/>
      <c r="AE13" s="325"/>
    </row>
    <row r="14" spans="1:1019 1032:2046 2059:3060 3073:4087 4100:5114 5127:6141 6154:7168 7181:8182 8195:9209 9222:10236 10249:11263 11276:12277 12290:13304 13317:14331 14344:15358 15371:16372" ht="13" customHeight="1">
      <c r="A14" s="211"/>
      <c r="B14" s="16" t="str">
        <f>IF('Summary | Sumário'!D$6=Names!B$3,Names!M13,Names!N13)</f>
        <v>Impairment losses on financial assets</v>
      </c>
      <c r="C14" s="149">
        <v>-138570</v>
      </c>
      <c r="D14" s="149">
        <v>-213688</v>
      </c>
      <c r="E14" s="149">
        <v>-595581</v>
      </c>
      <c r="F14" s="149">
        <v>-1083237</v>
      </c>
      <c r="G14" s="149">
        <v>-1541584</v>
      </c>
      <c r="H14" s="149">
        <v>-1799452.3359999999</v>
      </c>
      <c r="I14" s="215"/>
      <c r="J14" s="149">
        <v>-106669</v>
      </c>
      <c r="K14" s="149">
        <v>-167441</v>
      </c>
      <c r="L14" s="149">
        <v>-138005</v>
      </c>
      <c r="M14" s="149">
        <v>-183466</v>
      </c>
      <c r="N14" s="149">
        <v>-312946</v>
      </c>
      <c r="O14" s="149">
        <v>-242464</v>
      </c>
      <c r="P14" s="149">
        <v>-263113</v>
      </c>
      <c r="Q14" s="149">
        <v>-264714</v>
      </c>
      <c r="R14" s="149">
        <v>-350681</v>
      </c>
      <c r="S14" s="149">
        <v>-398560</v>
      </c>
      <c r="T14" s="149">
        <v>-407899</v>
      </c>
      <c r="U14" s="149">
        <v>-384444</v>
      </c>
      <c r="V14" s="149">
        <v>-411048</v>
      </c>
      <c r="W14" s="149">
        <v>-421247.66100000002</v>
      </c>
      <c r="X14" s="149">
        <v>-471426.65</v>
      </c>
      <c r="Y14" s="149">
        <v>-495730.02499999967</v>
      </c>
      <c r="Z14" s="149">
        <v>-513681.4</v>
      </c>
      <c r="AA14" s="149">
        <v>-569249</v>
      </c>
      <c r="AB14" s="149">
        <v>-640796</v>
      </c>
      <c r="AC14" s="149"/>
      <c r="AD14" s="320">
        <f t="shared" ref="AD14:AD15" si="2">AB14/AA14-1</f>
        <v>0.12568665030592929</v>
      </c>
      <c r="AE14" s="320">
        <f>AB14/X14-1</f>
        <v>0.35926978247835573</v>
      </c>
    </row>
    <row r="15" spans="1:1019 1032:2046 2059:3060 3073:4087 4100:5114 5127:6141 6154:7168 7181:8182 8195:9209 9222:10236 10249:11263 11276:12277 12290:13304 13317:14331 14344:15358 15371:16372" s="161" customFormat="1" ht="13" customHeight="1">
      <c r="A15" s="235"/>
      <c r="B15" s="285" t="str">
        <f>IF('Summary | Sumário'!D$6=Names!B$3,Names!M25,Names!N25)</f>
        <v>Net result of losses</v>
      </c>
      <c r="C15" s="282">
        <v>573653.66099999996</v>
      </c>
      <c r="D15" s="282">
        <v>797690.89517999999</v>
      </c>
      <c r="E15" s="282">
        <v>1626242.2459999998</v>
      </c>
      <c r="F15" s="282">
        <v>2479460.1849999996</v>
      </c>
      <c r="G15" s="282">
        <v>3210993</v>
      </c>
      <c r="H15" s="282">
        <v>4600712.8612114005</v>
      </c>
      <c r="I15" s="227"/>
      <c r="J15" s="282">
        <v>310096.935</v>
      </c>
      <c r="K15" s="282">
        <v>299972.75100000005</v>
      </c>
      <c r="L15" s="282">
        <v>468504.88</v>
      </c>
      <c r="M15" s="282">
        <v>547666.67999999993</v>
      </c>
      <c r="N15" s="282">
        <v>520575.0149999999</v>
      </c>
      <c r="O15" s="282">
        <v>634556.3110000001</v>
      </c>
      <c r="P15" s="282">
        <v>587190.46699999995</v>
      </c>
      <c r="Q15" s="282">
        <v>737138.39199999999</v>
      </c>
      <c r="R15" s="282">
        <v>673433.12400000007</v>
      </c>
      <c r="S15" s="282">
        <v>751474</v>
      </c>
      <c r="T15" s="282">
        <v>857596.60823999997</v>
      </c>
      <c r="U15" s="282">
        <v>928489.86275999993</v>
      </c>
      <c r="V15" s="282">
        <v>989892.11537153204</v>
      </c>
      <c r="W15" s="282">
        <v>1057350.1500425297</v>
      </c>
      <c r="X15" s="282">
        <v>1204715.5945535721</v>
      </c>
      <c r="Y15" s="282">
        <v>1348755.0012437666</v>
      </c>
      <c r="Z15" s="282">
        <v>1324119.7000000002</v>
      </c>
      <c r="AA15" s="282">
        <v>1433833.4</v>
      </c>
      <c r="AB15" s="282">
        <v>1521368</v>
      </c>
      <c r="AC15" s="227"/>
      <c r="AD15" s="317">
        <f t="shared" si="2"/>
        <v>6.1049352037691573E-2</v>
      </c>
      <c r="AE15" s="317">
        <f>AB15/X15-1</f>
        <v>0.26284411597059876</v>
      </c>
      <c r="AG15" s="213"/>
    </row>
    <row r="16" spans="1:1019 1032:2046 2059:3060 3073:4087 4100:5114 5127:6141 6154:7168 7181:8182 8195:9209 9222:10236 10249:11263 11276:12277 12290:13304 13317:14331 14344:15358 15371:16372" ht="13" customHeight="1">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210"/>
      <c r="AE16" s="210"/>
    </row>
    <row r="17" spans="1:31" ht="13" customHeight="1">
      <c r="A17" s="211"/>
      <c r="B17" s="22" t="str">
        <f>IF('Summary | Sumário'!D$6=Names!B$3,Names!M12,Names!N12)</f>
        <v>Other income</v>
      </c>
      <c r="C17" s="237">
        <v>0</v>
      </c>
      <c r="D17" s="237">
        <v>109216</v>
      </c>
      <c r="E17" s="237">
        <v>0</v>
      </c>
      <c r="F17" s="237">
        <v>0</v>
      </c>
      <c r="G17" s="237">
        <v>0</v>
      </c>
      <c r="H17" s="237">
        <v>0</v>
      </c>
      <c r="I17" s="215"/>
      <c r="J17" s="237">
        <v>0</v>
      </c>
      <c r="K17" s="237">
        <v>0</v>
      </c>
      <c r="L17" s="237">
        <v>0</v>
      </c>
      <c r="M17" s="237">
        <v>0</v>
      </c>
      <c r="N17" s="237">
        <v>0</v>
      </c>
      <c r="O17" s="237">
        <v>0</v>
      </c>
      <c r="P17" s="237">
        <v>0</v>
      </c>
      <c r="Q17" s="237">
        <v>0</v>
      </c>
      <c r="R17" s="237" t="s">
        <v>1048</v>
      </c>
      <c r="S17" s="237">
        <v>0</v>
      </c>
      <c r="T17" s="237">
        <v>0</v>
      </c>
      <c r="U17" s="237">
        <v>0</v>
      </c>
      <c r="V17" s="237">
        <v>0</v>
      </c>
      <c r="W17" s="237">
        <v>0</v>
      </c>
      <c r="X17" s="237">
        <v>0</v>
      </c>
      <c r="Y17" s="237">
        <v>0</v>
      </c>
      <c r="Z17" s="237">
        <v>0</v>
      </c>
      <c r="AA17" s="237">
        <v>0</v>
      </c>
      <c r="AB17" s="237">
        <v>0</v>
      </c>
      <c r="AC17" s="149"/>
      <c r="AD17" s="214">
        <v>0</v>
      </c>
      <c r="AE17" s="214">
        <v>0</v>
      </c>
    </row>
    <row r="18" spans="1:31" ht="13" customHeight="1">
      <c r="A18" s="211"/>
      <c r="B18" s="16" t="str">
        <f>IF('Summary | Sumário'!D$6=Names!B$3,Names!M14,Names!N14)</f>
        <v>Personnel expenses</v>
      </c>
      <c r="C18" s="149">
        <v>-169198</v>
      </c>
      <c r="D18" s="149">
        <v>-229096</v>
      </c>
      <c r="E18" s="149">
        <v>-443328</v>
      </c>
      <c r="F18" s="149">
        <v>-733605</v>
      </c>
      <c r="G18" s="149">
        <v>-790739</v>
      </c>
      <c r="H18" s="149">
        <v>-937761.13</v>
      </c>
      <c r="I18" s="215"/>
      <c r="J18" s="149">
        <v>-81861</v>
      </c>
      <c r="K18" s="149">
        <v>-93046</v>
      </c>
      <c r="L18" s="149">
        <v>-121250</v>
      </c>
      <c r="M18" s="149">
        <v>-147171</v>
      </c>
      <c r="N18" s="149">
        <v>-145120</v>
      </c>
      <c r="O18" s="149">
        <v>-172466</v>
      </c>
      <c r="P18" s="149">
        <v>-176232</v>
      </c>
      <c r="Q18" s="149">
        <v>-239787</v>
      </c>
      <c r="R18" s="149">
        <v>-172412</v>
      </c>
      <c r="S18" s="149">
        <v>-186249</v>
      </c>
      <c r="T18" s="149">
        <v>-210661</v>
      </c>
      <c r="U18" s="149">
        <v>-221417</v>
      </c>
      <c r="V18" s="149">
        <v>-190463</v>
      </c>
      <c r="W18" s="149">
        <v>-204206.56551999997</v>
      </c>
      <c r="X18" s="149">
        <v>-258954.60447999998</v>
      </c>
      <c r="Y18" s="149">
        <v>-284136.96000000008</v>
      </c>
      <c r="Z18" s="149">
        <v>-234873.2</v>
      </c>
      <c r="AA18" s="149">
        <v>-256765</v>
      </c>
      <c r="AB18" s="149">
        <v>-285248</v>
      </c>
      <c r="AC18" s="149"/>
      <c r="AD18" s="320">
        <f>AB18/AA18-1</f>
        <v>0.11093022802952124</v>
      </c>
      <c r="AE18" s="320">
        <f>AB18/X18-1</f>
        <v>0.10153669819001321</v>
      </c>
    </row>
    <row r="19" spans="1:31" ht="13" customHeight="1">
      <c r="A19" s="211"/>
      <c r="B19" s="22" t="str">
        <f>IF('Summary | Sumário'!D$6=Names!B$3,Names!M15,Names!N15)</f>
        <v>Depreciation and amortization</v>
      </c>
      <c r="C19" s="237">
        <v>-17463</v>
      </c>
      <c r="D19" s="237">
        <v>-43659</v>
      </c>
      <c r="E19" s="237">
        <v>-94250.52</v>
      </c>
      <c r="F19" s="237">
        <v>-163972</v>
      </c>
      <c r="G19" s="237">
        <v>-160440</v>
      </c>
      <c r="H19" s="237">
        <v>-208829.429</v>
      </c>
      <c r="I19" s="215"/>
      <c r="J19" s="237">
        <v>-19166</v>
      </c>
      <c r="K19" s="237">
        <v>-25338</v>
      </c>
      <c r="L19" s="237">
        <v>-30883</v>
      </c>
      <c r="M19" s="237">
        <v>-18863.520000000004</v>
      </c>
      <c r="N19" s="237">
        <v>-36478</v>
      </c>
      <c r="O19" s="237">
        <v>-35511</v>
      </c>
      <c r="P19" s="237">
        <v>-35620</v>
      </c>
      <c r="Q19" s="237">
        <v>-56363</v>
      </c>
      <c r="R19" s="237">
        <v>-37577</v>
      </c>
      <c r="S19" s="237">
        <v>-41130</v>
      </c>
      <c r="T19" s="237">
        <v>-40591</v>
      </c>
      <c r="U19" s="237">
        <v>-41142</v>
      </c>
      <c r="V19" s="237">
        <v>-41900</v>
      </c>
      <c r="W19" s="237">
        <v>-53034.879000000001</v>
      </c>
      <c r="X19" s="237">
        <v>-53349</v>
      </c>
      <c r="Y19" s="237">
        <v>-60545.549999999988</v>
      </c>
      <c r="Z19" s="237">
        <v>-67445</v>
      </c>
      <c r="AA19" s="237">
        <v>-76631</v>
      </c>
      <c r="AB19" s="237">
        <v>-84524</v>
      </c>
      <c r="AC19" s="149"/>
      <c r="AD19" s="503">
        <f t="shared" ref="AD19:AD21" si="3">AB19/AA19-1</f>
        <v>0.10300009134684407</v>
      </c>
      <c r="AE19" s="503">
        <f t="shared" ref="AE19:AE25" si="4">AB19/X19-1</f>
        <v>0.58435959436915397</v>
      </c>
    </row>
    <row r="20" spans="1:31" ht="13" customHeight="1">
      <c r="A20" s="211"/>
      <c r="B20" s="16" t="str">
        <f>IF('Summary | Sumário'!D$6=Names!B$3,Names!M16,Names!N16)</f>
        <v>Tax expenses</v>
      </c>
      <c r="C20" s="215">
        <v>0</v>
      </c>
      <c r="D20" s="215">
        <v>0</v>
      </c>
      <c r="E20" s="215">
        <v>-146721.22500000001</v>
      </c>
      <c r="F20" s="215">
        <v>-248588</v>
      </c>
      <c r="G20" s="215">
        <v>-326584</v>
      </c>
      <c r="H20" s="215">
        <v>-477037.39600000001</v>
      </c>
      <c r="I20" s="215"/>
      <c r="J20" s="215">
        <v>-27534.687000000002</v>
      </c>
      <c r="K20" s="215">
        <v>-30373</v>
      </c>
      <c r="L20" s="215">
        <v>-40645.811999999998</v>
      </c>
      <c r="M20" s="215">
        <v>-48167.726000000002</v>
      </c>
      <c r="N20" s="215">
        <v>-56693</v>
      </c>
      <c r="O20" s="215">
        <v>-61600</v>
      </c>
      <c r="P20" s="215">
        <v>-61544</v>
      </c>
      <c r="Q20" s="215">
        <v>-68751</v>
      </c>
      <c r="R20" s="215">
        <v>-68871</v>
      </c>
      <c r="S20" s="215">
        <v>-72463</v>
      </c>
      <c r="T20" s="215">
        <v>-94072</v>
      </c>
      <c r="U20" s="215">
        <v>-91178</v>
      </c>
      <c r="V20" s="215">
        <v>-86331</v>
      </c>
      <c r="W20" s="215">
        <v>-99417.270999999993</v>
      </c>
      <c r="X20" s="215">
        <v>-123632.909</v>
      </c>
      <c r="Y20" s="215">
        <v>-167656.21600000001</v>
      </c>
      <c r="Z20" s="215">
        <v>-136055</v>
      </c>
      <c r="AA20" s="215">
        <v>-176879.6</v>
      </c>
      <c r="AB20" s="215">
        <v>-190327.6</v>
      </c>
      <c r="AC20" s="215"/>
      <c r="AD20" s="320">
        <f t="shared" si="3"/>
        <v>7.6029118111981209E-2</v>
      </c>
      <c r="AE20" s="320">
        <f t="shared" si="4"/>
        <v>0.53945742714830081</v>
      </c>
    </row>
    <row r="21" spans="1:31" ht="13" customHeight="1">
      <c r="A21" s="211"/>
      <c r="B21" s="22" t="str">
        <f>IF('Summary | Sumário'!D$6=Names!B$3,Names!M17,Names!N17)</f>
        <v>Administrative expenses</v>
      </c>
      <c r="C21" s="214">
        <v>-386309</v>
      </c>
      <c r="D21" s="214">
        <v>-641327</v>
      </c>
      <c r="E21" s="214">
        <v>-1164239.7749999999</v>
      </c>
      <c r="F21" s="214">
        <v>-1494484</v>
      </c>
      <c r="G21" s="214">
        <v>-1461348</v>
      </c>
      <c r="H21" s="214">
        <v>-1769055.128</v>
      </c>
      <c r="I21" s="215"/>
      <c r="J21" s="214">
        <v>-219095.31299999999</v>
      </c>
      <c r="K21" s="214">
        <v>-272761</v>
      </c>
      <c r="L21" s="214">
        <v>-235355.18799999999</v>
      </c>
      <c r="M21" s="214">
        <v>-437028.27399999998</v>
      </c>
      <c r="N21" s="214">
        <v>-376806</v>
      </c>
      <c r="O21" s="214">
        <v>-348618</v>
      </c>
      <c r="P21" s="214">
        <v>-379946</v>
      </c>
      <c r="Q21" s="214">
        <v>-389114</v>
      </c>
      <c r="R21" s="214">
        <v>-385615</v>
      </c>
      <c r="S21" s="214">
        <v>-347868</v>
      </c>
      <c r="T21" s="214">
        <v>-362877</v>
      </c>
      <c r="U21" s="214">
        <v>-364988</v>
      </c>
      <c r="V21" s="214">
        <v>-395244</v>
      </c>
      <c r="W21" s="214">
        <v>-402827.25400000002</v>
      </c>
      <c r="X21" s="214">
        <v>-474826</v>
      </c>
      <c r="Y21" s="214">
        <v>-496157.87400000007</v>
      </c>
      <c r="Z21" s="214">
        <v>-528199.6</v>
      </c>
      <c r="AA21" s="214">
        <v>-540029.6</v>
      </c>
      <c r="AB21" s="214">
        <v>-543343</v>
      </c>
      <c r="AC21" s="215"/>
      <c r="AD21" s="503">
        <f t="shared" si="3"/>
        <v>6.1355896047179392E-3</v>
      </c>
      <c r="AE21" s="503">
        <f t="shared" si="4"/>
        <v>0.14429917485563126</v>
      </c>
    </row>
    <row r="22" spans="1:31" ht="13" customHeight="1">
      <c r="A22" s="211"/>
      <c r="B22" s="51" t="str">
        <f>IF('Summary | Sumário'!D$6=Names!B$3,Names!M19,Names!N19)</f>
        <v>Income from equity interests in associates</v>
      </c>
      <c r="C22" s="215">
        <v>0</v>
      </c>
      <c r="D22" s="215">
        <v>0</v>
      </c>
      <c r="E22" s="215">
        <v>-8764</v>
      </c>
      <c r="F22" s="215">
        <v>-17384</v>
      </c>
      <c r="G22" s="215">
        <v>-32040</v>
      </c>
      <c r="H22" s="215">
        <v>-2480</v>
      </c>
      <c r="I22" s="215"/>
      <c r="J22" s="215">
        <v>0</v>
      </c>
      <c r="K22" s="215">
        <v>3893</v>
      </c>
      <c r="L22" s="215">
        <v>-5454</v>
      </c>
      <c r="M22" s="215">
        <v>-7203</v>
      </c>
      <c r="N22" s="215">
        <v>-5572</v>
      </c>
      <c r="O22" s="215">
        <v>-4490</v>
      </c>
      <c r="P22" s="215">
        <v>-3892</v>
      </c>
      <c r="Q22" s="215">
        <v>-3430</v>
      </c>
      <c r="R22" s="215">
        <v>-3061</v>
      </c>
      <c r="S22" s="215">
        <v>-23465</v>
      </c>
      <c r="T22" s="215">
        <v>-4070.8986899999982</v>
      </c>
      <c r="U22" s="215">
        <v>-1443.1013100000018</v>
      </c>
      <c r="V22" s="215">
        <v>-2223</v>
      </c>
      <c r="W22" s="215">
        <v>-257.02199999999999</v>
      </c>
      <c r="X22" s="215">
        <v>0</v>
      </c>
      <c r="Y22" s="215">
        <v>0</v>
      </c>
      <c r="Z22" s="215">
        <v>0</v>
      </c>
      <c r="AA22" s="215">
        <v>0</v>
      </c>
      <c r="AB22" s="215">
        <v>0</v>
      </c>
      <c r="AC22" s="215"/>
      <c r="AD22" s="215">
        <v>0</v>
      </c>
      <c r="AE22" s="215">
        <v>0</v>
      </c>
    </row>
    <row r="23" spans="1:31" ht="13" customHeight="1">
      <c r="A23" s="211"/>
      <c r="B23" s="286" t="str">
        <f>IF('Summary | Sumário'!D$6=Names!B$3,Names!M20,Names!N20)</f>
        <v>Profit / (loss) before income tax</v>
      </c>
      <c r="C23" s="282">
        <v>683.66099999996368</v>
      </c>
      <c r="D23" s="282">
        <v>-7175.1048200000077</v>
      </c>
      <c r="E23" s="282">
        <v>-231061.27400000021</v>
      </c>
      <c r="F23" s="282">
        <v>-178572.81500000041</v>
      </c>
      <c r="G23" s="282">
        <v>439842</v>
      </c>
      <c r="H23" s="282">
        <v>1205549.5823173386</v>
      </c>
      <c r="I23" s="227"/>
      <c r="J23" s="282">
        <v>-37560.065000000002</v>
      </c>
      <c r="K23" s="282">
        <v>-117652.24899999995</v>
      </c>
      <c r="L23" s="282">
        <v>34916.880000000005</v>
      </c>
      <c r="M23" s="282">
        <v>-110766.84000000008</v>
      </c>
      <c r="N23" s="282">
        <v>-100093.9850000001</v>
      </c>
      <c r="O23" s="282">
        <v>11871.311000000103</v>
      </c>
      <c r="P23" s="282">
        <v>-70043.533000000054</v>
      </c>
      <c r="Q23" s="282">
        <v>-20306.608000000007</v>
      </c>
      <c r="R23" s="282">
        <v>5897.1240000000689</v>
      </c>
      <c r="S23" s="282">
        <v>80299</v>
      </c>
      <c r="T23" s="282">
        <v>145354</v>
      </c>
      <c r="U23" s="282">
        <v>208291.87599999993</v>
      </c>
      <c r="V23" s="282">
        <v>273732</v>
      </c>
      <c r="W23" s="282">
        <v>297607</v>
      </c>
      <c r="X23" s="282">
        <v>293952.08107357216</v>
      </c>
      <c r="Y23" s="282">
        <v>340258.50124376646</v>
      </c>
      <c r="Z23" s="282">
        <v>357546.90000000014</v>
      </c>
      <c r="AA23" s="282">
        <v>383528.19999999995</v>
      </c>
      <c r="AB23" s="282">
        <v>417925.4</v>
      </c>
      <c r="AC23" s="227"/>
      <c r="AD23" s="317">
        <f>AB23/AA23-1</f>
        <v>8.9686234284728217E-2</v>
      </c>
      <c r="AE23" s="317">
        <f t="shared" si="4"/>
        <v>0.42174669583441071</v>
      </c>
    </row>
    <row r="24" spans="1:31" ht="13" customHeight="1">
      <c r="A24" s="211"/>
      <c r="AD24" s="229"/>
      <c r="AE24" s="229"/>
    </row>
    <row r="25" spans="1:31" ht="13" customHeight="1">
      <c r="A25" s="211"/>
      <c r="B25" s="53" t="str">
        <f>IF('Summary | Sumário'!D$6=Names!B$3,Names!M27,Names!N27)</f>
        <v>Income tax</v>
      </c>
      <c r="C25" s="234">
        <v>29686</v>
      </c>
      <c r="D25" s="234">
        <v>37709</v>
      </c>
      <c r="E25" s="234">
        <v>175993</v>
      </c>
      <c r="F25" s="234">
        <v>164494</v>
      </c>
      <c r="G25" s="234">
        <v>-87581</v>
      </c>
      <c r="H25" s="234">
        <v>-232708.78587989899</v>
      </c>
      <c r="I25" s="179"/>
      <c r="J25" s="234">
        <v>34867</v>
      </c>
      <c r="K25" s="234">
        <v>87154</v>
      </c>
      <c r="L25" s="234">
        <v>-568.73549999999886</v>
      </c>
      <c r="M25" s="234">
        <v>54540.735499999995</v>
      </c>
      <c r="N25" s="234">
        <v>71272</v>
      </c>
      <c r="O25" s="234">
        <v>3654</v>
      </c>
      <c r="P25" s="234">
        <v>40448</v>
      </c>
      <c r="Q25" s="234">
        <v>49120</v>
      </c>
      <c r="R25" s="234">
        <v>18319</v>
      </c>
      <c r="S25" s="234">
        <v>-16127</v>
      </c>
      <c r="T25" s="234">
        <v>-41194</v>
      </c>
      <c r="U25" s="234">
        <v>-48579</v>
      </c>
      <c r="V25" s="234">
        <v>-78512</v>
      </c>
      <c r="W25" s="234">
        <v>-74943.733999999997</v>
      </c>
      <c r="X25" s="234">
        <v>-33942</v>
      </c>
      <c r="Y25" s="234">
        <v>-45311.051879898987</v>
      </c>
      <c r="Z25" s="234">
        <v>-50759</v>
      </c>
      <c r="AA25" s="234">
        <v>-51361</v>
      </c>
      <c r="AB25" s="234">
        <v>-61920</v>
      </c>
      <c r="AC25" s="187"/>
      <c r="AD25" s="333">
        <f t="shared" ref="AD25" si="5">AB25/AA25-1</f>
        <v>0.20558400342672445</v>
      </c>
      <c r="AE25" s="333">
        <f t="shared" si="4"/>
        <v>0.82428849213363975</v>
      </c>
    </row>
    <row r="26" spans="1:31" ht="13" customHeight="1">
      <c r="A26" s="211"/>
      <c r="B26" s="287" t="str">
        <f>IF('Summary | Sumário'!D$6=Names!B$3,Names!M46,Names!N46)</f>
        <v>Net income from controlling and non-controlling interests</v>
      </c>
      <c r="C26" s="284">
        <f t="shared" ref="C26:AA26" si="6">C23+C25</f>
        <v>30369.660999999964</v>
      </c>
      <c r="D26" s="284">
        <f t="shared" si="6"/>
        <v>30533.895179999992</v>
      </c>
      <c r="E26" s="284">
        <f t="shared" si="6"/>
        <v>-55068.274000000209</v>
      </c>
      <c r="F26" s="284">
        <f t="shared" si="6"/>
        <v>-14078.81500000041</v>
      </c>
      <c r="G26" s="284">
        <f t="shared" si="6"/>
        <v>352261</v>
      </c>
      <c r="H26" s="284">
        <f t="shared" si="6"/>
        <v>972840.79643743951</v>
      </c>
      <c r="I26" s="227"/>
      <c r="J26" s="284">
        <f t="shared" si="6"/>
        <v>-2693.0650000000023</v>
      </c>
      <c r="K26" s="284">
        <f t="shared" si="6"/>
        <v>-30498.248999999953</v>
      </c>
      <c r="L26" s="284">
        <f t="shared" si="6"/>
        <v>34348.144500000009</v>
      </c>
      <c r="M26" s="284">
        <f t="shared" si="6"/>
        <v>-56226.104500000089</v>
      </c>
      <c r="N26" s="284">
        <f t="shared" si="6"/>
        <v>-28821.985000000102</v>
      </c>
      <c r="O26" s="284">
        <f t="shared" si="6"/>
        <v>15525.311000000103</v>
      </c>
      <c r="P26" s="284">
        <f t="shared" si="6"/>
        <v>-29595.533000000054</v>
      </c>
      <c r="Q26" s="284">
        <f t="shared" si="6"/>
        <v>28813.391999999993</v>
      </c>
      <c r="R26" s="284">
        <f t="shared" si="6"/>
        <v>24216.124000000069</v>
      </c>
      <c r="S26" s="284">
        <f t="shared" si="6"/>
        <v>64172</v>
      </c>
      <c r="T26" s="284">
        <f t="shared" si="6"/>
        <v>104160</v>
      </c>
      <c r="U26" s="284">
        <f t="shared" si="6"/>
        <v>159712.87599999993</v>
      </c>
      <c r="V26" s="284">
        <f t="shared" si="6"/>
        <v>195220</v>
      </c>
      <c r="W26" s="284">
        <f t="shared" si="6"/>
        <v>222663.266</v>
      </c>
      <c r="X26" s="284">
        <f t="shared" si="6"/>
        <v>260010.08107357216</v>
      </c>
      <c r="Y26" s="284">
        <f t="shared" si="6"/>
        <v>294947.44936386746</v>
      </c>
      <c r="Z26" s="284">
        <f t="shared" si="6"/>
        <v>306787.90000000014</v>
      </c>
      <c r="AA26" s="284">
        <f t="shared" si="6"/>
        <v>332167.19999999995</v>
      </c>
      <c r="AB26" s="284">
        <f>AB23+AB25</f>
        <v>356005.4</v>
      </c>
      <c r="AC26" s="227"/>
      <c r="AD26" s="334">
        <f t="shared" ref="AD26" si="7">AB26/AA26-1</f>
        <v>7.1765665002444745E-2</v>
      </c>
      <c r="AE26" s="334">
        <f t="shared" ref="AE26" si="8">AB26/X26-1</f>
        <v>0.36919845003727048</v>
      </c>
    </row>
    <row r="27" spans="1:31" ht="13" customHeight="1">
      <c r="A27" s="211"/>
      <c r="B27" s="53"/>
      <c r="C27" s="234"/>
      <c r="D27" s="234"/>
      <c r="E27" s="234"/>
      <c r="F27" s="234"/>
      <c r="G27" s="234"/>
      <c r="H27" s="234"/>
      <c r="I27" s="179"/>
      <c r="J27" s="234"/>
      <c r="K27" s="234"/>
      <c r="L27" s="234"/>
      <c r="M27" s="234"/>
      <c r="N27" s="234"/>
      <c r="O27" s="234"/>
      <c r="P27" s="234"/>
      <c r="Q27" s="234"/>
      <c r="R27" s="234"/>
      <c r="S27" s="234"/>
      <c r="T27" s="234"/>
      <c r="U27" s="234"/>
      <c r="V27" s="234"/>
      <c r="W27" s="234"/>
      <c r="X27" s="234"/>
      <c r="Y27" s="234"/>
      <c r="Z27" s="234"/>
      <c r="AA27" s="234"/>
      <c r="AB27" s="234"/>
      <c r="AC27" s="187"/>
      <c r="AD27" s="333"/>
      <c r="AE27" s="333"/>
    </row>
    <row r="28" spans="1:31" ht="13" customHeight="1">
      <c r="A28" s="211"/>
      <c r="B28" s="51" t="str">
        <f>IF('Summary | Sumário'!D$6=Names!B$3,Names!M45,Names!N45)</f>
        <v>Non-controlling interest</v>
      </c>
      <c r="C28" s="187">
        <v>-2687</v>
      </c>
      <c r="D28" s="187">
        <v>-12775</v>
      </c>
      <c r="E28" s="187">
        <v>-17597</v>
      </c>
      <c r="F28" s="187">
        <v>2989</v>
      </c>
      <c r="G28" s="187">
        <v>-49917</v>
      </c>
      <c r="H28" s="187">
        <v>-65709</v>
      </c>
      <c r="I28" s="187"/>
      <c r="J28" s="187">
        <v>-5966</v>
      </c>
      <c r="K28" s="187">
        <v>18469</v>
      </c>
      <c r="L28" s="187">
        <v>-31198.785119999917</v>
      </c>
      <c r="M28" s="187">
        <v>1098.7851199999168</v>
      </c>
      <c r="N28" s="187">
        <v>32094</v>
      </c>
      <c r="O28" s="187">
        <v>-32115</v>
      </c>
      <c r="P28" s="187">
        <v>-413</v>
      </c>
      <c r="Q28" s="187">
        <v>3423</v>
      </c>
      <c r="R28" s="187">
        <v>-12810</v>
      </c>
      <c r="S28" s="187">
        <v>-15426</v>
      </c>
      <c r="T28" s="187">
        <v>-12870</v>
      </c>
      <c r="U28" s="187">
        <v>-8811</v>
      </c>
      <c r="V28" s="187">
        <v>-12427</v>
      </c>
      <c r="W28" s="187">
        <v>-16186</v>
      </c>
      <c r="X28" s="187">
        <v>-17340</v>
      </c>
      <c r="Y28" s="187">
        <v>-19756</v>
      </c>
      <c r="Z28" s="187">
        <v>-20265.90000000014</v>
      </c>
      <c r="AA28" s="187">
        <v>-17036.399999999965</v>
      </c>
      <c r="AB28" s="187">
        <v>-19660.200000000012</v>
      </c>
      <c r="AC28" s="187"/>
      <c r="AD28" s="332">
        <f t="shared" ref="AD28:AD29" si="9">AB28/AA28-1</f>
        <v>0.15401141086145276</v>
      </c>
      <c r="AE28" s="332">
        <f t="shared" ref="AE28:AE29" si="10">AB28/X28-1</f>
        <v>0.13380622837370315</v>
      </c>
    </row>
    <row r="29" spans="1:31" ht="13" customHeight="1">
      <c r="A29" s="211"/>
      <c r="B29" s="286" t="str">
        <f>IF('Summary | Sumário'!D$6=Names!B$3,Names!M24,Names!N24)</f>
        <v>Net income</v>
      </c>
      <c r="C29" s="282">
        <v>27683</v>
      </c>
      <c r="D29" s="282">
        <v>17911</v>
      </c>
      <c r="E29" s="282">
        <v>-72664</v>
      </c>
      <c r="F29" s="282">
        <v>-11090</v>
      </c>
      <c r="G29" s="282">
        <v>302343</v>
      </c>
      <c r="H29" s="282">
        <v>907132</v>
      </c>
      <c r="I29" s="227"/>
      <c r="J29" s="282">
        <v>-8659</v>
      </c>
      <c r="K29" s="282">
        <v>-12029</v>
      </c>
      <c r="L29" s="282">
        <v>3148.9583099999968</v>
      </c>
      <c r="M29" s="282">
        <v>-55124.958310000002</v>
      </c>
      <c r="N29" s="282">
        <v>3272</v>
      </c>
      <c r="O29" s="282">
        <v>-16590</v>
      </c>
      <c r="P29" s="282">
        <v>-30008</v>
      </c>
      <c r="Q29" s="282">
        <v>32236</v>
      </c>
      <c r="R29" s="282">
        <v>11405</v>
      </c>
      <c r="S29" s="282">
        <v>48746</v>
      </c>
      <c r="T29" s="282">
        <v>91291</v>
      </c>
      <c r="U29" s="282">
        <v>150901</v>
      </c>
      <c r="V29" s="282">
        <v>182793</v>
      </c>
      <c r="W29" s="282">
        <v>206479</v>
      </c>
      <c r="X29" s="282">
        <v>242671</v>
      </c>
      <c r="Y29" s="282">
        <v>275189</v>
      </c>
      <c r="Z29" s="282">
        <v>286522</v>
      </c>
      <c r="AA29" s="282">
        <v>315130.8</v>
      </c>
      <c r="AB29" s="282">
        <v>336345.2</v>
      </c>
      <c r="AC29" s="227"/>
      <c r="AD29" s="317">
        <f t="shared" si="9"/>
        <v>6.7319348029453163E-2</v>
      </c>
      <c r="AE29" s="317">
        <f t="shared" si="10"/>
        <v>0.38601316185287904</v>
      </c>
    </row>
    <row r="30" spans="1:31" ht="13" customHeight="1">
      <c r="A30" s="211"/>
      <c r="B30" s="3"/>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330"/>
      <c r="AE30" s="330"/>
    </row>
    <row r="31" spans="1:31" ht="13" customHeight="1">
      <c r="C31" s="701"/>
      <c r="D31" s="701"/>
      <c r="E31" s="701"/>
      <c r="F31" s="701"/>
      <c r="G31" s="701"/>
      <c r="H31" s="701"/>
      <c r="I31" s="701"/>
      <c r="J31" s="701"/>
      <c r="K31" s="701"/>
      <c r="L31" s="701"/>
      <c r="M31" s="701"/>
      <c r="N31" s="701"/>
      <c r="O31" s="701"/>
      <c r="P31" s="701"/>
      <c r="Q31" s="701"/>
      <c r="R31" s="701"/>
      <c r="S31" s="701"/>
      <c r="T31" s="701"/>
      <c r="U31" s="701"/>
      <c r="V31" s="701"/>
      <c r="W31" s="701"/>
      <c r="X31" s="701"/>
      <c r="Y31" s="701"/>
      <c r="Z31" s="701"/>
      <c r="AA31" s="701"/>
      <c r="AB31" s="701"/>
      <c r="AC31" s="701"/>
      <c r="AD31" s="701"/>
      <c r="AE31" s="701"/>
    </row>
    <row r="32" spans="1:31" ht="13" customHeight="1">
      <c r="B32" s="26"/>
    </row>
    <row r="33" spans="2:34" ht="13" customHeight="1">
      <c r="C33" s="187"/>
      <c r="D33" s="187"/>
      <c r="E33" s="187"/>
      <c r="F33" s="187"/>
      <c r="G33" s="187"/>
      <c r="H33" s="187"/>
      <c r="I33" s="179"/>
      <c r="J33" s="187"/>
      <c r="K33" s="187"/>
      <c r="L33" s="187"/>
      <c r="M33" s="187"/>
      <c r="N33" s="187"/>
      <c r="O33" s="187"/>
      <c r="P33" s="187"/>
      <c r="Q33" s="187"/>
      <c r="R33" s="187"/>
      <c r="S33" s="187"/>
      <c r="T33" s="187"/>
      <c r="U33" s="187"/>
      <c r="V33" s="187"/>
      <c r="W33" s="187"/>
      <c r="X33" s="187"/>
      <c r="Y33" s="187"/>
      <c r="Z33" s="187"/>
      <c r="AA33" s="187"/>
      <c r="AB33" s="187"/>
      <c r="AD33" s="332"/>
      <c r="AE33" s="332"/>
    </row>
    <row r="34" spans="2:34" ht="13" customHeight="1">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D34" s="320"/>
      <c r="AE34" s="320"/>
    </row>
    <row r="36" spans="2:34" ht="13" customHeight="1">
      <c r="B36" s="741" t="str">
        <f>IF('Summary | Sumário'!D$6=Names!B$3,Names!K43,Names!L43)</f>
        <v>Note: Revenue from foreign exchange was reallocated from Other Revenues to Income from Securities, Derivatives, and Foreign Exchange in Q4 2024. To ensure better comparability between quarters and years, this adjustment has been applied historically in this material.</v>
      </c>
      <c r="C36" s="116" t="s">
        <v>1046</v>
      </c>
      <c r="AA36" s="188"/>
      <c r="AB36" s="188"/>
    </row>
    <row r="37" spans="2:34" ht="13" customHeight="1">
      <c r="B37" s="741"/>
    </row>
    <row r="38" spans="2:34" ht="13" customHeight="1">
      <c r="B38" s="741"/>
      <c r="AH38" s="188"/>
    </row>
    <row r="39" spans="2:34" ht="13" customHeight="1">
      <c r="B39" s="741"/>
    </row>
    <row r="40" spans="2:34" ht="13" customHeight="1">
      <c r="B40" s="741"/>
    </row>
  </sheetData>
  <sheetProtection algorithmName="SHA-512" hashValue="A5mxgxQ7qtwdNwdQ3XzNJi74VE9tAHW8RfA3UmDnywqb4AZFr6CiOIQUufFxq1BFPql8aLhuoHj9iar3wmFBww==" saltValue="evQ24yhec9Or9345kF2XOA==" spinCount="100000" sheet="1" formatCells="0" formatColumns="0" formatRows="0" insertColumns="0" insertRows="0" insertHyperlinks="0" deleteColumns="0" deleteRows="0" sort="0" autoFilter="0" pivotTables="0"/>
  <mergeCells count="1">
    <mergeCell ref="B36:B40"/>
  </mergeCells>
  <phoneticPr fontId="6" type="noConversion"/>
  <pageMargins left="0.511811024" right="0.511811024" top="0.78740157499999996" bottom="0.78740157499999996" header="0.31496062000000002" footer="0.31496062000000002"/>
  <pageSetup paperSize="9" orientation="portrait" horizontalDpi="0" verticalDpi="0"/>
  <ignoredErrors>
    <ignoredError sqref="B2:AE3 B13:AE13 B9 I9 AC9:AE9 B26:AE27 B25 I25 AC25:AE25 B21 B18 AC18:AE18 B24:AE24 B22 AC22:AE22 I22 B16:AE16 I14 B17 AC17 B8:AE8 B4 I4 AC4:AE4 B5 I5 AC5:AE5 B6 I6 AC6:AE6 B7 I7 AC7:AE7 B10 I10 AC10:AE10 B11 I11 AC11:AE11 B12 I12 AC12:AE12 AC14:AE14 B15 I15 AC15:AE15 I17 I18 B19 I19 AC19:AE19 B20 I20 AC20:AE20 I21 AC21:AE21 B23 I23 AC23:AE23 B29 B28 I28 AC28:AE28 I29 AC29:AE29" unlocked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157B1-884C-F34F-85BA-2CF138B0AC39}">
  <sheetPr codeName="Sheet7">
    <tabColor rgb="FFEC7100"/>
  </sheetPr>
  <dimension ref="A1:AI26"/>
  <sheetViews>
    <sheetView showGridLines="0" zoomScaleNormal="100" zoomScaleSheetLayoutView="5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8" width="10.83203125" style="116" customWidth="1"/>
    <col min="9" max="9" width="2.83203125" style="116" customWidth="1"/>
    <col min="10" max="28" width="10.83203125" style="116" customWidth="1"/>
    <col min="29" max="29" width="5.83203125" style="116" customWidth="1"/>
    <col min="30" max="31" width="10.83203125" style="116" customWidth="1"/>
    <col min="32" max="16384" width="10.83203125" style="116"/>
  </cols>
  <sheetData>
    <row r="1" spans="1:35" ht="13" customHeight="1">
      <c r="C1" s="117"/>
      <c r="D1" s="117"/>
      <c r="E1" s="117"/>
      <c r="F1" s="117"/>
      <c r="G1" s="117"/>
      <c r="H1" s="117"/>
      <c r="J1" s="117"/>
      <c r="K1" s="117"/>
      <c r="L1" s="117"/>
      <c r="M1" s="117"/>
      <c r="N1" s="117"/>
      <c r="O1" s="117"/>
      <c r="P1" s="117"/>
      <c r="Q1" s="117"/>
      <c r="R1" s="117"/>
    </row>
    <row r="2" spans="1:35" s="10" customFormat="1" ht="13" customHeight="1">
      <c r="B2" s="267" t="str">
        <f>IF('Summary | Sumário'!D$6=Names!B$3,Names!AA1,Names!AB1)</f>
        <v>Funding (IFRS,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322"/>
      <c r="J2" s="20" t="str">
        <f>IF('Summary | Sumário'!D6=Names!B3,Names!C6,Names!D6)</f>
        <v>1Q21</v>
      </c>
      <c r="K2" s="21" t="str">
        <f>IF('Summary | Sumário'!D6=Names!B3,Names!C7,Names!D7)</f>
        <v>2Q21</v>
      </c>
      <c r="L2" s="21" t="str">
        <f>IF('Summary | Sumário'!D6=Names!B3,Names!C8,Names!D8)</f>
        <v>3Q21</v>
      </c>
      <c r="M2" s="21" t="str">
        <f>IF('Summary | Sumário'!D6=Names!B3,Names!C9,Names!D9)</f>
        <v>4Q21</v>
      </c>
      <c r="N2" s="21" t="str">
        <f>IF('Summary | Sumário'!D6=Names!B3,Names!C10,Names!D10)</f>
        <v>1Q22</v>
      </c>
      <c r="O2" s="21" t="str">
        <f>IF('Summary | Sumário'!D6=Names!B3,Names!C11,Names!D11)</f>
        <v>2Q22</v>
      </c>
      <c r="P2" s="21" t="str">
        <f>IF('Summary | Sumário'!D6=Names!B3,Names!C12,Names!D12)</f>
        <v>3Q22</v>
      </c>
      <c r="Q2" s="21" t="str">
        <f>IF('Summary | Sumário'!D6=Names!B3,Names!C13,Names!D13)</f>
        <v>4Q22</v>
      </c>
      <c r="R2" s="21" t="str">
        <f>IF('Summary | Sumário'!D6=Names!B3,Names!C14,Names!D14)</f>
        <v>1Q23</v>
      </c>
      <c r="S2" s="21" t="str">
        <f>IF('Summary | Sumário'!D6=Names!B3,Names!C15,Names!D15)</f>
        <v>2Q23</v>
      </c>
      <c r="T2" s="21" t="str">
        <f>IF('Summary | Sumário'!D6=Names!B3,Names!C16,Names!D16)</f>
        <v>3Q23</v>
      </c>
      <c r="U2" s="21" t="str">
        <f>IF('Summary | Sumário'!D6=Names!B3,Names!C17,Names!D17)</f>
        <v>4Q23</v>
      </c>
      <c r="V2" s="21" t="str">
        <f>IF('Summary | Sumário'!D6=Names!B3,Names!C19,Names!D19)</f>
        <v>1Q24</v>
      </c>
      <c r="W2" s="21" t="str">
        <f>IF('Summary | Sumário'!D6=Names!B3,Names!C20,Names!D20)</f>
        <v>2Q24</v>
      </c>
      <c r="X2" s="21" t="str">
        <f>IF('Summary | Sumário'!D6=Names!B3,Names!C21,Names!D21)</f>
        <v>3Q24</v>
      </c>
      <c r="Y2" s="21" t="str">
        <f>IF('Summary | Sumário'!D6=Names!B3,Names!C22,Names!D22)</f>
        <v>4Q24</v>
      </c>
      <c r="Z2" s="21" t="str">
        <f>IF('Summary | Sumário'!D6=Names!B3,Names!C24,Names!D24)</f>
        <v>1Q25</v>
      </c>
      <c r="AA2" s="21" t="str">
        <f>IF('Summary | Sumário'!D6=Names!B3,Names!C25,Names!D25)</f>
        <v>2Q25</v>
      </c>
      <c r="AB2" s="269" t="str">
        <f>IF('Summary | Sumário'!D6=Names!B3,Names!C26,Names!D26)</f>
        <v>3Q25</v>
      </c>
      <c r="AC2" s="321"/>
      <c r="AD2" s="104" t="str">
        <f>IF('Summary | Sumário'!$D$6=Names!$B$3,Names!$I$24,Names!$J$24)</f>
        <v>QoQ Variation</v>
      </c>
      <c r="AE2" s="104" t="str">
        <f>IF('Summary | Sumário'!$D$6=Names!$B$3,Names!$I$25,Names!$J$25)</f>
        <v>YoY Variation</v>
      </c>
      <c r="AF2" s="11"/>
      <c r="AH2" s="12"/>
      <c r="AI2" s="13"/>
    </row>
    <row r="3" spans="1:35" ht="13" customHeight="1">
      <c r="B3" s="14"/>
      <c r="C3" s="126"/>
      <c r="D3" s="126"/>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row>
    <row r="4" spans="1:35" s="145" customFormat="1" ht="13" customHeight="1">
      <c r="A4" s="143"/>
      <c r="B4" s="3" t="str">
        <f>IF('Summary | Sumário'!D$6=Names!B$3,Names!AA2,Names!AB2)</f>
        <v>Funding - including other interest bearing liabilities</v>
      </c>
      <c r="C4" s="179"/>
      <c r="AF4" s="217"/>
    </row>
    <row r="5" spans="1:35" ht="13" customHeight="1">
      <c r="A5" s="211"/>
      <c r="B5" s="271" t="str">
        <f>IF('Summary | Sumário'!D$6=Names!B$3,Names!AA3,Names!AB3)</f>
        <v>Deposits from customers</v>
      </c>
      <c r="C5" s="289">
        <v>4714439</v>
      </c>
      <c r="D5" s="289">
        <v>12436632</v>
      </c>
      <c r="E5" s="289">
        <f>M5</f>
        <v>18333543</v>
      </c>
      <c r="F5" s="289">
        <f>Q5</f>
        <v>23642804</v>
      </c>
      <c r="G5" s="289">
        <f>U5</f>
        <v>32651620</v>
      </c>
      <c r="H5" s="289">
        <f>Y5</f>
        <v>42803229</v>
      </c>
      <c r="I5" s="179"/>
      <c r="J5" s="289">
        <v>13392679</v>
      </c>
      <c r="K5" s="289">
        <v>15629130.619999999</v>
      </c>
      <c r="L5" s="289">
        <v>17093473.298</v>
      </c>
      <c r="M5" s="289">
        <v>18333543</v>
      </c>
      <c r="N5" s="289">
        <v>18958118</v>
      </c>
      <c r="O5" s="289">
        <v>19746409</v>
      </c>
      <c r="P5" s="289">
        <v>21452026</v>
      </c>
      <c r="Q5" s="289">
        <v>23642804</v>
      </c>
      <c r="R5" s="289">
        <v>24182006</v>
      </c>
      <c r="S5" s="289">
        <v>26299326</v>
      </c>
      <c r="T5" s="289">
        <v>29063988</v>
      </c>
      <c r="U5" s="289">
        <v>32651620</v>
      </c>
      <c r="V5" s="289">
        <v>32643444.086135942</v>
      </c>
      <c r="W5" s="289">
        <v>35978318.071000002</v>
      </c>
      <c r="X5" s="289">
        <v>39129759</v>
      </c>
      <c r="Y5" s="289">
        <v>42803229</v>
      </c>
      <c r="Z5" s="289">
        <v>43647768</v>
      </c>
      <c r="AA5" s="289">
        <v>46667343</v>
      </c>
      <c r="AB5" s="289">
        <v>51496386</v>
      </c>
      <c r="AC5" s="179"/>
      <c r="AD5" s="348">
        <f>AB5/AA5-1</f>
        <v>0.10347799316537043</v>
      </c>
      <c r="AE5" s="348">
        <f>AB5/X5-1</f>
        <v>0.31604148136971655</v>
      </c>
    </row>
    <row r="6" spans="1:35" ht="13" customHeight="1">
      <c r="A6" s="211"/>
      <c r="B6" s="17" t="str">
        <f>IF('Summary | Sumário'!D$6=Names!B$3,Names!AA4,Names!AB4)</f>
        <v>Demand deposits</v>
      </c>
      <c r="C6" s="179">
        <v>2094127</v>
      </c>
      <c r="D6" s="179">
        <v>6713351</v>
      </c>
      <c r="E6" s="179">
        <f t="shared" ref="E6:E15" si="0">M6</f>
        <v>9932809</v>
      </c>
      <c r="F6" s="179">
        <f t="shared" ref="F6:F15" si="1">Q6</f>
        <v>11566826</v>
      </c>
      <c r="G6" s="179">
        <f t="shared" ref="G6:G15" si="2">U6</f>
        <v>2572536</v>
      </c>
      <c r="H6" s="179">
        <f t="shared" ref="H6:H15" si="3">Y6</f>
        <v>1415426.8934948002</v>
      </c>
      <c r="I6" s="179"/>
      <c r="J6" s="179">
        <v>6984899</v>
      </c>
      <c r="K6" s="179">
        <v>8299742</v>
      </c>
      <c r="L6" s="179">
        <v>9163029</v>
      </c>
      <c r="M6" s="179">
        <v>9932809</v>
      </c>
      <c r="N6" s="179">
        <v>9620809</v>
      </c>
      <c r="O6" s="179">
        <v>9784611</v>
      </c>
      <c r="P6" s="179">
        <v>10418989</v>
      </c>
      <c r="Q6" s="179">
        <v>11566826</v>
      </c>
      <c r="R6" s="179">
        <v>11005662</v>
      </c>
      <c r="S6" s="179">
        <v>3109793</v>
      </c>
      <c r="T6" s="179">
        <v>1813779</v>
      </c>
      <c r="U6" s="179">
        <v>2572536</v>
      </c>
      <c r="V6" s="179">
        <v>1593427.4698459422</v>
      </c>
      <c r="W6" s="179">
        <v>1431720.5060000001</v>
      </c>
      <c r="X6" s="179">
        <v>1457541.7699500001</v>
      </c>
      <c r="Y6" s="179">
        <v>1415426.8934948002</v>
      </c>
      <c r="Z6" s="179">
        <v>1411097</v>
      </c>
      <c r="AA6" s="179">
        <v>1037178</v>
      </c>
      <c r="AB6" s="179">
        <v>1530135</v>
      </c>
      <c r="AC6" s="179"/>
      <c r="AD6" s="349">
        <f t="shared" ref="AD6:AD15" si="4">AB6/AA6-1</f>
        <v>0.475286787803058</v>
      </c>
      <c r="AE6" s="349">
        <f t="shared" ref="AE6:AE15" si="5">AB6/X6-1</f>
        <v>4.9805248498977939E-2</v>
      </c>
      <c r="AF6" s="218"/>
    </row>
    <row r="7" spans="1:35" ht="13" customHeight="1">
      <c r="A7" s="211"/>
      <c r="B7" s="23" t="str">
        <f>IF('Summary | Sumário'!D$6=Names!B$3,Names!AA5,Names!AB5)</f>
        <v>Time deposits</v>
      </c>
      <c r="C7" s="174">
        <v>2259047</v>
      </c>
      <c r="D7" s="174">
        <v>4771204</v>
      </c>
      <c r="E7" s="174">
        <f t="shared" si="0"/>
        <v>6922061</v>
      </c>
      <c r="F7" s="174">
        <f t="shared" si="1"/>
        <v>10517060</v>
      </c>
      <c r="G7" s="174">
        <f t="shared" si="2"/>
        <v>28158459</v>
      </c>
      <c r="H7" s="174">
        <f t="shared" si="3"/>
        <v>39228574.976070002</v>
      </c>
      <c r="I7" s="179"/>
      <c r="J7" s="174">
        <v>5394450</v>
      </c>
      <c r="K7" s="174">
        <v>6119961</v>
      </c>
      <c r="L7" s="174">
        <v>6580559</v>
      </c>
      <c r="M7" s="174">
        <v>6922061</v>
      </c>
      <c r="N7" s="174">
        <v>7894003</v>
      </c>
      <c r="O7" s="174">
        <v>8579727</v>
      </c>
      <c r="P7" s="174">
        <v>9558462</v>
      </c>
      <c r="Q7" s="174">
        <v>10517060</v>
      </c>
      <c r="R7" s="174">
        <v>11687031</v>
      </c>
      <c r="S7" s="174">
        <v>21616586</v>
      </c>
      <c r="T7" s="174">
        <v>25572336</v>
      </c>
      <c r="U7" s="174">
        <v>28158459</v>
      </c>
      <c r="V7" s="174">
        <v>29169018.986099999</v>
      </c>
      <c r="W7" s="174">
        <v>32531468.234000001</v>
      </c>
      <c r="X7" s="174">
        <v>35665570.401489995</v>
      </c>
      <c r="Y7" s="174">
        <v>39228574.976070002</v>
      </c>
      <c r="Z7" s="174">
        <v>40140843</v>
      </c>
      <c r="AA7" s="174">
        <v>43392647</v>
      </c>
      <c r="AB7" s="174">
        <v>47753948</v>
      </c>
      <c r="AC7" s="179"/>
      <c r="AD7" s="350">
        <f t="shared" si="4"/>
        <v>0.1005078348873254</v>
      </c>
      <c r="AE7" s="350">
        <f t="shared" si="5"/>
        <v>0.33893689242679237</v>
      </c>
      <c r="AF7" s="219"/>
    </row>
    <row r="8" spans="1:35" ht="13" customHeight="1">
      <c r="A8" s="211"/>
      <c r="B8" s="17" t="str">
        <f>IF('Summary | Sumário'!D$6=Names!B$3,Names!AA6,Names!AB6)</f>
        <v>Savings deposits</v>
      </c>
      <c r="C8" s="179">
        <v>307098</v>
      </c>
      <c r="D8" s="179">
        <v>887666</v>
      </c>
      <c r="E8" s="179">
        <f t="shared" si="0"/>
        <v>1230039</v>
      </c>
      <c r="F8" s="179">
        <f t="shared" si="1"/>
        <v>1307055</v>
      </c>
      <c r="G8" s="179">
        <f t="shared" si="2"/>
        <v>1540604</v>
      </c>
      <c r="H8" s="179">
        <f t="shared" si="3"/>
        <v>1883431.889</v>
      </c>
      <c r="I8" s="179"/>
      <c r="J8" s="179">
        <v>935359</v>
      </c>
      <c r="K8" s="179">
        <v>1049178</v>
      </c>
      <c r="L8" s="179">
        <v>1138085</v>
      </c>
      <c r="M8" s="179">
        <v>1230039</v>
      </c>
      <c r="N8" s="179">
        <v>1215061</v>
      </c>
      <c r="O8" s="179">
        <v>1182012</v>
      </c>
      <c r="P8" s="179">
        <v>1216043</v>
      </c>
      <c r="Q8" s="179">
        <v>1307055</v>
      </c>
      <c r="R8" s="179">
        <v>1274938</v>
      </c>
      <c r="S8" s="179">
        <v>1305803</v>
      </c>
      <c r="T8" s="179">
        <v>1350713</v>
      </c>
      <c r="U8" s="179">
        <v>1540604</v>
      </c>
      <c r="V8" s="179">
        <v>1549652.25122</v>
      </c>
      <c r="W8" s="179">
        <v>1715785.118</v>
      </c>
      <c r="X8" s="179">
        <v>1777366.3865499999</v>
      </c>
      <c r="Y8" s="179">
        <v>1883431.889</v>
      </c>
      <c r="Z8" s="179">
        <v>1727777</v>
      </c>
      <c r="AA8" s="179">
        <v>1705232</v>
      </c>
      <c r="AB8" s="179">
        <v>1618140</v>
      </c>
      <c r="AC8" s="179"/>
      <c r="AD8" s="349">
        <f t="shared" si="4"/>
        <v>-5.1073402328832729E-2</v>
      </c>
      <c r="AE8" s="349">
        <f t="shared" si="5"/>
        <v>-8.9585573213787462E-2</v>
      </c>
      <c r="AF8" s="219"/>
    </row>
    <row r="9" spans="1:35" ht="13" customHeight="1">
      <c r="A9" s="211"/>
      <c r="B9" s="23" t="str">
        <f>IF('Summary | Sumário'!D$6=Names!B$3,Names!AA7,Names!AB7)</f>
        <v>Creditors by resources to release</v>
      </c>
      <c r="C9" s="174">
        <v>54167</v>
      </c>
      <c r="D9" s="174">
        <v>64410</v>
      </c>
      <c r="E9" s="174">
        <f t="shared" si="0"/>
        <v>248633</v>
      </c>
      <c r="F9" s="174">
        <f t="shared" si="1"/>
        <v>251863</v>
      </c>
      <c r="G9" s="174">
        <f t="shared" si="2"/>
        <v>380021</v>
      </c>
      <c r="H9" s="174">
        <f t="shared" si="3"/>
        <v>275795.36</v>
      </c>
      <c r="I9" s="179"/>
      <c r="J9" s="174">
        <v>77971</v>
      </c>
      <c r="K9" s="174">
        <v>160250</v>
      </c>
      <c r="L9" s="174">
        <v>211800</v>
      </c>
      <c r="M9" s="174">
        <v>248633</v>
      </c>
      <c r="N9" s="174">
        <v>228245</v>
      </c>
      <c r="O9" s="174">
        <v>200059</v>
      </c>
      <c r="P9" s="174">
        <v>258532</v>
      </c>
      <c r="Q9" s="174">
        <v>251863</v>
      </c>
      <c r="R9" s="174">
        <v>214375</v>
      </c>
      <c r="S9" s="174">
        <v>267144</v>
      </c>
      <c r="T9" s="174">
        <v>327160</v>
      </c>
      <c r="U9" s="174">
        <v>380021</v>
      </c>
      <c r="V9" s="174">
        <v>331346</v>
      </c>
      <c r="W9" s="174">
        <v>299344.21299999999</v>
      </c>
      <c r="X9" s="174">
        <v>229281.05566999997</v>
      </c>
      <c r="Y9" s="174">
        <v>275795.36</v>
      </c>
      <c r="Z9" s="174">
        <v>368051</v>
      </c>
      <c r="AA9" s="174">
        <v>532286</v>
      </c>
      <c r="AB9" s="174">
        <v>594163</v>
      </c>
      <c r="AC9" s="179"/>
      <c r="AD9" s="350">
        <f t="shared" si="4"/>
        <v>0.11624765633512801</v>
      </c>
      <c r="AE9" s="350">
        <f t="shared" si="5"/>
        <v>1.5914177613311757</v>
      </c>
      <c r="AF9" s="219"/>
    </row>
    <row r="10" spans="1:35" ht="13" customHeight="1">
      <c r="A10" s="211"/>
      <c r="B10" s="16" t="str">
        <f>IF('Summary | Sumário'!D$6=Names!B$3,Names!AA8,Names!AB8)</f>
        <v>Securities issued</v>
      </c>
      <c r="C10" s="179">
        <v>1719580</v>
      </c>
      <c r="D10" s="179">
        <v>1729436</v>
      </c>
      <c r="E10" s="179">
        <f t="shared" si="0"/>
        <v>3572093</v>
      </c>
      <c r="F10" s="179">
        <f t="shared" si="1"/>
        <v>6202165</v>
      </c>
      <c r="G10" s="179">
        <f t="shared" si="2"/>
        <v>8095042</v>
      </c>
      <c r="H10" s="179">
        <f t="shared" si="3"/>
        <v>9890219</v>
      </c>
      <c r="I10" s="179"/>
      <c r="J10" s="179">
        <v>1704892</v>
      </c>
      <c r="K10" s="179">
        <v>2081723</v>
      </c>
      <c r="L10" s="179">
        <v>3093320</v>
      </c>
      <c r="M10" s="179">
        <v>3572093</v>
      </c>
      <c r="N10" s="179">
        <v>4280956</v>
      </c>
      <c r="O10" s="179">
        <v>6104223</v>
      </c>
      <c r="P10" s="179">
        <v>6916919</v>
      </c>
      <c r="Q10" s="179">
        <v>6202165</v>
      </c>
      <c r="R10" s="179">
        <v>6640557</v>
      </c>
      <c r="S10" s="179">
        <v>7006191.0407400001</v>
      </c>
      <c r="T10" s="179">
        <v>7462564.5372699993</v>
      </c>
      <c r="U10" s="179">
        <v>8095042</v>
      </c>
      <c r="V10" s="179">
        <v>8249142.2142699994</v>
      </c>
      <c r="W10" s="179">
        <v>8543248.1730000004</v>
      </c>
      <c r="X10" s="179">
        <v>9047656</v>
      </c>
      <c r="Y10" s="179">
        <v>9890219</v>
      </c>
      <c r="Z10" s="179">
        <v>10697969</v>
      </c>
      <c r="AA10" s="179">
        <v>11378259</v>
      </c>
      <c r="AB10" s="179">
        <v>12242366</v>
      </c>
      <c r="AC10" s="179"/>
      <c r="AD10" s="349">
        <f t="shared" si="4"/>
        <v>7.5943692264343721E-2</v>
      </c>
      <c r="AE10" s="349">
        <f t="shared" si="5"/>
        <v>0.35309808418887711</v>
      </c>
      <c r="AF10" s="219"/>
    </row>
    <row r="11" spans="1:35" ht="13" customHeight="1">
      <c r="A11" s="211"/>
      <c r="B11" s="22" t="str">
        <f>IF('Summary | Sumário'!D$6=Names!B$3,Names!AA24,Names!AB24)</f>
        <v>Interest bearing deposits from banks</v>
      </c>
      <c r="C11" s="174">
        <f>SUM(C12:C13)</f>
        <v>510733</v>
      </c>
      <c r="D11" s="174">
        <f t="shared" ref="D11:Z11" si="6">SUM(D12:D13)</f>
        <v>102874</v>
      </c>
      <c r="E11" s="174">
        <f t="shared" si="0"/>
        <v>1113010</v>
      </c>
      <c r="F11" s="174">
        <f t="shared" si="1"/>
        <v>2635401</v>
      </c>
      <c r="G11" s="174">
        <f t="shared" si="2"/>
        <v>2658958</v>
      </c>
      <c r="H11" s="174">
        <f t="shared" si="3"/>
        <v>2242924.3964400003</v>
      </c>
      <c r="I11" s="179"/>
      <c r="J11" s="174">
        <f t="shared" si="6"/>
        <v>215077.01337999999</v>
      </c>
      <c r="K11" s="174">
        <f t="shared" si="6"/>
        <v>385394.85464999999</v>
      </c>
      <c r="L11" s="174">
        <f t="shared" si="6"/>
        <v>947510.22100000002</v>
      </c>
      <c r="M11" s="174">
        <f t="shared" si="6"/>
        <v>1113010</v>
      </c>
      <c r="N11" s="174">
        <f t="shared" si="6"/>
        <v>1473583</v>
      </c>
      <c r="O11" s="174">
        <f t="shared" si="6"/>
        <v>1795650</v>
      </c>
      <c r="P11" s="174">
        <f t="shared" si="6"/>
        <v>2286525</v>
      </c>
      <c r="Q11" s="174">
        <f t="shared" si="6"/>
        <v>2635401</v>
      </c>
      <c r="R11" s="174">
        <f t="shared" si="6"/>
        <v>2673490</v>
      </c>
      <c r="S11" s="174">
        <f t="shared" si="6"/>
        <v>2320817</v>
      </c>
      <c r="T11" s="174">
        <f t="shared" si="6"/>
        <v>2957425.0232100002</v>
      </c>
      <c r="U11" s="174">
        <f t="shared" si="6"/>
        <v>2658958</v>
      </c>
      <c r="V11" s="174">
        <f t="shared" si="6"/>
        <v>2788975.0564099997</v>
      </c>
      <c r="W11" s="174">
        <f t="shared" si="6"/>
        <v>3136404.7650000001</v>
      </c>
      <c r="X11" s="174">
        <f t="shared" si="6"/>
        <v>1975608.0917399998</v>
      </c>
      <c r="Y11" s="174">
        <f t="shared" si="6"/>
        <v>2242924.3964400003</v>
      </c>
      <c r="Z11" s="174">
        <f t="shared" si="6"/>
        <v>4330418</v>
      </c>
      <c r="AA11" s="174">
        <f t="shared" ref="AA11:AB11" si="7">SUM(AA12:AA13)</f>
        <v>3623551</v>
      </c>
      <c r="AB11" s="174">
        <f t="shared" si="7"/>
        <v>3533488</v>
      </c>
      <c r="AC11" s="179"/>
      <c r="AD11" s="350">
        <f t="shared" si="4"/>
        <v>-2.4854900620965403E-2</v>
      </c>
      <c r="AE11" s="350">
        <f t="shared" si="5"/>
        <v>0.78855716109560525</v>
      </c>
      <c r="AF11" s="219"/>
    </row>
    <row r="12" spans="1:35" ht="13" customHeight="1">
      <c r="A12" s="211"/>
      <c r="B12" s="17" t="str">
        <f>IF('Summary | Sumário'!D$6=Names!B$3,Names!AA20,Names!AB20)</f>
        <v>Securities sold under agreements to repurchase</v>
      </c>
      <c r="C12" s="179">
        <v>178491</v>
      </c>
      <c r="D12" s="179">
        <v>102874</v>
      </c>
      <c r="E12" s="179">
        <f t="shared" si="0"/>
        <v>973533</v>
      </c>
      <c r="F12" s="179">
        <f t="shared" si="1"/>
        <v>1902873</v>
      </c>
      <c r="G12" s="179">
        <f t="shared" si="2"/>
        <v>1011092</v>
      </c>
      <c r="H12" s="179">
        <f t="shared" si="3"/>
        <v>1725851.9284400002</v>
      </c>
      <c r="I12" s="179"/>
      <c r="J12" s="179">
        <v>164878.20288</v>
      </c>
      <c r="K12" s="179">
        <v>209582.78599999999</v>
      </c>
      <c r="L12" s="179">
        <v>656030.402</v>
      </c>
      <c r="M12" s="179">
        <v>973533</v>
      </c>
      <c r="N12" s="179">
        <v>976192</v>
      </c>
      <c r="O12" s="179">
        <v>1480935</v>
      </c>
      <c r="P12" s="179">
        <v>1354877</v>
      </c>
      <c r="Q12" s="179">
        <v>1902873</v>
      </c>
      <c r="R12" s="179">
        <v>1882289</v>
      </c>
      <c r="S12" s="179">
        <v>1727567</v>
      </c>
      <c r="T12" s="179">
        <v>1600987.9855800001</v>
      </c>
      <c r="U12" s="179">
        <v>1011092</v>
      </c>
      <c r="V12" s="179">
        <v>1107832.7549099999</v>
      </c>
      <c r="W12" s="179">
        <v>1372709.743</v>
      </c>
      <c r="X12" s="179">
        <v>1776578.1025399999</v>
      </c>
      <c r="Y12" s="179">
        <v>1725851.9284400002</v>
      </c>
      <c r="Z12" s="179">
        <v>3798106</v>
      </c>
      <c r="AA12" s="179">
        <v>3088200</v>
      </c>
      <c r="AB12" s="179">
        <v>3479847</v>
      </c>
      <c r="AC12" s="179"/>
      <c r="AD12" s="349">
        <f t="shared" si="4"/>
        <v>0.1268204779483193</v>
      </c>
      <c r="AE12" s="349">
        <f t="shared" si="5"/>
        <v>0.95873572629585579</v>
      </c>
      <c r="AF12" s="219"/>
    </row>
    <row r="13" spans="1:35" ht="13" customHeight="1">
      <c r="A13" s="211"/>
      <c r="B13" s="23" t="str">
        <f>IF('Summary | Sumário'!D$6=Names!B$3,Names!AA21,Names!AB21)</f>
        <v>Interbank deposits</v>
      </c>
      <c r="C13" s="174">
        <v>332242</v>
      </c>
      <c r="D13" s="174">
        <v>0</v>
      </c>
      <c r="E13" s="174">
        <f t="shared" si="0"/>
        <v>139477</v>
      </c>
      <c r="F13" s="174">
        <f t="shared" si="1"/>
        <v>732528</v>
      </c>
      <c r="G13" s="174">
        <f t="shared" si="2"/>
        <v>1647866</v>
      </c>
      <c r="H13" s="174">
        <f t="shared" si="3"/>
        <v>517072.46799999999</v>
      </c>
      <c r="I13" s="179"/>
      <c r="J13" s="174">
        <v>50198.8105</v>
      </c>
      <c r="K13" s="174">
        <v>175812.06864999997</v>
      </c>
      <c r="L13" s="174">
        <v>291479.81900000002</v>
      </c>
      <c r="M13" s="174">
        <v>139477</v>
      </c>
      <c r="N13" s="174">
        <v>497391</v>
      </c>
      <c r="O13" s="174">
        <v>314715</v>
      </c>
      <c r="P13" s="174">
        <v>931648</v>
      </c>
      <c r="Q13" s="174">
        <v>732528</v>
      </c>
      <c r="R13" s="174">
        <v>791201</v>
      </c>
      <c r="S13" s="174">
        <v>593250</v>
      </c>
      <c r="T13" s="174">
        <v>1356437.0376300002</v>
      </c>
      <c r="U13" s="174">
        <v>1647866</v>
      </c>
      <c r="V13" s="174">
        <v>1681142.3015000001</v>
      </c>
      <c r="W13" s="174">
        <v>1763695.0220000001</v>
      </c>
      <c r="X13" s="174">
        <v>199029.98919999998</v>
      </c>
      <c r="Y13" s="174">
        <v>517072.46799999999</v>
      </c>
      <c r="Z13" s="174">
        <v>532312</v>
      </c>
      <c r="AA13" s="174">
        <v>535351</v>
      </c>
      <c r="AB13" s="174">
        <v>53641</v>
      </c>
      <c r="AC13" s="179"/>
      <c r="AD13" s="350">
        <f t="shared" si="4"/>
        <v>-0.89980218585563487</v>
      </c>
      <c r="AE13" s="350">
        <f t="shared" si="5"/>
        <v>-0.73048785152624629</v>
      </c>
      <c r="AF13" s="219"/>
    </row>
    <row r="14" spans="1:35" ht="13" customHeight="1">
      <c r="A14" s="211"/>
      <c r="B14" s="16" t="str">
        <f>IF('Summary | Sumário'!D$6=Names!B$3,Names!AA22,Names!AB22)</f>
        <v>Borrowings and on-lending</v>
      </c>
      <c r="C14" s="179">
        <v>29800</v>
      </c>
      <c r="D14" s="179">
        <v>27405</v>
      </c>
      <c r="E14" s="179">
        <f t="shared" si="0"/>
        <v>25071</v>
      </c>
      <c r="F14" s="179">
        <f t="shared" si="1"/>
        <v>36448</v>
      </c>
      <c r="G14" s="179">
        <f t="shared" si="2"/>
        <v>107412</v>
      </c>
      <c r="H14" s="179">
        <f t="shared" si="3"/>
        <v>128924</v>
      </c>
      <c r="I14" s="179"/>
      <c r="J14" s="179">
        <v>27179</v>
      </c>
      <c r="K14" s="179">
        <v>26325</v>
      </c>
      <c r="L14" s="179">
        <v>25580</v>
      </c>
      <c r="M14" s="179">
        <v>25071</v>
      </c>
      <c r="N14" s="179">
        <v>33002</v>
      </c>
      <c r="O14" s="179">
        <v>31855</v>
      </c>
      <c r="P14" s="179">
        <v>33119</v>
      </c>
      <c r="Q14" s="179">
        <v>36448</v>
      </c>
      <c r="R14" s="179">
        <v>36632</v>
      </c>
      <c r="S14" s="179">
        <v>38753</v>
      </c>
      <c r="T14" s="179">
        <v>87649</v>
      </c>
      <c r="U14" s="179">
        <v>107412</v>
      </c>
      <c r="V14" s="179">
        <v>102019.6489</v>
      </c>
      <c r="W14" s="179">
        <v>101630.08100000001</v>
      </c>
      <c r="X14" s="179">
        <v>114824</v>
      </c>
      <c r="Y14" s="179">
        <v>128924</v>
      </c>
      <c r="Z14" s="179">
        <v>397953</v>
      </c>
      <c r="AA14" s="179">
        <v>572557</v>
      </c>
      <c r="AB14" s="179">
        <v>676424</v>
      </c>
      <c r="AC14" s="179"/>
      <c r="AD14" s="349">
        <f t="shared" si="4"/>
        <v>0.18140901255246211</v>
      </c>
      <c r="AE14" s="349">
        <f t="shared" si="5"/>
        <v>4.8909635616247478</v>
      </c>
      <c r="AF14" s="219"/>
    </row>
    <row r="15" spans="1:35" ht="13" customHeight="1">
      <c r="A15" s="211"/>
      <c r="B15" s="294" t="str">
        <f>IF('Summary | Sumário'!D$6=Names!B$3,Names!AA9,Names!AB9)</f>
        <v>Total funding</v>
      </c>
      <c r="C15" s="295">
        <f>C5+C10+C11+C14</f>
        <v>6974552</v>
      </c>
      <c r="D15" s="295">
        <f t="shared" ref="D15:Z15" si="8">D5+D10+D11+D14</f>
        <v>14296347</v>
      </c>
      <c r="E15" s="295">
        <f t="shared" si="0"/>
        <v>23043717</v>
      </c>
      <c r="F15" s="295">
        <f t="shared" si="1"/>
        <v>32516818</v>
      </c>
      <c r="G15" s="295">
        <f t="shared" si="2"/>
        <v>43513032</v>
      </c>
      <c r="H15" s="295">
        <f t="shared" si="3"/>
        <v>55065296.396439999</v>
      </c>
      <c r="I15" s="336"/>
      <c r="J15" s="295">
        <f t="shared" si="8"/>
        <v>15339827.01338</v>
      </c>
      <c r="K15" s="295">
        <f t="shared" si="8"/>
        <v>18122573.474649996</v>
      </c>
      <c r="L15" s="295">
        <f t="shared" si="8"/>
        <v>21159883.519000001</v>
      </c>
      <c r="M15" s="295">
        <f t="shared" si="8"/>
        <v>23043717</v>
      </c>
      <c r="N15" s="295">
        <f t="shared" si="8"/>
        <v>24745659</v>
      </c>
      <c r="O15" s="295">
        <f t="shared" si="8"/>
        <v>27678137</v>
      </c>
      <c r="P15" s="295">
        <f t="shared" si="8"/>
        <v>30688589</v>
      </c>
      <c r="Q15" s="295">
        <f t="shared" si="8"/>
        <v>32516818</v>
      </c>
      <c r="R15" s="295">
        <f t="shared" si="8"/>
        <v>33532685</v>
      </c>
      <c r="S15" s="295">
        <f t="shared" si="8"/>
        <v>35665087.040739998</v>
      </c>
      <c r="T15" s="295">
        <f t="shared" si="8"/>
        <v>39571626.560479999</v>
      </c>
      <c r="U15" s="295">
        <f t="shared" si="8"/>
        <v>43513032</v>
      </c>
      <c r="V15" s="295">
        <f t="shared" si="8"/>
        <v>43783581.005715944</v>
      </c>
      <c r="W15" s="295">
        <f t="shared" si="8"/>
        <v>47759601.090000004</v>
      </c>
      <c r="X15" s="295">
        <f t="shared" si="8"/>
        <v>50267847.091739997</v>
      </c>
      <c r="Y15" s="295">
        <f t="shared" si="8"/>
        <v>55065296.396439999</v>
      </c>
      <c r="Z15" s="295">
        <f t="shared" si="8"/>
        <v>59074108</v>
      </c>
      <c r="AA15" s="295">
        <f t="shared" ref="AA15" si="9">AA5+AA10+AA11+AA14</f>
        <v>62241710</v>
      </c>
      <c r="AB15" s="295">
        <f>AB5+AB10+AB11+AB14</f>
        <v>67948664</v>
      </c>
      <c r="AC15" s="336"/>
      <c r="AD15" s="351">
        <f t="shared" si="4"/>
        <v>9.1690186532471518E-2</v>
      </c>
      <c r="AE15" s="351">
        <f t="shared" si="5"/>
        <v>0.35173212960547318</v>
      </c>
      <c r="AF15" s="219"/>
    </row>
    <row r="16" spans="1:35" ht="13" customHeight="1">
      <c r="B16" s="57"/>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G16" s="149"/>
    </row>
    <row r="17" spans="1:34" ht="13" customHeight="1">
      <c r="A17" s="211"/>
      <c r="B17" s="57"/>
      <c r="C17" s="226"/>
      <c r="D17" s="226"/>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c r="AF17" s="149"/>
      <c r="AG17" s="149"/>
      <c r="AH17" s="208"/>
    </row>
    <row r="18" spans="1:34" ht="13" customHeight="1">
      <c r="A18" s="211"/>
      <c r="B18" s="49"/>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49"/>
      <c r="AG18" s="149"/>
      <c r="AH18" s="208"/>
    </row>
    <row r="19" spans="1:34" ht="13" customHeight="1">
      <c r="A19" s="211"/>
      <c r="B19" s="49"/>
      <c r="C19" s="215"/>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149"/>
      <c r="AG19" s="149"/>
    </row>
    <row r="20" spans="1:34" ht="13" customHeight="1">
      <c r="A20" s="211"/>
      <c r="B20" s="50"/>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149"/>
      <c r="AG20" s="149"/>
    </row>
    <row r="21" spans="1:34" ht="13" customHeight="1">
      <c r="A21" s="211"/>
      <c r="AF21" s="149"/>
      <c r="AG21" s="149"/>
    </row>
    <row r="22" spans="1:34" ht="13" customHeight="1">
      <c r="A22" s="211"/>
      <c r="B22" s="51"/>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row>
    <row r="23" spans="1:34" ht="13" customHeight="1">
      <c r="A23" s="211"/>
      <c r="B23" s="51"/>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row>
    <row r="24" spans="1:34" ht="13" customHeight="1">
      <c r="A24" s="211"/>
      <c r="B24" s="51"/>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row>
    <row r="25" spans="1:34" ht="13" customHeight="1">
      <c r="A25" s="211"/>
      <c r="AF25" s="185"/>
    </row>
    <row r="26" spans="1:34" ht="13" customHeight="1">
      <c r="AF26" s="185"/>
    </row>
  </sheetData>
  <sheetProtection algorithmName="SHA-512" hashValue="8xzUxb9kTt2HlNLKgV/gyqS9x9vShC9YpzTJBeqLQpWE0ClzP51GP0PiY1vpOQmUlsZmEo6stR4T5ikwwtrM7w==" saltValue="XkiWTdHB2HC9dgOSYcvSIg=="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ignoredErrors>
    <ignoredError sqref="C2:AE4 C15:AE15 E10:I10 AC10:AE10 C11:I11 AC11:AE11 E9:I9 E5:I5 E6:I6 E7:I7 E8:I8 E12:I12 E13:I13 E14:I14 AC5:AE5 AC6:AE6 AC7:AE7 AC8:AE8 AC9:AE9 AC12:AE12 AC13:AE13 AC14:AE14" unlockedFormula="1"/>
    <ignoredError sqref="J11:AB11" formula="1" unlockedFormula="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DE781-4025-2040-B493-11733DB11A31}">
  <sheetPr codeName="Sheet8">
    <tabColor rgb="FFEB7100"/>
  </sheetPr>
  <dimension ref="A1:AK126"/>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8" width="10.83203125" style="116" customWidth="1"/>
    <col min="9" max="9" width="2.83203125" style="116" customWidth="1"/>
    <col min="10" max="18" width="10.83203125" style="116" customWidth="1"/>
    <col min="19" max="25" width="10.83203125" style="116"/>
    <col min="26" max="26" width="10.83203125" style="116" customWidth="1"/>
    <col min="27" max="27" width="11.5" style="116" bestFit="1" customWidth="1"/>
    <col min="28" max="28" width="11.5" style="116" customWidth="1"/>
    <col min="29" max="29" width="5.83203125" style="116" customWidth="1"/>
    <col min="30" max="16384" width="10.83203125" style="116"/>
  </cols>
  <sheetData>
    <row r="1" spans="1:37"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row>
    <row r="2" spans="1:37" s="10" customFormat="1" ht="13" customHeight="1">
      <c r="B2" s="267" t="str">
        <f>IF('Summary | Sumário'!D$6=Names!B$3,Names!V1,Names!W1)</f>
        <v>IEP (IFRS, R$ Thousands)</v>
      </c>
      <c r="C2" s="114">
        <f>IF('Summary | Sumário'!D6=Names!B3,Names!C2,Names!D2)</f>
        <v>2019</v>
      </c>
      <c r="D2" s="114">
        <f>IF('Summary | Sumário'!D6=Names!B3,Names!C3,Names!D3)</f>
        <v>2020</v>
      </c>
      <c r="E2" s="114">
        <f>IF('Summary | Sumário'!D6=Names!B3,Names!C4,Names!D4)</f>
        <v>2021</v>
      </c>
      <c r="F2" s="114">
        <f>IF('Summary | Sumário'!D6=Names!B3,Names!C5,Names!D5)</f>
        <v>2022</v>
      </c>
      <c r="G2" s="114">
        <f>IF('Summary | Sumário'!D6=Names!B3,Names!C18,Names!D18)</f>
        <v>2023</v>
      </c>
      <c r="H2" s="114">
        <f>IF('Summary | Sumário'!D6=Names!B3,Names!C23,Names!D23)</f>
        <v>2024</v>
      </c>
      <c r="I2" s="322"/>
      <c r="J2" s="20" t="str">
        <f>IF('Summary | Sumário'!D6=Names!B3,Names!C6,Names!D6)</f>
        <v>1Q21</v>
      </c>
      <c r="K2" s="20" t="str">
        <f>IF('Summary | Sumário'!D6=Names!B3,Names!C7,Names!D7)</f>
        <v>2Q21</v>
      </c>
      <c r="L2" s="20" t="str">
        <f>IF('Summary | Sumário'!D6=Names!B3,Names!C8,Names!D8)</f>
        <v>3Q21</v>
      </c>
      <c r="M2" s="21" t="str">
        <f>IF('Summary | Sumário'!D6=Names!B3,Names!C9,Names!D9)</f>
        <v>4Q21</v>
      </c>
      <c r="N2" s="21" t="str">
        <f>IF('Summary | Sumário'!D6=Names!B3,Names!C10,Names!D10)</f>
        <v>1Q22</v>
      </c>
      <c r="O2" s="21" t="str">
        <f>IF('Summary | Sumário'!D6=Names!B3,Names!C11,Names!D11)</f>
        <v>2Q22</v>
      </c>
      <c r="P2" s="21" t="str">
        <f>IF('Summary | Sumário'!D6=Names!B3,Names!C12,Names!D12)</f>
        <v>3Q22</v>
      </c>
      <c r="Q2" s="21" t="str">
        <f>IF('Summary | Sumário'!D6=Names!B3,Names!C13,Names!D13)</f>
        <v>4Q22</v>
      </c>
      <c r="R2" s="21" t="str">
        <f>IF('Summary | Sumário'!D6=Names!B3,Names!C14,Names!D14)</f>
        <v>1Q23</v>
      </c>
      <c r="S2" s="21" t="str">
        <f>IF('Summary | Sumário'!D6=Names!B3,Names!C15,Names!D15)</f>
        <v>2Q23</v>
      </c>
      <c r="T2" s="21" t="str">
        <f>IF('Summary | Sumário'!D6=Names!B3,Names!C16,Names!D16)</f>
        <v>3Q23</v>
      </c>
      <c r="U2" s="21" t="str">
        <f>IF('Summary | Sumário'!D6=Names!B3,Names!C17,Names!D17)</f>
        <v>4Q23</v>
      </c>
      <c r="V2" s="21" t="str">
        <f>IF('Summary | Sumário'!D6=Names!B3,Names!C19,Names!D19)</f>
        <v>1Q24</v>
      </c>
      <c r="W2" s="21" t="str">
        <f>IF('Summary | Sumário'!D6=Names!B3,Names!C20,Names!D20)</f>
        <v>2Q24</v>
      </c>
      <c r="X2" s="21" t="str">
        <f>IF('Summary | Sumário'!D6=Names!B3,Names!C21,Names!D21)</f>
        <v>3Q24</v>
      </c>
      <c r="Y2" s="21" t="str">
        <f>IF('Summary | Sumário'!D6=Names!B3,Names!C22,Names!D22)</f>
        <v>4Q24</v>
      </c>
      <c r="Z2" s="21" t="str">
        <f>IF('Summary | Sumário'!D6=Names!B3,Names!C24,Names!D24)</f>
        <v>1Q25</v>
      </c>
      <c r="AA2" s="21" t="str">
        <f>IF('Summary | Sumário'!D6=Names!B3,Names!C25,Names!D25)</f>
        <v>2Q25</v>
      </c>
      <c r="AB2" s="269" t="str">
        <f>IF('Summary | Sumário'!D6=Names!B3,Names!C26,Names!D26)</f>
        <v>3Q25</v>
      </c>
      <c r="AC2" s="321"/>
      <c r="AD2" s="104" t="str">
        <f>IF('Summary | Sumário'!$D$6=Names!$B$3,Names!$I$24,Names!$J$24)</f>
        <v>QoQ Variation</v>
      </c>
      <c r="AE2" s="104" t="str">
        <f>IF('Summary | Sumário'!$D$6=Names!$B$3,Names!$I$25,Names!$J$25)</f>
        <v>YoY Variation</v>
      </c>
      <c r="AF2" s="58"/>
      <c r="AG2" s="58"/>
      <c r="AH2" s="11"/>
      <c r="AJ2" s="12"/>
      <c r="AK2" s="13"/>
    </row>
    <row r="3" spans="1:37" ht="13" customHeight="1">
      <c r="B3" s="14"/>
      <c r="C3" s="126"/>
      <c r="D3" s="126"/>
      <c r="E3" s="126"/>
      <c r="F3" s="126"/>
      <c r="G3" s="126"/>
      <c r="H3" s="126"/>
      <c r="I3" s="321"/>
      <c r="J3" s="127"/>
      <c r="K3" s="127"/>
      <c r="L3" s="127"/>
      <c r="M3" s="127"/>
      <c r="N3" s="127"/>
      <c r="O3" s="127"/>
      <c r="P3" s="127"/>
      <c r="Q3" s="127"/>
      <c r="R3" s="127"/>
      <c r="S3" s="127"/>
      <c r="T3" s="127"/>
      <c r="U3" s="127"/>
      <c r="V3" s="127"/>
      <c r="W3" s="127"/>
      <c r="X3" s="127"/>
      <c r="Y3" s="127"/>
      <c r="Z3" s="127"/>
      <c r="AA3" s="120"/>
      <c r="AB3" s="120"/>
      <c r="AC3" s="120"/>
      <c r="AD3" s="120"/>
      <c r="AE3" s="120"/>
    </row>
    <row r="4" spans="1:37" s="145" customFormat="1" ht="13" customHeight="1">
      <c r="A4" s="143"/>
      <c r="B4" s="3" t="str">
        <f>IF('Summary | Sumário'!D$6=Names!B$3,Names!V4,Names!W4)</f>
        <v>Total Interest Earning Assets</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2"/>
      <c r="AE4" s="182"/>
    </row>
    <row r="5" spans="1:37" ht="13" customHeight="1">
      <c r="A5" s="211"/>
      <c r="B5" s="288" t="str">
        <f>IF('Summary | Sumário'!D6=Names!B3,Names!K3,Names!L3)</f>
        <v>Cash and equivalents</v>
      </c>
      <c r="C5" s="289">
        <f>'2. BS | BP'!C5</f>
        <v>3114789</v>
      </c>
      <c r="D5" s="289">
        <f>'2. BS | BP'!D5</f>
        <v>2154687</v>
      </c>
      <c r="E5" s="289">
        <f>'2. BS | BP'!E5</f>
        <v>500446</v>
      </c>
      <c r="F5" s="289">
        <f>'2. BS | BP'!F5</f>
        <v>1331648</v>
      </c>
      <c r="G5" s="289">
        <f>'2. BS | BP'!G5</f>
        <v>4259379</v>
      </c>
      <c r="H5" s="289">
        <f>'2. BS | BP'!H5</f>
        <v>1108393.9463064999</v>
      </c>
      <c r="I5" s="179"/>
      <c r="J5" s="289">
        <f>'2. BS | BP'!J5</f>
        <v>906123</v>
      </c>
      <c r="K5" s="289">
        <f>'2. BS | BP'!K5</f>
        <v>5731007.0010000002</v>
      </c>
      <c r="L5" s="289">
        <f>'2. BS | BP'!L5</f>
        <v>451774.29800000001</v>
      </c>
      <c r="M5" s="289">
        <f>'2. BS | BP'!M5</f>
        <v>500446</v>
      </c>
      <c r="N5" s="289">
        <f>'2. BS | BP'!N5</f>
        <v>1171654</v>
      </c>
      <c r="O5" s="289">
        <f>'2. BS | BP'!O5</f>
        <v>1549158</v>
      </c>
      <c r="P5" s="289">
        <f>'2. BS | BP'!P5</f>
        <v>838310</v>
      </c>
      <c r="Q5" s="289">
        <f>'2. BS | BP'!Q5</f>
        <v>1331648</v>
      </c>
      <c r="R5" s="289">
        <f>'2. BS | BP'!R5</f>
        <v>1791707</v>
      </c>
      <c r="S5" s="289">
        <f>'2. BS | BP'!S5</f>
        <v>3672219</v>
      </c>
      <c r="T5" s="289">
        <f>'2. BS | BP'!T5</f>
        <v>4297077.8057988677</v>
      </c>
      <c r="U5" s="289">
        <f>'2. BS | BP'!U5</f>
        <v>4259379</v>
      </c>
      <c r="V5" s="289">
        <f>'2. BS | BP'!V5</f>
        <v>2830309.989293688</v>
      </c>
      <c r="W5" s="289">
        <f>'2. BS | BP'!W5</f>
        <v>2797339.324</v>
      </c>
      <c r="X5" s="289">
        <f>'2. BS | BP'!X5</f>
        <v>2273564.7124805599</v>
      </c>
      <c r="Y5" s="289">
        <f>'2. BS | BP'!Y5</f>
        <v>1108393.9463064999</v>
      </c>
      <c r="Z5" s="289">
        <f>'2. BS | BP'!Z5</f>
        <v>1458588</v>
      </c>
      <c r="AA5" s="289">
        <f>'2. BS | BP'!AA5</f>
        <v>4834125</v>
      </c>
      <c r="AB5" s="289">
        <f>'2. BS | BP'!AB5</f>
        <v>5695320</v>
      </c>
      <c r="AC5" s="179"/>
      <c r="AD5" s="337">
        <f>AB5/AA5-1</f>
        <v>0.17814909626871467</v>
      </c>
      <c r="AE5" s="337">
        <f>AB5/X5-1</f>
        <v>1.5050177673571268</v>
      </c>
    </row>
    <row r="6" spans="1:37" ht="13" customHeight="1">
      <c r="A6" s="211"/>
      <c r="B6" s="51" t="str">
        <f>IF('Summary | Sumário'!D7=Names!B4,Names!V2,Names!W2)</f>
        <v>Amounts due from financial institutions excl. interbank onlending</v>
      </c>
      <c r="C6" s="220">
        <f>'2. BS | BP'!C6+C8</f>
        <v>229088</v>
      </c>
      <c r="D6" s="220">
        <f>'2. BS | BP'!D6+D8</f>
        <v>502391</v>
      </c>
      <c r="E6" s="220">
        <f>'2. BS | BP'!E6+E8</f>
        <v>2026303</v>
      </c>
      <c r="F6" s="220">
        <f>'2. BS | BP'!F6+F8</f>
        <v>4227051</v>
      </c>
      <c r="G6" s="220">
        <f>'2. BS | BP'!G6+G8</f>
        <v>3687019</v>
      </c>
      <c r="H6" s="220">
        <f>'2. BS | BP'!H6+H8</f>
        <v>6161040.6410200009</v>
      </c>
      <c r="I6" s="220"/>
      <c r="J6" s="220">
        <f>'2. BS | BP'!J6+J8</f>
        <v>578499</v>
      </c>
      <c r="K6" s="220">
        <f>'2. BS | BP'!K6+K8</f>
        <v>646905</v>
      </c>
      <c r="L6" s="220">
        <f>'2. BS | BP'!L6+L8</f>
        <v>1408183</v>
      </c>
      <c r="M6" s="220">
        <f>'2. BS | BP'!M6+M8</f>
        <v>2026303</v>
      </c>
      <c r="N6" s="220">
        <f>'2. BS | BP'!N6+N8</f>
        <v>1439464</v>
      </c>
      <c r="O6" s="220">
        <f>'2. BS | BP'!O6+O8</f>
        <v>1418548</v>
      </c>
      <c r="P6" s="220">
        <f>'2. BS | BP'!P6+P8</f>
        <v>3402731</v>
      </c>
      <c r="Q6" s="220">
        <f>'2. BS | BP'!Q6+Q8</f>
        <v>4227051</v>
      </c>
      <c r="R6" s="220">
        <f>'2. BS | BP'!R6+R8</f>
        <v>3740726</v>
      </c>
      <c r="S6" s="220">
        <f>'2. BS | BP'!S6+S8</f>
        <v>2539972</v>
      </c>
      <c r="T6" s="220">
        <f>'2. BS | BP'!T6+T8</f>
        <v>3339757.8523399998</v>
      </c>
      <c r="U6" s="220">
        <f>'2. BS | BP'!U6+U8</f>
        <v>3687019</v>
      </c>
      <c r="V6" s="220">
        <f>'2. BS | BP'!V6+V8</f>
        <v>3892684.4775399994</v>
      </c>
      <c r="W6" s="220">
        <f>'2. BS | BP'!W6+W8</f>
        <v>5102987.9583599996</v>
      </c>
      <c r="X6" s="220">
        <f>'2. BS | BP'!X6+X8</f>
        <v>4914229.53804</v>
      </c>
      <c r="Y6" s="220">
        <f>'2. BS | BP'!Y6+Y8</f>
        <v>6161040.6410200009</v>
      </c>
      <c r="Z6" s="220">
        <f>'2. BS | BP'!Z6+Z8</f>
        <v>5748078</v>
      </c>
      <c r="AA6" s="220">
        <f>'2. BS | BP'!AA6+AA8</f>
        <v>4066035</v>
      </c>
      <c r="AB6" s="220">
        <f>'2. BS | BP'!AB6+AB8</f>
        <v>3068027</v>
      </c>
      <c r="AC6" s="220"/>
      <c r="AD6" s="204">
        <f t="shared" ref="AD6:AD23" si="0">AB6/AA6-1</f>
        <v>-0.2454499284929913</v>
      </c>
      <c r="AE6" s="204">
        <f t="shared" ref="AE6:AE23" si="1">AB6/X6-1</f>
        <v>-0.37568504355544263</v>
      </c>
      <c r="AF6" s="335"/>
      <c r="AG6" s="335"/>
      <c r="AH6" s="335"/>
    </row>
    <row r="7" spans="1:37" ht="13" customHeight="1">
      <c r="B7" s="59" t="str">
        <f>IF('Summary | Sumário'!D7=Names!B4,Names!V10,Names!W10)</f>
        <v>Amounts due from financial institutions</v>
      </c>
      <c r="C7" s="216">
        <f t="shared" ref="C7:Y7" si="2">C6-C8</f>
        <v>256097</v>
      </c>
      <c r="D7" s="216">
        <f t="shared" si="2"/>
        <v>502369</v>
      </c>
      <c r="E7" s="216">
        <f t="shared" si="2"/>
        <v>2051862</v>
      </c>
      <c r="F7" s="216">
        <f t="shared" si="2"/>
        <v>4258856</v>
      </c>
      <c r="G7" s="216">
        <f t="shared" si="2"/>
        <v>3718505.7949100002</v>
      </c>
      <c r="H7" s="216">
        <f t="shared" si="2"/>
        <v>6194960.1520200009</v>
      </c>
      <c r="I7" s="188"/>
      <c r="J7" s="216">
        <f t="shared" si="2"/>
        <v>578499</v>
      </c>
      <c r="K7" s="216">
        <f t="shared" si="2"/>
        <v>646905</v>
      </c>
      <c r="L7" s="216">
        <f t="shared" si="2"/>
        <v>1408183</v>
      </c>
      <c r="M7" s="216">
        <f t="shared" si="2"/>
        <v>2051862</v>
      </c>
      <c r="N7" s="216">
        <f t="shared" si="2"/>
        <v>1807258</v>
      </c>
      <c r="O7" s="216">
        <f t="shared" si="2"/>
        <v>1825289</v>
      </c>
      <c r="P7" s="216">
        <f t="shared" si="2"/>
        <v>3417500</v>
      </c>
      <c r="Q7" s="216">
        <f t="shared" si="2"/>
        <v>4258856</v>
      </c>
      <c r="R7" s="216">
        <f t="shared" si="2"/>
        <v>3770074</v>
      </c>
      <c r="S7" s="216">
        <f t="shared" si="2"/>
        <v>2556811</v>
      </c>
      <c r="T7" s="216">
        <f t="shared" si="2"/>
        <v>3474243.8523399998</v>
      </c>
      <c r="U7" s="216">
        <f t="shared" si="2"/>
        <v>3718505.7949100002</v>
      </c>
      <c r="V7" s="216">
        <f t="shared" si="2"/>
        <v>4051287.3041199995</v>
      </c>
      <c r="W7" s="216">
        <f t="shared" si="2"/>
        <v>5280321.6449999996</v>
      </c>
      <c r="X7" s="216">
        <f t="shared" si="2"/>
        <v>5225481.9997899998</v>
      </c>
      <c r="Y7" s="216">
        <f t="shared" si="2"/>
        <v>6194960.1520200009</v>
      </c>
      <c r="Z7" s="216">
        <f>Z6-Z8</f>
        <v>6595073</v>
      </c>
      <c r="AA7" s="216">
        <f>AA6-AA8</f>
        <v>4952995</v>
      </c>
      <c r="AB7" s="216">
        <f>AB6-AB8</f>
        <v>3275871</v>
      </c>
      <c r="AD7" s="203">
        <f t="shared" si="0"/>
        <v>-0.3386080543186496</v>
      </c>
      <c r="AE7" s="203">
        <f t="shared" si="1"/>
        <v>-0.37309687410048498</v>
      </c>
    </row>
    <row r="8" spans="1:37" ht="13" customHeight="1">
      <c r="A8" s="211"/>
      <c r="B8" s="54" t="str">
        <f>IF('Summary | Sumário'!D7=Names!B4,Names!V3,Names!W3)</f>
        <v>(-) Interbank on-lending</v>
      </c>
      <c r="C8" s="220">
        <v>-27009</v>
      </c>
      <c r="D8" s="220">
        <v>22</v>
      </c>
      <c r="E8" s="220">
        <f>M8</f>
        <v>-25559</v>
      </c>
      <c r="F8" s="220">
        <f>Q8</f>
        <v>-31805</v>
      </c>
      <c r="G8" s="220">
        <f>U8</f>
        <v>-31486.794910000001</v>
      </c>
      <c r="H8" s="220">
        <f>Y8</f>
        <v>-33919.510999999999</v>
      </c>
      <c r="I8" s="220"/>
      <c r="J8" s="220">
        <v>0</v>
      </c>
      <c r="K8" s="220">
        <v>0</v>
      </c>
      <c r="L8" s="220">
        <v>0</v>
      </c>
      <c r="M8" s="220">
        <v>-25559</v>
      </c>
      <c r="N8" s="220">
        <v>-367794</v>
      </c>
      <c r="O8" s="220">
        <v>-406741</v>
      </c>
      <c r="P8" s="220">
        <v>-14769</v>
      </c>
      <c r="Q8" s="220">
        <v>-31805</v>
      </c>
      <c r="R8" s="220">
        <v>-29348</v>
      </c>
      <c r="S8" s="220">
        <v>-16839</v>
      </c>
      <c r="T8" s="220">
        <v>-134486</v>
      </c>
      <c r="U8" s="220">
        <v>-31486.794910000001</v>
      </c>
      <c r="V8" s="220">
        <v>-158602.82658000002</v>
      </c>
      <c r="W8" s="220">
        <v>-177333.68664000003</v>
      </c>
      <c r="X8" s="220">
        <v>-311252.46175000002</v>
      </c>
      <c r="Y8" s="220">
        <v>-33919.510999999999</v>
      </c>
      <c r="Z8" s="220">
        <v>-846995</v>
      </c>
      <c r="AA8" s="220">
        <v>-886960</v>
      </c>
      <c r="AB8" s="220">
        <v>-207844</v>
      </c>
      <c r="AC8" s="220"/>
      <c r="AD8" s="204">
        <f>AB8/AA8-1</f>
        <v>-0.76566699738432398</v>
      </c>
      <c r="AE8" s="204">
        <f t="shared" si="1"/>
        <v>-0.33223339397411211</v>
      </c>
      <c r="AF8" s="335"/>
      <c r="AG8" s="335"/>
      <c r="AH8" s="335"/>
    </row>
    <row r="9" spans="1:37" ht="13" customHeight="1">
      <c r="A9" s="211"/>
      <c r="B9" s="177" t="str">
        <f>IF('Summary | Sumário'!D6=Names!B3,Names!K5,Names!L5)</f>
        <v>Deposits at Central Bank of Brazil</v>
      </c>
      <c r="C9" s="221">
        <f>'2. BS | BP'!C7</f>
        <v>392280</v>
      </c>
      <c r="D9" s="221">
        <f>'2. BS | BP'!D7</f>
        <v>1709729</v>
      </c>
      <c r="E9" s="221">
        <f>'2. BS | BP'!E7</f>
        <v>2399488</v>
      </c>
      <c r="F9" s="221">
        <f>'2. BS | BP'!F7</f>
        <v>2854778</v>
      </c>
      <c r="G9" s="221">
        <f>'2. BS | BP'!G7</f>
        <v>2664415</v>
      </c>
      <c r="H9" s="221">
        <f>'2. BS | BP'!H7</f>
        <v>5285401.7280000001</v>
      </c>
      <c r="I9" s="220"/>
      <c r="J9" s="221">
        <f>'2. BS | BP'!J7</f>
        <v>1644359</v>
      </c>
      <c r="K9" s="221">
        <f>'2. BS | BP'!K7</f>
        <v>1593298</v>
      </c>
      <c r="L9" s="221">
        <f>'2. BS | BP'!L7</f>
        <v>2331697</v>
      </c>
      <c r="M9" s="221">
        <f>'2. BS | BP'!M7</f>
        <v>2399488</v>
      </c>
      <c r="N9" s="221">
        <f>'2. BS | BP'!N7</f>
        <v>2361774</v>
      </c>
      <c r="O9" s="221">
        <f>'2. BS | BP'!O7</f>
        <v>2580989</v>
      </c>
      <c r="P9" s="221">
        <f>'2. BS | BP'!P7</f>
        <v>2686243</v>
      </c>
      <c r="Q9" s="221">
        <f>'2. BS | BP'!Q7</f>
        <v>2854778</v>
      </c>
      <c r="R9" s="221">
        <f>'2. BS | BP'!R7</f>
        <v>2993616</v>
      </c>
      <c r="S9" s="221">
        <f>'2. BS | BP'!S7</f>
        <v>1703869</v>
      </c>
      <c r="T9" s="221">
        <f>'2. BS | BP'!T7</f>
        <v>2190872.3033499997</v>
      </c>
      <c r="U9" s="221">
        <f>'2. BS | BP'!U7</f>
        <v>2664415</v>
      </c>
      <c r="V9" s="221">
        <f>'2. BS | BP'!V7</f>
        <v>2925658.3690599999</v>
      </c>
      <c r="W9" s="221">
        <f>'2. BS | BP'!W7</f>
        <v>3725774.7710000002</v>
      </c>
      <c r="X9" s="221">
        <f>'2. BS | BP'!X7</f>
        <v>4185155.9511100003</v>
      </c>
      <c r="Y9" s="221">
        <f>'2. BS | BP'!Y7</f>
        <v>5285401.7280000001</v>
      </c>
      <c r="Z9" s="221">
        <f>'2. BS | BP'!Z7</f>
        <v>5648238</v>
      </c>
      <c r="AA9" s="221">
        <f>'2. BS | BP'!AA7</f>
        <v>6179662</v>
      </c>
      <c r="AB9" s="221">
        <f>'2. BS | BP'!AB7</f>
        <v>7072746</v>
      </c>
      <c r="AC9" s="220"/>
      <c r="AD9" s="203">
        <f t="shared" si="0"/>
        <v>0.14451987827165946</v>
      </c>
      <c r="AE9" s="203">
        <f t="shared" si="1"/>
        <v>0.68995996388716274</v>
      </c>
      <c r="AF9" s="323"/>
      <c r="AG9" s="323"/>
      <c r="AH9" s="323"/>
    </row>
    <row r="10" spans="1:37" ht="13" customHeight="1">
      <c r="A10" s="211"/>
      <c r="B10" s="116" t="str">
        <f>IF('Summary | Sumário'!D6=Names!B3,Names!K6,Names!L6)</f>
        <v>Securities, net of provisions for expected credit losses</v>
      </c>
      <c r="C10" s="220">
        <f>'2. BS | BP'!C8</f>
        <v>1155094</v>
      </c>
      <c r="D10" s="220">
        <f>'2. BS | BP'!D8</f>
        <v>5812622</v>
      </c>
      <c r="E10" s="220">
        <f>'2. BS | BP'!E8</f>
        <v>12757687</v>
      </c>
      <c r="F10" s="220">
        <f>'2. BS | BP'!F8</f>
        <v>12448565</v>
      </c>
      <c r="G10" s="220">
        <f>'2. BS | BP'!G8</f>
        <v>16868112</v>
      </c>
      <c r="H10" s="220">
        <f>'2. BS | BP'!H8</f>
        <v>23899551.020405103</v>
      </c>
      <c r="I10" s="220"/>
      <c r="J10" s="220">
        <f>'2. BS | BP'!J8</f>
        <v>6619726</v>
      </c>
      <c r="K10" s="220">
        <f>'2. BS | BP'!K8</f>
        <v>8230481</v>
      </c>
      <c r="L10" s="220">
        <f>'2. BS | BP'!L8</f>
        <v>13241180</v>
      </c>
      <c r="M10" s="220">
        <f>'2. BS | BP'!M8</f>
        <v>12757687</v>
      </c>
      <c r="N10" s="220">
        <f>'2. BS | BP'!N8</f>
        <v>12335401</v>
      </c>
      <c r="O10" s="220">
        <f>'2. BS | BP'!O8</f>
        <v>12710051</v>
      </c>
      <c r="P10" s="220">
        <f>'2. BS | BP'!P8</f>
        <v>13373465</v>
      </c>
      <c r="Q10" s="220">
        <f>'2. BS | BP'!Q8</f>
        <v>12448565</v>
      </c>
      <c r="R10" s="220">
        <f>'2. BS | BP'!R8</f>
        <v>12535351</v>
      </c>
      <c r="S10" s="220">
        <f>'2. BS | BP'!S8</f>
        <v>14169684</v>
      </c>
      <c r="T10" s="220">
        <f>'2. BS | BP'!T8</f>
        <v>14908297</v>
      </c>
      <c r="U10" s="220">
        <f>'2. BS | BP'!U8</f>
        <v>16868112</v>
      </c>
      <c r="V10" s="220">
        <f>'2. BS | BP'!V8</f>
        <v>18167251</v>
      </c>
      <c r="W10" s="220">
        <f>'2. BS | BP'!W8</f>
        <v>18276425.519000001</v>
      </c>
      <c r="X10" s="220">
        <f>'2. BS | BP'!X8</f>
        <v>20586354.700983003</v>
      </c>
      <c r="Y10" s="220">
        <f>'2. BS | BP'!Y8</f>
        <v>23899551.020405103</v>
      </c>
      <c r="Z10" s="220">
        <f>'2. BS | BP'!Z8</f>
        <v>24703003</v>
      </c>
      <c r="AA10" s="220">
        <f>'2. BS | BP'!AA8</f>
        <v>23860348</v>
      </c>
      <c r="AB10" s="220">
        <f>'2. BS | BP'!AB8</f>
        <v>27078010</v>
      </c>
      <c r="AC10" s="220"/>
      <c r="AD10" s="204">
        <f t="shared" si="0"/>
        <v>0.13485394261642791</v>
      </c>
      <c r="AE10" s="204">
        <f t="shared" si="1"/>
        <v>0.31533777559496823</v>
      </c>
      <c r="AF10" s="335"/>
      <c r="AG10" s="335"/>
      <c r="AH10" s="335"/>
    </row>
    <row r="11" spans="1:37" ht="13" customHeight="1">
      <c r="A11" s="211"/>
      <c r="B11" s="59" t="str">
        <f>IF('Summary | Sumário'!D6=Names!B3,Names!V5,Names!W5)</f>
        <v>Sovereign securities</v>
      </c>
      <c r="C11" s="221">
        <f t="shared" ref="C11:Y11" si="3">C10-C12</f>
        <v>1155094</v>
      </c>
      <c r="D11" s="221">
        <f t="shared" si="3"/>
        <v>5812622</v>
      </c>
      <c r="E11" s="221">
        <f t="shared" si="3"/>
        <v>12757687</v>
      </c>
      <c r="F11" s="221">
        <f t="shared" si="3"/>
        <v>12448565</v>
      </c>
      <c r="G11" s="221">
        <f t="shared" si="3"/>
        <v>16868112</v>
      </c>
      <c r="H11" s="221">
        <f t="shared" si="3"/>
        <v>23899551.020405103</v>
      </c>
      <c r="I11" s="220"/>
      <c r="J11" s="221">
        <f t="shared" si="3"/>
        <v>5192563</v>
      </c>
      <c r="K11" s="221">
        <f t="shared" si="3"/>
        <v>6670192</v>
      </c>
      <c r="L11" s="221">
        <f t="shared" si="3"/>
        <v>11680891</v>
      </c>
      <c r="M11" s="221">
        <f t="shared" si="3"/>
        <v>11017596</v>
      </c>
      <c r="N11" s="221">
        <f t="shared" si="3"/>
        <v>10381954</v>
      </c>
      <c r="O11" s="221">
        <f t="shared" si="3"/>
        <v>10193311</v>
      </c>
      <c r="P11" s="221">
        <f t="shared" si="3"/>
        <v>10289474</v>
      </c>
      <c r="Q11" s="221">
        <f t="shared" si="3"/>
        <v>9472380</v>
      </c>
      <c r="R11" s="221">
        <f t="shared" si="3"/>
        <v>9679378</v>
      </c>
      <c r="S11" s="221">
        <f t="shared" si="3"/>
        <v>11599504</v>
      </c>
      <c r="T11" s="221">
        <f t="shared" si="3"/>
        <v>12881004</v>
      </c>
      <c r="U11" s="221">
        <f t="shared" si="3"/>
        <v>14673397</v>
      </c>
      <c r="V11" s="221">
        <f t="shared" si="3"/>
        <v>15821272.2217</v>
      </c>
      <c r="W11" s="221">
        <f t="shared" si="3"/>
        <v>16318997.450960001</v>
      </c>
      <c r="X11" s="221">
        <f t="shared" si="3"/>
        <v>18635484.757983003</v>
      </c>
      <c r="Y11" s="221">
        <f t="shared" si="3"/>
        <v>21683797.085405104</v>
      </c>
      <c r="Z11" s="221">
        <f>Z10-Z12</f>
        <v>22271883</v>
      </c>
      <c r="AA11" s="221">
        <f>AA10-AA12</f>
        <v>21235954.901999999</v>
      </c>
      <c r="AB11" s="221">
        <f>AB10-AB12</f>
        <v>24461612</v>
      </c>
      <c r="AC11" s="220"/>
      <c r="AD11" s="203">
        <f t="shared" si="0"/>
        <v>0.15189602317794559</v>
      </c>
      <c r="AE11" s="203">
        <f t="shared" si="1"/>
        <v>0.31263620548004378</v>
      </c>
      <c r="AF11" s="335"/>
      <c r="AG11" s="335"/>
      <c r="AH11" s="335"/>
    </row>
    <row r="12" spans="1:37" ht="13" customHeight="1">
      <c r="A12" s="211"/>
      <c r="B12" s="54" t="str">
        <f>IF('Summary | Sumário'!D6=Names!B3,Names!V6,Names!W6)</f>
        <v>Private securities</v>
      </c>
      <c r="C12" s="552">
        <v>0</v>
      </c>
      <c r="D12" s="552">
        <v>0</v>
      </c>
      <c r="E12" s="552">
        <v>0</v>
      </c>
      <c r="F12" s="552">
        <v>0</v>
      </c>
      <c r="G12" s="552">
        <v>0</v>
      </c>
      <c r="H12" s="552">
        <v>0</v>
      </c>
      <c r="I12" s="552"/>
      <c r="J12" s="552">
        <v>1427163</v>
      </c>
      <c r="K12" s="552">
        <v>1560289</v>
      </c>
      <c r="L12" s="552">
        <v>1560289</v>
      </c>
      <c r="M12" s="552">
        <v>1740091</v>
      </c>
      <c r="N12" s="552">
        <v>1953447</v>
      </c>
      <c r="O12" s="552">
        <v>2516740</v>
      </c>
      <c r="P12" s="552">
        <v>3083991</v>
      </c>
      <c r="Q12" s="552">
        <v>2976185</v>
      </c>
      <c r="R12" s="552">
        <v>2855973</v>
      </c>
      <c r="S12" s="552">
        <v>2570180</v>
      </c>
      <c r="T12" s="552">
        <v>2027293</v>
      </c>
      <c r="U12" s="552">
        <v>2194715</v>
      </c>
      <c r="V12" s="552">
        <v>2345978.7782999999</v>
      </c>
      <c r="W12" s="552">
        <v>1957428.06804</v>
      </c>
      <c r="X12" s="552">
        <v>1950869.943</v>
      </c>
      <c r="Y12" s="552">
        <v>2215753.9350000001</v>
      </c>
      <c r="Z12" s="552">
        <v>2431120</v>
      </c>
      <c r="AA12" s="552">
        <v>2624393.0980000002</v>
      </c>
      <c r="AB12" s="552">
        <v>2616398</v>
      </c>
      <c r="AC12" s="147"/>
      <c r="AD12" s="204">
        <f t="shared" si="0"/>
        <v>-3.0464559619872711E-3</v>
      </c>
      <c r="AE12" s="204">
        <f t="shared" si="1"/>
        <v>0.3411442466413559</v>
      </c>
      <c r="AH12" s="335"/>
    </row>
    <row r="13" spans="1:37" ht="13" customHeight="1">
      <c r="A13" s="211"/>
      <c r="B13" s="177" t="str">
        <f>IF('Summary | Sumário'!D6=Names!B3,Names!K7,Names!L7)</f>
        <v>Derivative financial assets</v>
      </c>
      <c r="C13" s="221">
        <f>'2. BS | BP'!C9</f>
        <v>0</v>
      </c>
      <c r="D13" s="221">
        <f>'2. BS | BP'!D9</f>
        <v>27513</v>
      </c>
      <c r="E13" s="221">
        <f>'2. BS | BP'!E9</f>
        <v>86948</v>
      </c>
      <c r="F13" s="221">
        <f>'2. BS | BP'!F9</f>
        <v>0</v>
      </c>
      <c r="G13" s="221">
        <f>'2. BS | BP'!G9</f>
        <v>4238</v>
      </c>
      <c r="H13" s="221">
        <f>'2. BS | BP'!H9</f>
        <v>562.80100000000004</v>
      </c>
      <c r="I13" s="220"/>
      <c r="J13" s="221">
        <f>'2. BS | BP'!J9</f>
        <v>18603</v>
      </c>
      <c r="K13" s="221">
        <f>'2. BS | BP'!K9</f>
        <v>11684</v>
      </c>
      <c r="L13" s="221">
        <f>'2. BS | BP'!L9</f>
        <v>7643</v>
      </c>
      <c r="M13" s="221">
        <f>'2. BS | BP'!M9</f>
        <v>86948</v>
      </c>
      <c r="N13" s="221">
        <f>'2. BS | BP'!N9</f>
        <v>10410</v>
      </c>
      <c r="O13" s="221">
        <f>'2. BS | BP'!O9</f>
        <v>3212</v>
      </c>
      <c r="P13" s="221">
        <f>'2. BS | BP'!P9</f>
        <v>581</v>
      </c>
      <c r="Q13" s="221">
        <f>'2. BS | BP'!Q9</f>
        <v>0</v>
      </c>
      <c r="R13" s="221">
        <f>'2. BS | BP'!R9</f>
        <v>1122</v>
      </c>
      <c r="S13" s="221">
        <f>'2. BS | BP'!S9</f>
        <v>3625</v>
      </c>
      <c r="T13" s="221">
        <f>'2. BS | BP'!T9</f>
        <v>9388.5369900000005</v>
      </c>
      <c r="U13" s="221">
        <f>'2. BS | BP'!U9</f>
        <v>4238</v>
      </c>
      <c r="V13" s="221">
        <f>'2. BS | BP'!V9</f>
        <v>7392.1129600000004</v>
      </c>
      <c r="W13" s="221">
        <f>'2. BS | BP'!W9</f>
        <v>7177.4260000000004</v>
      </c>
      <c r="X13" s="221">
        <f>'2. BS | BP'!X9</f>
        <v>18488.90812</v>
      </c>
      <c r="Y13" s="221">
        <f>'2. BS | BP'!Y9</f>
        <v>562.80100000000004</v>
      </c>
      <c r="Z13" s="221">
        <f>'2. BS | BP'!Z9</f>
        <v>8163</v>
      </c>
      <c r="AA13" s="221">
        <f>'2. BS | BP'!AA9</f>
        <v>690</v>
      </c>
      <c r="AB13" s="221">
        <f>'2. BS | BP'!AB9</f>
        <v>2493</v>
      </c>
      <c r="AC13" s="220"/>
      <c r="AD13" s="203">
        <f t="shared" si="0"/>
        <v>2.6130434782608694</v>
      </c>
      <c r="AE13" s="203">
        <f t="shared" si="1"/>
        <v>-0.86516239986593646</v>
      </c>
    </row>
    <row r="14" spans="1:37" ht="13" customHeight="1">
      <c r="A14" s="211"/>
      <c r="B14" s="116" t="str">
        <f>IF('Summary | Sumário'!D$6=Names!B$3,Names!V8,Names!V8)</f>
        <v>Loans and advances to customers excl. transactor credit card portfolio</v>
      </c>
      <c r="C14" s="220">
        <f>C15+C16+C17+C18+C21+C22</f>
        <v>4494985.3870000001</v>
      </c>
      <c r="D14" s="220">
        <f t="shared" ref="D14:Z14" si="4">D15+D16+D17+D18+D21+D22</f>
        <v>6833272.8250000002</v>
      </c>
      <c r="E14" s="220">
        <f t="shared" si="4"/>
        <v>12413116.721729999</v>
      </c>
      <c r="F14" s="220">
        <f t="shared" si="4"/>
        <v>15968118</v>
      </c>
      <c r="G14" s="220">
        <f t="shared" si="4"/>
        <v>20410532.397</v>
      </c>
      <c r="H14" s="220">
        <f t="shared" si="4"/>
        <v>23777319.18454</v>
      </c>
      <c r="I14" s="220"/>
      <c r="J14" s="220">
        <f t="shared" si="4"/>
        <v>7813905.3442999991</v>
      </c>
      <c r="K14" s="220">
        <f t="shared" si="4"/>
        <v>9390278</v>
      </c>
      <c r="L14" s="220">
        <f t="shared" si="4"/>
        <v>11020582</v>
      </c>
      <c r="M14" s="220">
        <f t="shared" si="4"/>
        <v>12413116.721729999</v>
      </c>
      <c r="N14" s="220">
        <f t="shared" si="4"/>
        <v>12895346</v>
      </c>
      <c r="O14" s="220">
        <f t="shared" si="4"/>
        <v>13613068.4</v>
      </c>
      <c r="P14" s="220">
        <f t="shared" si="4"/>
        <v>14718964</v>
      </c>
      <c r="Q14" s="220">
        <f t="shared" si="4"/>
        <v>15968118</v>
      </c>
      <c r="R14" s="220">
        <f t="shared" si="4"/>
        <v>16690898.387827475</v>
      </c>
      <c r="S14" s="220">
        <f t="shared" si="4"/>
        <v>17620021.767574593</v>
      </c>
      <c r="T14" s="220">
        <f t="shared" si="4"/>
        <v>18528686.954999998</v>
      </c>
      <c r="U14" s="220">
        <f t="shared" si="4"/>
        <v>20410532.397</v>
      </c>
      <c r="V14" s="220">
        <f t="shared" si="4"/>
        <v>20891917.665410198</v>
      </c>
      <c r="W14" s="220">
        <f t="shared" si="4"/>
        <v>22562671.745820001</v>
      </c>
      <c r="X14" s="220">
        <f t="shared" si="4"/>
        <v>22915550.64593</v>
      </c>
      <c r="Y14" s="220">
        <f t="shared" si="4"/>
        <v>23777319.18454</v>
      </c>
      <c r="Z14" s="220">
        <f t="shared" si="4"/>
        <v>25465614.951030001</v>
      </c>
      <c r="AA14" s="220">
        <f t="shared" ref="AA14:AB14" si="5">AA15+AA16+AA17+AA18+AA21+AA22</f>
        <v>27648732.61595</v>
      </c>
      <c r="AB14" s="220">
        <f t="shared" si="5"/>
        <v>30388496.557240002</v>
      </c>
      <c r="AC14" s="183"/>
      <c r="AD14" s="204">
        <f t="shared" si="0"/>
        <v>9.9091845523128441E-2</v>
      </c>
      <c r="AE14" s="204">
        <f t="shared" si="1"/>
        <v>0.32610806638579559</v>
      </c>
    </row>
    <row r="15" spans="1:37" ht="13" customHeight="1">
      <c r="A15" s="211"/>
      <c r="B15" s="59" t="str">
        <f>IF('Summary | Sumário'!D$6=Names!B$3,Names!O4,Names!Z4)</f>
        <v>Real estate</v>
      </c>
      <c r="C15" s="221">
        <v>2519153</v>
      </c>
      <c r="D15" s="221">
        <v>3471356</v>
      </c>
      <c r="E15" s="221">
        <f>M15</f>
        <v>5121411</v>
      </c>
      <c r="F15" s="221">
        <f>Q15</f>
        <v>6251813</v>
      </c>
      <c r="G15" s="221">
        <f>U15</f>
        <v>8583568</v>
      </c>
      <c r="H15" s="221">
        <f>Y15</f>
        <v>11250187</v>
      </c>
      <c r="I15" s="220"/>
      <c r="J15" s="221">
        <v>3925594.9876600001</v>
      </c>
      <c r="K15" s="221">
        <v>4211173</v>
      </c>
      <c r="L15" s="221">
        <v>4703223</v>
      </c>
      <c r="M15" s="221">
        <v>5121411</v>
      </c>
      <c r="N15" s="221">
        <v>5350879</v>
      </c>
      <c r="O15" s="221">
        <v>5647720</v>
      </c>
      <c r="P15" s="221">
        <v>5930070</v>
      </c>
      <c r="Q15" s="221">
        <v>6251813</v>
      </c>
      <c r="R15" s="221">
        <v>6616802</v>
      </c>
      <c r="S15" s="221">
        <v>7020433</v>
      </c>
      <c r="T15" s="221">
        <v>7527810</v>
      </c>
      <c r="U15" s="221">
        <v>8583568</v>
      </c>
      <c r="V15" s="221">
        <v>9124375.4985301998</v>
      </c>
      <c r="W15" s="221">
        <v>9703768</v>
      </c>
      <c r="X15" s="221">
        <v>10266209</v>
      </c>
      <c r="Y15" s="221">
        <v>11250187</v>
      </c>
      <c r="Z15" s="221">
        <v>12200387</v>
      </c>
      <c r="AA15" s="221">
        <v>13312029</v>
      </c>
      <c r="AB15" s="221">
        <v>14524260</v>
      </c>
      <c r="AC15" s="179"/>
      <c r="AD15" s="203">
        <f t="shared" si="0"/>
        <v>9.1062827462289997E-2</v>
      </c>
      <c r="AE15" s="203">
        <f t="shared" si="1"/>
        <v>0.41476371657736566</v>
      </c>
    </row>
    <row r="16" spans="1:37" ht="13" customHeight="1">
      <c r="A16" s="211"/>
      <c r="B16" s="54" t="str">
        <f>IF('Summary | Sumário'!D$6=Names!B$3,Names!O5,Names!Z5)</f>
        <v>Personal</v>
      </c>
      <c r="C16" s="220">
        <v>1002386</v>
      </c>
      <c r="D16" s="220">
        <v>1653554</v>
      </c>
      <c r="E16" s="220">
        <f t="shared" ref="E16:E22" si="6">M16</f>
        <v>3579283</v>
      </c>
      <c r="F16" s="220">
        <f t="shared" ref="F16:F22" si="7">Q16</f>
        <v>5463781</v>
      </c>
      <c r="G16" s="220">
        <f t="shared" ref="G16:G22" si="8">U16</f>
        <v>7138744</v>
      </c>
      <c r="H16" s="220">
        <f t="shared" ref="H16:H22" si="9">Y16</f>
        <v>8236791</v>
      </c>
      <c r="I16" s="220"/>
      <c r="J16" s="220">
        <v>2123654.0038399999</v>
      </c>
      <c r="K16" s="220">
        <v>2620848</v>
      </c>
      <c r="L16" s="220">
        <v>3100640</v>
      </c>
      <c r="M16" s="220">
        <v>3579283</v>
      </c>
      <c r="N16" s="220">
        <v>3936755</v>
      </c>
      <c r="O16" s="220">
        <v>4460508.5</v>
      </c>
      <c r="P16" s="220">
        <v>5057444</v>
      </c>
      <c r="Q16" s="220">
        <v>5463781</v>
      </c>
      <c r="R16" s="220">
        <v>6081266</v>
      </c>
      <c r="S16" s="220">
        <v>6500480</v>
      </c>
      <c r="T16" s="220">
        <v>6663058</v>
      </c>
      <c r="U16" s="220">
        <v>7138744</v>
      </c>
      <c r="V16" s="220">
        <v>7437794.5190500002</v>
      </c>
      <c r="W16" s="220">
        <v>7555457</v>
      </c>
      <c r="X16" s="220">
        <v>8003536</v>
      </c>
      <c r="Y16" s="220">
        <v>8236791</v>
      </c>
      <c r="Z16" s="220">
        <v>8909592</v>
      </c>
      <c r="AA16" s="220">
        <v>9955975</v>
      </c>
      <c r="AB16" s="220">
        <v>11070559</v>
      </c>
      <c r="AC16" s="220"/>
      <c r="AD16" s="204">
        <f t="shared" si="0"/>
        <v>0.11195126544612655</v>
      </c>
      <c r="AE16" s="204">
        <f t="shared" si="1"/>
        <v>0.38320849684439473</v>
      </c>
    </row>
    <row r="17" spans="1:34" ht="13" customHeight="1">
      <c r="A17" s="211"/>
      <c r="B17" s="59" t="str">
        <f>IF('Summary | Sumário'!D$6=Names!B$3,Names!O6,Names!Z6)</f>
        <v>SME</v>
      </c>
      <c r="C17" s="221">
        <v>472304</v>
      </c>
      <c r="D17" s="221">
        <v>1582869</v>
      </c>
      <c r="E17" s="221">
        <f t="shared" si="6"/>
        <v>3017159</v>
      </c>
      <c r="F17" s="221">
        <f t="shared" si="7"/>
        <v>3392500</v>
      </c>
      <c r="G17" s="221">
        <f t="shared" si="8"/>
        <v>3855754</v>
      </c>
      <c r="H17" s="221">
        <f t="shared" si="9"/>
        <v>3968591</v>
      </c>
      <c r="I17" s="220"/>
      <c r="J17" s="221">
        <v>1572378.93881</v>
      </c>
      <c r="K17" s="221">
        <v>2153921</v>
      </c>
      <c r="L17" s="221">
        <v>2703302</v>
      </c>
      <c r="M17" s="221">
        <v>3017159</v>
      </c>
      <c r="N17" s="221">
        <v>2929546</v>
      </c>
      <c r="O17" s="221">
        <v>2905002.5</v>
      </c>
      <c r="P17" s="221">
        <v>2978792</v>
      </c>
      <c r="Q17" s="221">
        <v>3392500</v>
      </c>
      <c r="R17" s="221">
        <v>3110840</v>
      </c>
      <c r="S17" s="221">
        <v>3215316</v>
      </c>
      <c r="T17" s="221">
        <v>3438526</v>
      </c>
      <c r="U17" s="221">
        <v>3855754</v>
      </c>
      <c r="V17" s="221">
        <v>3376688</v>
      </c>
      <c r="W17" s="221">
        <v>4359140</v>
      </c>
      <c r="X17" s="221">
        <v>4149476</v>
      </c>
      <c r="Y17" s="221">
        <v>3968591</v>
      </c>
      <c r="Z17" s="221">
        <v>3747963</v>
      </c>
      <c r="AA17" s="221">
        <v>3683260</v>
      </c>
      <c r="AB17" s="221">
        <v>3916890</v>
      </c>
      <c r="AC17" s="147"/>
      <c r="AD17" s="203">
        <f t="shared" si="0"/>
        <v>6.3430222140169246E-2</v>
      </c>
      <c r="AE17" s="203">
        <f t="shared" si="1"/>
        <v>-5.6051896673218526E-2</v>
      </c>
    </row>
    <row r="18" spans="1:34" ht="13" customHeight="1">
      <c r="A18" s="211"/>
      <c r="B18" s="54" t="str">
        <f>IF('Summary | Sumário'!D6=Names!B3,Names!V7,Names!W7)</f>
        <v>Non-transactor credit card portfolio</v>
      </c>
      <c r="C18" s="220">
        <f>C19+C20</f>
        <v>716705.38699999999</v>
      </c>
      <c r="D18" s="220">
        <f t="shared" ref="D18:Z18" si="10">D19+D20</f>
        <v>230211.82499999995</v>
      </c>
      <c r="E18" s="220">
        <f t="shared" si="10"/>
        <v>676005</v>
      </c>
      <c r="F18" s="220">
        <f t="shared" si="10"/>
        <v>1458767</v>
      </c>
      <c r="G18" s="220">
        <f t="shared" si="10"/>
        <v>1971266.3970000008</v>
      </c>
      <c r="H18" s="220">
        <f t="shared" si="10"/>
        <v>2249854.1845399998</v>
      </c>
      <c r="I18" s="220"/>
      <c r="J18" s="220">
        <f t="shared" si="10"/>
        <v>310705.48867999995</v>
      </c>
      <c r="K18" s="220">
        <f t="shared" si="10"/>
        <v>466529</v>
      </c>
      <c r="L18" s="220">
        <f t="shared" si="10"/>
        <v>526729</v>
      </c>
      <c r="M18" s="220">
        <f t="shared" si="10"/>
        <v>676005</v>
      </c>
      <c r="N18" s="220">
        <f t="shared" si="10"/>
        <v>836644</v>
      </c>
      <c r="O18" s="220">
        <f t="shared" si="10"/>
        <v>1084285.4000000004</v>
      </c>
      <c r="P18" s="220">
        <f t="shared" si="10"/>
        <v>1309633</v>
      </c>
      <c r="Q18" s="220">
        <f t="shared" si="10"/>
        <v>1458767</v>
      </c>
      <c r="R18" s="220">
        <f t="shared" si="10"/>
        <v>1592763.3878274746</v>
      </c>
      <c r="S18" s="220">
        <f t="shared" si="10"/>
        <v>1777050.7675745916</v>
      </c>
      <c r="T18" s="220">
        <f t="shared" si="10"/>
        <v>1882205.9550000001</v>
      </c>
      <c r="U18" s="220">
        <f t="shared" si="10"/>
        <v>1971266.3970000008</v>
      </c>
      <c r="V18" s="220">
        <f t="shared" si="10"/>
        <v>2176763.9201100003</v>
      </c>
      <c r="W18" s="220">
        <f t="shared" si="10"/>
        <v>2264113.5148200002</v>
      </c>
      <c r="X18" s="220">
        <f t="shared" si="10"/>
        <v>2206943.6459299996</v>
      </c>
      <c r="Y18" s="220">
        <f t="shared" si="10"/>
        <v>2249854.1845399998</v>
      </c>
      <c r="Z18" s="220">
        <f t="shared" si="10"/>
        <v>2629254.9510299992</v>
      </c>
      <c r="AA18" s="220">
        <f t="shared" ref="AA18:AB18" si="11">AA19+AA20</f>
        <v>2865086.6159499995</v>
      </c>
      <c r="AB18" s="220">
        <f t="shared" si="11"/>
        <v>3242380.55724</v>
      </c>
      <c r="AC18" s="147"/>
      <c r="AD18" s="204">
        <f t="shared" si="0"/>
        <v>0.13168674873199193</v>
      </c>
      <c r="AE18" s="204">
        <f t="shared" si="1"/>
        <v>0.46917233850512319</v>
      </c>
    </row>
    <row r="19" spans="1:34" ht="13" customHeight="1">
      <c r="A19" s="211"/>
      <c r="B19" s="559" t="str">
        <f>IF('Summary | Sumário'!D$6=Names!B$3,Names!O7,Names!Z7)</f>
        <v>Credit cards</v>
      </c>
      <c r="C19" s="221">
        <v>783544</v>
      </c>
      <c r="D19" s="221">
        <v>1904642</v>
      </c>
      <c r="E19" s="221">
        <f t="shared" si="6"/>
        <v>4798318</v>
      </c>
      <c r="F19" s="221">
        <f t="shared" si="7"/>
        <v>6870565</v>
      </c>
      <c r="G19" s="221">
        <f t="shared" si="8"/>
        <v>9461277</v>
      </c>
      <c r="H19" s="221">
        <f t="shared" si="9"/>
        <v>11799890</v>
      </c>
      <c r="I19" s="220"/>
      <c r="J19" s="221">
        <v>2404920.48868</v>
      </c>
      <c r="K19" s="221">
        <v>3116734</v>
      </c>
      <c r="L19" s="221">
        <v>3807684</v>
      </c>
      <c r="M19" s="221">
        <v>4798318</v>
      </c>
      <c r="N19" s="221">
        <v>5315930</v>
      </c>
      <c r="O19" s="221">
        <v>5981406.4000000004</v>
      </c>
      <c r="P19" s="221">
        <v>6411572</v>
      </c>
      <c r="Q19" s="221">
        <v>6870565</v>
      </c>
      <c r="R19" s="221">
        <v>7273032</v>
      </c>
      <c r="S19" s="221">
        <v>7681011</v>
      </c>
      <c r="T19" s="221">
        <v>8650139</v>
      </c>
      <c r="U19" s="221">
        <v>9461277</v>
      </c>
      <c r="V19" s="221">
        <v>10111845.135790002</v>
      </c>
      <c r="W19" s="221">
        <v>10508082</v>
      </c>
      <c r="X19" s="221">
        <v>10769815</v>
      </c>
      <c r="Y19" s="221">
        <v>11799890</v>
      </c>
      <c r="Z19" s="221">
        <v>12251920</v>
      </c>
      <c r="AA19" s="221">
        <v>12995860</v>
      </c>
      <c r="AB19" s="221">
        <v>13967468</v>
      </c>
      <c r="AC19" s="220"/>
      <c r="AD19" s="203">
        <f t="shared" si="0"/>
        <v>7.4762886026780828E-2</v>
      </c>
      <c r="AE19" s="203">
        <f t="shared" si="1"/>
        <v>0.29690881412540504</v>
      </c>
    </row>
    <row r="20" spans="1:34" ht="13" customHeight="1">
      <c r="A20" s="211"/>
      <c r="B20" s="518" t="str">
        <f>IF('Summary | Sumário'!D$6=Names!B$3,Names!AJ27,Names!AK27)</f>
        <v>(-) Non int. CC receivables</v>
      </c>
      <c r="C20" s="220">
        <v>-66838.612999999998</v>
      </c>
      <c r="D20" s="220">
        <v>-1674430.175</v>
      </c>
      <c r="E20" s="220">
        <v>-4122313</v>
      </c>
      <c r="F20" s="220">
        <v>-5411798</v>
      </c>
      <c r="G20" s="220">
        <v>-7490010.6029999992</v>
      </c>
      <c r="H20" s="220">
        <v>-9550035.8154600002</v>
      </c>
      <c r="I20" s="220"/>
      <c r="J20" s="220">
        <v>-2094215</v>
      </c>
      <c r="K20" s="220">
        <v>-2650205</v>
      </c>
      <c r="L20" s="220">
        <v>-3280955</v>
      </c>
      <c r="M20" s="220">
        <v>-4122313</v>
      </c>
      <c r="N20" s="220">
        <v>-4479286</v>
      </c>
      <c r="O20" s="220">
        <v>-4897121</v>
      </c>
      <c r="P20" s="220">
        <v>-5101939</v>
      </c>
      <c r="Q20" s="220">
        <v>-5411798</v>
      </c>
      <c r="R20" s="220">
        <v>-5680268.6121725254</v>
      </c>
      <c r="S20" s="220">
        <v>-5903960.2324254084</v>
      </c>
      <c r="T20" s="220">
        <v>-6767933.0449999999</v>
      </c>
      <c r="U20" s="220">
        <v>-7490010.6029999992</v>
      </c>
      <c r="V20" s="220">
        <v>-7935081.2156800013</v>
      </c>
      <c r="W20" s="220">
        <v>-8243968.4851799998</v>
      </c>
      <c r="X20" s="220">
        <v>-8562871.3540700004</v>
      </c>
      <c r="Y20" s="220">
        <v>-9550035.8154600002</v>
      </c>
      <c r="Z20" s="220">
        <v>-9622665.0489700008</v>
      </c>
      <c r="AA20" s="220">
        <v>-10130773.38405</v>
      </c>
      <c r="AB20" s="220">
        <v>-10725087.44276</v>
      </c>
      <c r="AC20" s="220"/>
      <c r="AD20" s="204">
        <f t="shared" si="0"/>
        <v>5.8664233832897095E-2</v>
      </c>
      <c r="AE20" s="204">
        <f t="shared" si="1"/>
        <v>0.25251063565988074</v>
      </c>
    </row>
    <row r="21" spans="1:34" ht="13" customHeight="1">
      <c r="A21" s="211"/>
      <c r="B21" s="59" t="str">
        <f>IF('Summary | Sumário'!D$6=Names!B$3,Names!O8,Names!Z8)</f>
        <v>Agribusiness</v>
      </c>
      <c r="C21" s="221">
        <v>0</v>
      </c>
      <c r="D21" s="221">
        <v>177637</v>
      </c>
      <c r="E21" s="221">
        <f t="shared" si="6"/>
        <v>700191</v>
      </c>
      <c r="F21" s="221">
        <f t="shared" si="7"/>
        <v>719669</v>
      </c>
      <c r="G21" s="221">
        <f t="shared" si="8"/>
        <v>744958</v>
      </c>
      <c r="H21" s="221">
        <f t="shared" si="9"/>
        <v>340834</v>
      </c>
      <c r="I21" s="220"/>
      <c r="J21" s="221">
        <v>216360.92530999999</v>
      </c>
      <c r="K21" s="221">
        <v>424570</v>
      </c>
      <c r="L21" s="221">
        <v>545234</v>
      </c>
      <c r="M21" s="221">
        <v>700191</v>
      </c>
      <c r="N21" s="221">
        <v>643194</v>
      </c>
      <c r="O21" s="221">
        <v>490009</v>
      </c>
      <c r="P21" s="221">
        <v>627390</v>
      </c>
      <c r="Q21" s="221">
        <v>719669</v>
      </c>
      <c r="R21" s="221">
        <v>750934</v>
      </c>
      <c r="S21" s="221">
        <v>724143</v>
      </c>
      <c r="T21" s="221">
        <v>764068</v>
      </c>
      <c r="U21" s="221">
        <v>744958</v>
      </c>
      <c r="V21" s="221">
        <v>807923.72771999997</v>
      </c>
      <c r="W21" s="221">
        <v>845105</v>
      </c>
      <c r="X21" s="221">
        <v>516852</v>
      </c>
      <c r="Y21" s="221">
        <v>340834</v>
      </c>
      <c r="Z21" s="221">
        <v>285462</v>
      </c>
      <c r="AA21" s="221">
        <v>289642</v>
      </c>
      <c r="AB21" s="221">
        <v>338943</v>
      </c>
      <c r="AC21" s="183"/>
      <c r="AD21" s="203">
        <f t="shared" si="0"/>
        <v>0.17021357399824621</v>
      </c>
      <c r="AE21" s="203">
        <f t="shared" si="1"/>
        <v>-0.34421652620092402</v>
      </c>
    </row>
    <row r="22" spans="1:34" ht="13" customHeight="1">
      <c r="A22" s="211"/>
      <c r="B22" s="54" t="str">
        <f>IF('Summary | Sumário'!D$6=Names!B$3,Names!O13,Names!Z13)</f>
        <v>(-) Provision for expected loss</v>
      </c>
      <c r="C22" s="220">
        <v>-215563</v>
      </c>
      <c r="D22" s="220">
        <v>-282355</v>
      </c>
      <c r="E22" s="220">
        <f t="shared" si="6"/>
        <v>-680932.27827000001</v>
      </c>
      <c r="F22" s="220">
        <f t="shared" si="7"/>
        <v>-1318412</v>
      </c>
      <c r="G22" s="220">
        <f t="shared" si="8"/>
        <v>-1883758</v>
      </c>
      <c r="H22" s="220">
        <f t="shared" si="9"/>
        <v>-2268938</v>
      </c>
      <c r="I22" s="220"/>
      <c r="J22" s="220">
        <v>-334789</v>
      </c>
      <c r="K22" s="220">
        <v>-486763</v>
      </c>
      <c r="L22" s="220">
        <v>-558546</v>
      </c>
      <c r="M22" s="220">
        <v>-680932.27827000001</v>
      </c>
      <c r="N22" s="220">
        <v>-801672</v>
      </c>
      <c r="O22" s="220">
        <v>-974457</v>
      </c>
      <c r="P22" s="220">
        <v>-1184365</v>
      </c>
      <c r="Q22" s="220">
        <v>-1318412</v>
      </c>
      <c r="R22" s="220">
        <v>-1461707</v>
      </c>
      <c r="S22" s="220">
        <v>-1617401</v>
      </c>
      <c r="T22" s="220">
        <v>-1746981</v>
      </c>
      <c r="U22" s="220">
        <v>-1883758</v>
      </c>
      <c r="V22" s="220">
        <v>-2031628</v>
      </c>
      <c r="W22" s="220">
        <v>-2164911.7689999999</v>
      </c>
      <c r="X22" s="220">
        <v>-2227466</v>
      </c>
      <c r="Y22" s="220">
        <v>-2268938</v>
      </c>
      <c r="Z22" s="220">
        <v>-2307044</v>
      </c>
      <c r="AA22" s="220">
        <v>-2457260</v>
      </c>
      <c r="AB22" s="220">
        <v>-2704536</v>
      </c>
      <c r="AC22" s="215"/>
      <c r="AD22" s="222">
        <f t="shared" si="0"/>
        <v>0.10063078388123348</v>
      </c>
      <c r="AE22" s="222">
        <f t="shared" si="1"/>
        <v>0.21417610863645065</v>
      </c>
      <c r="AF22" s="335"/>
      <c r="AG22" s="335"/>
    </row>
    <row r="23" spans="1:34" ht="13" customHeight="1">
      <c r="A23" s="211"/>
      <c r="B23" s="509" t="str">
        <f>IF('Summary | Sumário'!D$6=Names!B$3,Names!V9,Names!W9)</f>
        <v>Total interest earning assets</v>
      </c>
      <c r="C23" s="510">
        <f t="shared" ref="C23:G23" si="12">C5+C6+C9+C10+C13+C14</f>
        <v>9386236.3870000001</v>
      </c>
      <c r="D23" s="510">
        <f t="shared" si="12"/>
        <v>17040214.824999999</v>
      </c>
      <c r="E23" s="510">
        <f t="shared" si="12"/>
        <v>30183988.721730001</v>
      </c>
      <c r="F23" s="510">
        <f t="shared" si="12"/>
        <v>36830160</v>
      </c>
      <c r="G23" s="510">
        <f t="shared" si="12"/>
        <v>47893695.397</v>
      </c>
      <c r="H23" s="510">
        <f t="shared" ref="H23:Y23" si="13">H5+H6+H9+H10+H13+H14</f>
        <v>60232269.321271598</v>
      </c>
      <c r="I23" s="504"/>
      <c r="J23" s="510">
        <f t="shared" si="13"/>
        <v>17581215.344299998</v>
      </c>
      <c r="K23" s="510">
        <f t="shared" si="13"/>
        <v>25603653.001000002</v>
      </c>
      <c r="L23" s="510">
        <f>L5+L6+L9+L10+L13+L14</f>
        <v>28461059.298</v>
      </c>
      <c r="M23" s="510">
        <f t="shared" si="13"/>
        <v>30183988.721730001</v>
      </c>
      <c r="N23" s="510">
        <f t="shared" si="13"/>
        <v>30214049</v>
      </c>
      <c r="O23" s="510">
        <f t="shared" si="13"/>
        <v>31875026.399999999</v>
      </c>
      <c r="P23" s="510">
        <f t="shared" si="13"/>
        <v>35020294</v>
      </c>
      <c r="Q23" s="510">
        <f t="shared" si="13"/>
        <v>36830160</v>
      </c>
      <c r="R23" s="510">
        <f t="shared" si="13"/>
        <v>37753420.387827471</v>
      </c>
      <c r="S23" s="510">
        <f t="shared" si="13"/>
        <v>39709390.767574593</v>
      </c>
      <c r="T23" s="510">
        <f t="shared" si="13"/>
        <v>43274080.453478865</v>
      </c>
      <c r="U23" s="510">
        <f t="shared" si="13"/>
        <v>47893695.397</v>
      </c>
      <c r="V23" s="510">
        <f t="shared" si="13"/>
        <v>48715213.614263885</v>
      </c>
      <c r="W23" s="510">
        <f t="shared" si="13"/>
        <v>52472376.744180001</v>
      </c>
      <c r="X23" s="510">
        <f t="shared" si="13"/>
        <v>54893344.456663564</v>
      </c>
      <c r="Y23" s="510">
        <f t="shared" si="13"/>
        <v>60232269.321271598</v>
      </c>
      <c r="Z23" s="510">
        <f>Z5+Z6+Z9+Z10+Z13+Z14</f>
        <v>63031684.951030001</v>
      </c>
      <c r="AA23" s="510">
        <f>AA5+AA6+AA9+AA10+AA13+AA14</f>
        <v>66589592.615950003</v>
      </c>
      <c r="AB23" s="510">
        <f>AB5+AB6+AB9+AB10+AB13+AB14</f>
        <v>73305092.557240009</v>
      </c>
      <c r="AC23" s="504"/>
      <c r="AD23" s="609">
        <f t="shared" si="0"/>
        <v>0.10084909183963786</v>
      </c>
      <c r="AE23" s="609">
        <f t="shared" si="1"/>
        <v>0.3354094796521625</v>
      </c>
      <c r="AF23" s="149"/>
      <c r="AG23" s="149"/>
      <c r="AH23" s="208"/>
    </row>
    <row r="24" spans="1:34" ht="13" customHeight="1">
      <c r="A24" s="211"/>
      <c r="B24" s="116"/>
      <c r="C24" s="553"/>
      <c r="D24" s="553"/>
      <c r="E24" s="553"/>
      <c r="F24" s="553"/>
      <c r="G24" s="553"/>
      <c r="H24" s="553"/>
      <c r="I24" s="553"/>
      <c r="J24" s="553"/>
      <c r="K24" s="553"/>
      <c r="L24" s="553"/>
      <c r="M24" s="553"/>
      <c r="N24" s="553"/>
      <c r="O24" s="553"/>
      <c r="P24" s="553"/>
      <c r="Q24" s="553"/>
      <c r="R24" s="553"/>
      <c r="S24" s="553"/>
      <c r="T24" s="553"/>
      <c r="U24" s="553"/>
      <c r="V24" s="553"/>
      <c r="W24" s="553"/>
      <c r="X24" s="553"/>
      <c r="Y24" s="553"/>
      <c r="Z24" s="553"/>
      <c r="AA24" s="553"/>
      <c r="AB24" s="553"/>
      <c r="AC24" s="222"/>
      <c r="AD24" s="345"/>
      <c r="AE24" s="345"/>
    </row>
    <row r="25" spans="1:34" ht="13" customHeight="1">
      <c r="B25" s="116"/>
    </row>
    <row r="26" spans="1:34" ht="13" customHeight="1">
      <c r="A26" s="211"/>
      <c r="B26" s="116"/>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2"/>
      <c r="AE26" s="182"/>
    </row>
    <row r="27" spans="1:34" ht="13" customHeight="1">
      <c r="A27" s="211"/>
      <c r="B27" s="116"/>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204"/>
      <c r="AE27" s="204"/>
    </row>
    <row r="28" spans="1:34" ht="13" customHeight="1">
      <c r="A28" s="211"/>
      <c r="B28" s="116"/>
      <c r="C28" s="550"/>
      <c r="D28" s="550"/>
      <c r="E28" s="215"/>
      <c r="F28" s="215"/>
      <c r="G28" s="215"/>
      <c r="H28" s="215"/>
      <c r="I28" s="228"/>
      <c r="J28" s="220"/>
      <c r="K28" s="220"/>
      <c r="L28" s="220"/>
      <c r="M28" s="220"/>
      <c r="N28" s="220"/>
      <c r="O28" s="220"/>
      <c r="P28" s="220"/>
      <c r="Q28" s="220"/>
      <c r="R28" s="220"/>
      <c r="S28" s="220"/>
      <c r="T28" s="220"/>
      <c r="U28" s="220"/>
      <c r="V28" s="220"/>
      <c r="W28" s="220"/>
      <c r="X28" s="220"/>
      <c r="Y28" s="220"/>
      <c r="Z28" s="220"/>
      <c r="AA28" s="220"/>
      <c r="AB28" s="220"/>
      <c r="AC28" s="228"/>
      <c r="AD28" s="222"/>
      <c r="AE28" s="222"/>
    </row>
    <row r="29" spans="1:34" ht="13" customHeight="1">
      <c r="A29" s="211"/>
      <c r="B29" s="116"/>
      <c r="C29" s="215"/>
      <c r="D29" s="215"/>
      <c r="E29" s="215"/>
      <c r="F29" s="215"/>
      <c r="G29" s="215"/>
      <c r="H29" s="215"/>
      <c r="I29" s="228"/>
      <c r="J29" s="215"/>
      <c r="K29" s="215"/>
      <c r="L29" s="215"/>
      <c r="M29" s="215"/>
      <c r="N29" s="215"/>
      <c r="O29" s="215"/>
      <c r="P29" s="215"/>
      <c r="Q29" s="215"/>
      <c r="R29" s="215"/>
      <c r="S29" s="215"/>
      <c r="T29" s="215"/>
      <c r="U29" s="215"/>
      <c r="V29" s="215"/>
      <c r="W29" s="215"/>
      <c r="X29" s="215"/>
      <c r="Y29" s="215"/>
      <c r="Z29" s="215"/>
      <c r="AA29" s="215"/>
      <c r="AB29" s="215"/>
      <c r="AC29" s="228"/>
      <c r="AD29" s="228"/>
      <c r="AE29" s="228"/>
    </row>
    <row r="30" spans="1:34" ht="13" customHeight="1">
      <c r="A30" s="211"/>
      <c r="B30" s="116"/>
      <c r="C30" s="215"/>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28"/>
      <c r="AE30" s="228"/>
      <c r="AF30" s="335"/>
      <c r="AG30" s="335"/>
    </row>
    <row r="31" spans="1:34" ht="13" customHeight="1">
      <c r="A31" s="211"/>
      <c r="B31" s="116"/>
      <c r="C31" s="324"/>
      <c r="D31" s="324"/>
      <c r="E31" s="324"/>
      <c r="F31" s="324"/>
      <c r="G31" s="324"/>
      <c r="H31" s="324"/>
      <c r="I31" s="147"/>
      <c r="J31" s="324"/>
      <c r="K31" s="324"/>
      <c r="L31" s="324"/>
      <c r="M31" s="324"/>
      <c r="N31" s="324"/>
      <c r="O31" s="324"/>
      <c r="P31" s="324"/>
      <c r="Q31" s="324"/>
      <c r="R31" s="324"/>
      <c r="S31" s="324"/>
      <c r="T31" s="324"/>
      <c r="U31" s="324"/>
      <c r="V31" s="324"/>
      <c r="W31" s="324"/>
      <c r="X31" s="324"/>
      <c r="Y31" s="324"/>
      <c r="Z31" s="324"/>
      <c r="AA31" s="324"/>
      <c r="AB31" s="324"/>
      <c r="AC31" s="147"/>
      <c r="AD31" s="551"/>
      <c r="AE31" s="551"/>
    </row>
    <row r="32" spans="1:34" ht="13" customHeight="1">
      <c r="A32" s="211"/>
      <c r="B32" s="116"/>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2"/>
      <c r="AE32" s="222"/>
    </row>
    <row r="33" spans="1:33" ht="13" customHeight="1">
      <c r="A33" s="211"/>
      <c r="B33" s="116"/>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2"/>
      <c r="AE33" s="182"/>
    </row>
    <row r="34" spans="1:33" ht="13" customHeight="1">
      <c r="A34" s="211"/>
      <c r="B34" s="116"/>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22"/>
      <c r="AE34" s="222"/>
    </row>
    <row r="35" spans="1:33" ht="13" customHeight="1">
      <c r="A35" s="211"/>
      <c r="B35" s="116"/>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498"/>
      <c r="AE35" s="343"/>
    </row>
    <row r="36" spans="1:33" ht="13" customHeight="1">
      <c r="A36" s="211"/>
      <c r="B36" s="116"/>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498"/>
      <c r="AE36" s="343"/>
    </row>
    <row r="38" spans="1:33" ht="13" customHeight="1">
      <c r="A38" s="211"/>
      <c r="B38" s="116"/>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2"/>
      <c r="AE38" s="182"/>
    </row>
    <row r="39" spans="1:33" ht="13" customHeight="1">
      <c r="A39" s="211"/>
      <c r="B39" s="116"/>
      <c r="C39" s="215"/>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22"/>
      <c r="AE39" s="222"/>
      <c r="AF39" s="335"/>
      <c r="AG39" s="335"/>
    </row>
    <row r="40" spans="1:33" s="145" customFormat="1" ht="13" customHeight="1">
      <c r="A40" s="143"/>
      <c r="B40" s="116"/>
      <c r="C40" s="530"/>
      <c r="D40" s="530"/>
      <c r="E40" s="530"/>
      <c r="F40" s="530"/>
      <c r="G40" s="530"/>
      <c r="H40" s="530"/>
      <c r="I40" s="530"/>
      <c r="J40" s="530"/>
      <c r="K40" s="530"/>
      <c r="L40" s="530"/>
      <c r="M40" s="530"/>
      <c r="N40" s="530"/>
      <c r="O40" s="530"/>
      <c r="P40" s="530"/>
      <c r="Q40" s="530"/>
      <c r="R40" s="530"/>
      <c r="S40" s="530"/>
      <c r="T40" s="530"/>
      <c r="U40" s="530"/>
      <c r="V40" s="530"/>
      <c r="W40" s="530"/>
      <c r="X40" s="530"/>
      <c r="Y40" s="530"/>
      <c r="Z40" s="530"/>
      <c r="AA40" s="530"/>
      <c r="AB40" s="530"/>
      <c r="AC40" s="530"/>
      <c r="AD40" s="314"/>
      <c r="AE40" s="314"/>
      <c r="AF40" s="222"/>
    </row>
    <row r="41" spans="1:33" s="164" customFormat="1" ht="13" customHeight="1">
      <c r="A41" s="224"/>
      <c r="B41" s="116"/>
      <c r="C41" s="504"/>
      <c r="D41" s="504"/>
      <c r="E41" s="504"/>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324"/>
      <c r="AE41" s="324"/>
      <c r="AF41" s="222"/>
    </row>
    <row r="42" spans="1:33" ht="13" customHeight="1">
      <c r="B42" s="116"/>
      <c r="C42" s="323"/>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42"/>
      <c r="AE42" s="342"/>
    </row>
    <row r="43" spans="1:33" ht="13" customHeight="1">
      <c r="B43" s="116"/>
      <c r="J43" s="335"/>
      <c r="K43" s="335"/>
      <c r="L43" s="335"/>
      <c r="M43" s="335"/>
      <c r="N43" s="335"/>
      <c r="O43" s="335"/>
      <c r="P43" s="335"/>
      <c r="Q43" s="335"/>
      <c r="R43" s="335"/>
      <c r="S43" s="335"/>
      <c r="T43" s="335"/>
      <c r="U43" s="335"/>
      <c r="V43" s="335"/>
      <c r="W43" s="335"/>
      <c r="X43" s="335"/>
      <c r="Y43" s="335"/>
      <c r="Z43" s="335"/>
      <c r="AA43" s="335"/>
      <c r="AB43" s="335"/>
      <c r="AC43" s="335"/>
      <c r="AD43" s="342"/>
      <c r="AE43" s="342"/>
    </row>
    <row r="44" spans="1:33" ht="13" customHeight="1">
      <c r="B44" s="116"/>
      <c r="C44" s="226"/>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342"/>
      <c r="AE44" s="342"/>
    </row>
    <row r="45" spans="1:33" ht="13" customHeight="1">
      <c r="B45" s="116"/>
      <c r="C45" s="226"/>
      <c r="D45" s="226"/>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342"/>
      <c r="AE45" s="342"/>
    </row>
    <row r="46" spans="1:33" ht="13" customHeight="1">
      <c r="B46" s="116"/>
      <c r="C46" s="226"/>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342"/>
      <c r="AE46" s="342"/>
    </row>
    <row r="47" spans="1:33" ht="13" customHeight="1">
      <c r="B47" s="116"/>
      <c r="C47" s="226"/>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342"/>
      <c r="AE47" s="342"/>
    </row>
    <row r="48" spans="1:33" ht="13" customHeight="1">
      <c r="B48" s="116"/>
      <c r="C48" s="226"/>
      <c r="D48" s="226"/>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342"/>
      <c r="AE48" s="342"/>
    </row>
    <row r="49" spans="1:34" ht="13" customHeight="1">
      <c r="B49" s="116"/>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342"/>
      <c r="AE49" s="342"/>
    </row>
    <row r="50" spans="1:34" ht="13" customHeight="1">
      <c r="B50" s="116"/>
      <c r="C50" s="226"/>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342"/>
      <c r="AE50" s="342"/>
    </row>
    <row r="51" spans="1:34" ht="13" customHeight="1">
      <c r="B51" s="116"/>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342"/>
      <c r="AE51" s="342"/>
      <c r="AF51" s="215"/>
      <c r="AG51" s="215"/>
    </row>
    <row r="52" spans="1:34" ht="13" customHeight="1">
      <c r="A52" s="211"/>
      <c r="B52" s="116"/>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342"/>
      <c r="AE52" s="342"/>
      <c r="AF52" s="215"/>
      <c r="AG52" s="215"/>
      <c r="AH52" s="208"/>
    </row>
    <row r="53" spans="1:34" ht="13" customHeight="1">
      <c r="B53" s="116"/>
      <c r="C53" s="226"/>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342"/>
      <c r="AE53" s="342"/>
      <c r="AF53" s="215"/>
      <c r="AG53" s="215"/>
    </row>
    <row r="54" spans="1:34" ht="13" customHeight="1">
      <c r="B54" s="116"/>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342"/>
      <c r="AE54" s="342"/>
      <c r="AF54" s="215"/>
      <c r="AG54" s="215"/>
    </row>
    <row r="55" spans="1:34" ht="13" customHeight="1">
      <c r="B55" s="116"/>
      <c r="C55" s="226"/>
      <c r="D55" s="226"/>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342"/>
      <c r="AE55" s="342"/>
      <c r="AF55" s="215"/>
      <c r="AG55" s="215"/>
    </row>
    <row r="56" spans="1:34" ht="13" customHeight="1">
      <c r="B56" s="116"/>
      <c r="C56" s="226"/>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342"/>
      <c r="AE56" s="342"/>
      <c r="AF56" s="215"/>
      <c r="AG56" s="215"/>
    </row>
    <row r="57" spans="1:34" ht="13" customHeight="1">
      <c r="B57" s="116"/>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342"/>
      <c r="AE57" s="342"/>
      <c r="AF57" s="215"/>
      <c r="AG57" s="215"/>
    </row>
    <row r="58" spans="1:34" ht="13" customHeight="1">
      <c r="B58" s="116"/>
      <c r="C58" s="226"/>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c r="AD58" s="342"/>
      <c r="AE58" s="342"/>
      <c r="AF58" s="215"/>
      <c r="AG58" s="215"/>
    </row>
    <row r="59" spans="1:34" ht="13" customHeight="1">
      <c r="B59" s="116"/>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342"/>
      <c r="AE59" s="342"/>
      <c r="AF59" s="215"/>
      <c r="AG59" s="215"/>
    </row>
    <row r="60" spans="1:34" ht="13" customHeight="1">
      <c r="B60" s="116"/>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342"/>
      <c r="AE60" s="342"/>
      <c r="AF60" s="215"/>
      <c r="AG60" s="215"/>
    </row>
    <row r="61" spans="1:34" ht="13" customHeight="1">
      <c r="B61" s="116"/>
      <c r="C61" s="226"/>
      <c r="D61" s="226"/>
      <c r="E61" s="226"/>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342"/>
      <c r="AE61" s="342"/>
      <c r="AF61" s="215"/>
      <c r="AG61" s="215"/>
    </row>
    <row r="62" spans="1:34" ht="13" customHeight="1">
      <c r="B62" s="116"/>
      <c r="C62" s="226"/>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342"/>
      <c r="AE62" s="342"/>
      <c r="AF62" s="215"/>
      <c r="AG62" s="215"/>
    </row>
    <row r="63" spans="1:34" ht="13" customHeight="1">
      <c r="B63" s="116"/>
      <c r="C63" s="226"/>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342"/>
      <c r="AE63" s="342"/>
      <c r="AF63" s="215"/>
      <c r="AG63" s="215"/>
    </row>
    <row r="64" spans="1:34" ht="13" customHeight="1">
      <c r="B64" s="116"/>
      <c r="C64" s="226"/>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342"/>
      <c r="AE64" s="342"/>
      <c r="AF64" s="215"/>
      <c r="AG64" s="215"/>
    </row>
    <row r="65" spans="1:34" ht="13" customHeight="1">
      <c r="B65" s="116"/>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342"/>
      <c r="AE65" s="342"/>
      <c r="AF65" s="215"/>
      <c r="AG65" s="215"/>
    </row>
    <row r="66" spans="1:34" ht="13" customHeight="1">
      <c r="B66" s="116"/>
      <c r="C66" s="226"/>
      <c r="D66" s="226"/>
      <c r="E66" s="226"/>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342"/>
      <c r="AE66" s="342"/>
      <c r="AF66" s="215"/>
      <c r="AG66" s="215"/>
    </row>
    <row r="67" spans="1:34" ht="13" customHeight="1">
      <c r="B67" s="116"/>
      <c r="C67" s="226"/>
      <c r="D67" s="226"/>
      <c r="E67" s="226"/>
      <c r="F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342"/>
      <c r="AE67" s="342"/>
      <c r="AF67" s="215"/>
      <c r="AG67" s="215"/>
    </row>
    <row r="68" spans="1:34" ht="13" customHeight="1">
      <c r="B68" s="116"/>
      <c r="C68" s="231"/>
      <c r="D68" s="226"/>
      <c r="E68" s="226"/>
      <c r="F68" s="226"/>
      <c r="G68" s="226"/>
      <c r="H68" s="226"/>
      <c r="I68" s="226"/>
      <c r="J68" s="226"/>
      <c r="K68" s="226"/>
      <c r="L68" s="226"/>
      <c r="M68" s="226"/>
      <c r="N68" s="226"/>
      <c r="O68" s="226"/>
      <c r="P68" s="226"/>
      <c r="Q68" s="226"/>
      <c r="R68" s="226"/>
      <c r="S68" s="226"/>
      <c r="T68" s="226"/>
      <c r="U68" s="226"/>
      <c r="V68" s="226"/>
      <c r="W68" s="226"/>
      <c r="X68" s="226"/>
      <c r="Y68" s="226"/>
      <c r="Z68" s="226"/>
      <c r="AA68" s="226"/>
      <c r="AB68" s="226"/>
      <c r="AC68" s="226"/>
      <c r="AD68" s="342"/>
      <c r="AE68" s="342"/>
      <c r="AF68" s="215"/>
      <c r="AG68" s="215"/>
    </row>
    <row r="69" spans="1:34" ht="13" customHeight="1">
      <c r="B69" s="116"/>
      <c r="C69" s="231"/>
      <c r="D69" s="226"/>
      <c r="E69" s="226"/>
      <c r="F69" s="226"/>
      <c r="G69" s="226"/>
      <c r="H69" s="226"/>
      <c r="I69" s="226"/>
      <c r="J69" s="226"/>
      <c r="K69" s="226"/>
      <c r="L69" s="226"/>
      <c r="M69" s="226"/>
      <c r="N69" s="226"/>
      <c r="O69" s="226"/>
      <c r="P69" s="226"/>
      <c r="Q69" s="226"/>
      <c r="R69" s="226"/>
      <c r="S69" s="226"/>
      <c r="T69" s="226"/>
      <c r="U69" s="226"/>
      <c r="V69" s="226"/>
      <c r="W69" s="226"/>
      <c r="X69" s="226"/>
      <c r="Y69" s="226"/>
      <c r="Z69" s="226"/>
      <c r="AA69" s="226"/>
      <c r="AB69" s="226"/>
      <c r="AC69" s="226"/>
      <c r="AD69" s="342"/>
      <c r="AE69" s="342"/>
      <c r="AF69" s="215"/>
      <c r="AG69" s="215"/>
    </row>
    <row r="70" spans="1:34" ht="13" customHeight="1">
      <c r="B70" s="116"/>
      <c r="C70" s="231"/>
      <c r="D70" s="226"/>
      <c r="E70" s="226"/>
      <c r="F70" s="226"/>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342"/>
      <c r="AE70" s="342"/>
      <c r="AF70" s="215"/>
      <c r="AG70" s="215"/>
    </row>
    <row r="71" spans="1:34" ht="13" customHeight="1">
      <c r="B71" s="116"/>
      <c r="C71" s="231"/>
      <c r="D71" s="226"/>
      <c r="E71" s="226"/>
      <c r="F71" s="226"/>
      <c r="G71" s="226"/>
      <c r="H71" s="226"/>
      <c r="I71" s="226"/>
      <c r="J71" s="226"/>
      <c r="K71" s="226"/>
      <c r="L71" s="226"/>
      <c r="M71" s="226"/>
      <c r="N71" s="226"/>
      <c r="O71" s="226"/>
      <c r="P71" s="226"/>
      <c r="Q71" s="226"/>
      <c r="R71" s="226"/>
      <c r="S71" s="226"/>
      <c r="T71" s="226"/>
      <c r="U71" s="226"/>
      <c r="V71" s="226"/>
      <c r="W71" s="226"/>
      <c r="X71" s="226"/>
      <c r="Y71" s="226"/>
      <c r="Z71" s="226"/>
      <c r="AA71" s="226"/>
      <c r="AB71" s="226"/>
      <c r="AC71" s="226"/>
      <c r="AD71" s="342"/>
      <c r="AE71" s="342"/>
      <c r="AF71" s="215"/>
      <c r="AG71" s="215"/>
    </row>
    <row r="72" spans="1:34" ht="13" customHeight="1">
      <c r="A72" s="211"/>
      <c r="B72" s="116"/>
      <c r="C72" s="504"/>
      <c r="D72" s="504"/>
      <c r="E72" s="504"/>
      <c r="F72" s="504"/>
      <c r="G72" s="504"/>
      <c r="H72" s="504"/>
      <c r="I72" s="504"/>
      <c r="J72" s="504"/>
      <c r="K72" s="504"/>
      <c r="L72" s="504"/>
      <c r="M72" s="504"/>
      <c r="N72" s="504"/>
      <c r="O72" s="504"/>
      <c r="P72" s="504"/>
      <c r="Q72" s="504"/>
      <c r="R72" s="504"/>
      <c r="S72" s="504"/>
      <c r="T72" s="504"/>
      <c r="U72" s="504"/>
      <c r="V72" s="504"/>
      <c r="W72" s="504"/>
      <c r="X72" s="504"/>
      <c r="Y72" s="504"/>
      <c r="Z72" s="504"/>
      <c r="AA72" s="504"/>
      <c r="AB72" s="504"/>
      <c r="AC72" s="504"/>
      <c r="AD72" s="324"/>
      <c r="AE72" s="324"/>
      <c r="AF72" s="215"/>
      <c r="AG72" s="215"/>
      <c r="AH72" s="208"/>
    </row>
    <row r="73" spans="1:34" ht="13" customHeight="1">
      <c r="A73" s="211"/>
      <c r="B73" s="116"/>
      <c r="C73" s="504"/>
      <c r="D73" s="504"/>
      <c r="E73" s="504"/>
      <c r="F73" s="504"/>
      <c r="G73" s="504"/>
      <c r="H73" s="504"/>
      <c r="I73" s="504"/>
      <c r="J73" s="504"/>
      <c r="K73" s="504"/>
      <c r="L73" s="504"/>
      <c r="M73" s="504"/>
      <c r="N73" s="504"/>
      <c r="O73" s="504"/>
      <c r="P73" s="504"/>
      <c r="Q73" s="504"/>
      <c r="R73" s="504"/>
      <c r="S73" s="504"/>
      <c r="T73" s="504"/>
      <c r="U73" s="504"/>
      <c r="V73" s="504"/>
      <c r="W73" s="504"/>
      <c r="X73" s="504"/>
      <c r="Y73" s="504"/>
      <c r="Z73" s="504"/>
      <c r="AA73" s="504"/>
      <c r="AB73" s="504"/>
      <c r="AC73" s="504"/>
      <c r="AD73" s="324"/>
      <c r="AE73" s="324"/>
      <c r="AF73" s="215"/>
      <c r="AG73" s="215"/>
      <c r="AH73" s="208"/>
    </row>
    <row r="74" spans="1:34" ht="13" customHeight="1">
      <c r="A74" s="211"/>
      <c r="B74" s="116"/>
      <c r="C74" s="504"/>
      <c r="D74" s="504"/>
      <c r="E74" s="504"/>
      <c r="F74" s="504"/>
      <c r="G74" s="504"/>
      <c r="H74" s="504"/>
      <c r="I74" s="504"/>
      <c r="J74" s="504"/>
      <c r="K74" s="504"/>
      <c r="L74" s="504"/>
      <c r="M74" s="504"/>
      <c r="N74" s="504"/>
      <c r="O74" s="504"/>
      <c r="P74" s="504"/>
      <c r="Q74" s="504"/>
      <c r="R74" s="504"/>
      <c r="S74" s="504"/>
      <c r="T74" s="504"/>
      <c r="U74" s="504"/>
      <c r="V74" s="504"/>
      <c r="W74" s="504"/>
      <c r="X74" s="504"/>
      <c r="Y74" s="504"/>
      <c r="Z74" s="504"/>
      <c r="AA74" s="504"/>
      <c r="AB74" s="504"/>
      <c r="AC74" s="504"/>
      <c r="AD74" s="324"/>
      <c r="AE74" s="324"/>
      <c r="AF74" s="215"/>
      <c r="AG74" s="215"/>
      <c r="AH74" s="208"/>
    </row>
    <row r="75" spans="1:34" ht="13" customHeight="1">
      <c r="A75" s="211"/>
      <c r="B75" s="116"/>
      <c r="C75" s="515"/>
      <c r="D75" s="515"/>
      <c r="E75" s="515"/>
      <c r="F75" s="515"/>
      <c r="G75" s="515"/>
      <c r="H75" s="515"/>
      <c r="I75" s="504"/>
      <c r="J75" s="515"/>
      <c r="K75" s="515"/>
      <c r="L75" s="515"/>
      <c r="M75" s="515"/>
      <c r="N75" s="515"/>
      <c r="O75" s="515"/>
      <c r="P75" s="515"/>
      <c r="Q75" s="515"/>
      <c r="R75" s="515"/>
      <c r="S75" s="515"/>
      <c r="T75" s="515"/>
      <c r="U75" s="515"/>
      <c r="V75" s="515"/>
      <c r="W75" s="515"/>
      <c r="X75" s="515"/>
      <c r="Y75" s="515"/>
      <c r="Z75" s="515"/>
      <c r="AA75" s="515"/>
      <c r="AB75" s="515"/>
      <c r="AC75" s="504"/>
      <c r="AD75" s="314"/>
      <c r="AE75" s="314"/>
      <c r="AF75" s="215"/>
      <c r="AG75" s="215"/>
      <c r="AH75" s="208"/>
    </row>
    <row r="76" spans="1:34" ht="13" customHeight="1">
      <c r="A76" s="211"/>
      <c r="B76" s="116"/>
      <c r="C76" s="515"/>
      <c r="D76" s="515"/>
      <c r="E76" s="515"/>
      <c r="F76" s="515"/>
      <c r="G76" s="515"/>
      <c r="H76" s="515"/>
      <c r="I76" s="504"/>
      <c r="J76" s="515"/>
      <c r="K76" s="515"/>
      <c r="L76" s="515"/>
      <c r="M76" s="515"/>
      <c r="N76" s="515"/>
      <c r="O76" s="515"/>
      <c r="P76" s="515"/>
      <c r="Q76" s="515"/>
      <c r="R76" s="515"/>
      <c r="S76" s="515"/>
      <c r="T76" s="515"/>
      <c r="U76" s="515"/>
      <c r="V76" s="515"/>
      <c r="W76" s="515"/>
      <c r="X76" s="515"/>
      <c r="Y76" s="515"/>
      <c r="Z76" s="515"/>
      <c r="AA76" s="515"/>
      <c r="AB76" s="515"/>
      <c r="AC76" s="504"/>
      <c r="AD76" s="314"/>
      <c r="AE76" s="314"/>
      <c r="AF76" s="215"/>
      <c r="AG76" s="215"/>
      <c r="AH76" s="208"/>
    </row>
    <row r="77" spans="1:34" ht="13" customHeight="1">
      <c r="A77" s="211"/>
      <c r="B77" s="116"/>
      <c r="C77" s="515"/>
      <c r="D77" s="515"/>
      <c r="E77" s="515"/>
      <c r="F77" s="515"/>
      <c r="G77" s="515"/>
      <c r="H77" s="515"/>
      <c r="I77" s="504"/>
      <c r="J77" s="515"/>
      <c r="K77" s="515"/>
      <c r="L77" s="515"/>
      <c r="M77" s="515"/>
      <c r="N77" s="515"/>
      <c r="O77" s="515"/>
      <c r="P77" s="515"/>
      <c r="Q77" s="515"/>
      <c r="R77" s="515"/>
      <c r="S77" s="515"/>
      <c r="T77" s="515"/>
      <c r="U77" s="515"/>
      <c r="V77" s="515"/>
      <c r="W77" s="515"/>
      <c r="X77" s="515"/>
      <c r="Y77" s="515"/>
      <c r="Z77" s="515"/>
      <c r="AA77" s="515"/>
      <c r="AB77" s="515"/>
      <c r="AC77" s="504"/>
      <c r="AD77" s="314"/>
      <c r="AE77" s="314"/>
      <c r="AF77" s="215"/>
      <c r="AG77" s="215"/>
      <c r="AH77" s="208"/>
    </row>
    <row r="78" spans="1:34" ht="13" customHeight="1">
      <c r="A78" s="211"/>
      <c r="B78" s="116"/>
      <c r="C78" s="515"/>
      <c r="D78" s="515"/>
      <c r="E78" s="515"/>
      <c r="F78" s="515"/>
      <c r="G78" s="515"/>
      <c r="H78" s="515"/>
      <c r="I78" s="504"/>
      <c r="J78" s="515"/>
      <c r="K78" s="515"/>
      <c r="L78" s="515"/>
      <c r="M78" s="515"/>
      <c r="N78" s="515"/>
      <c r="O78" s="515"/>
      <c r="P78" s="515"/>
      <c r="Q78" s="515"/>
      <c r="R78" s="515"/>
      <c r="S78" s="515"/>
      <c r="T78" s="515"/>
      <c r="U78" s="515"/>
      <c r="V78" s="515"/>
      <c r="W78" s="515"/>
      <c r="X78" s="515"/>
      <c r="Y78" s="515"/>
      <c r="Z78" s="515"/>
      <c r="AA78" s="515"/>
      <c r="AB78" s="515"/>
      <c r="AC78" s="504"/>
      <c r="AD78" s="314"/>
      <c r="AE78" s="314"/>
      <c r="AF78" s="215"/>
      <c r="AG78" s="215"/>
      <c r="AH78" s="208"/>
    </row>
    <row r="79" spans="1:34" ht="13" customHeight="1">
      <c r="A79" s="211"/>
      <c r="B79" s="116"/>
      <c r="C79" s="504"/>
      <c r="D79" s="504"/>
      <c r="E79" s="504"/>
      <c r="F79" s="504"/>
      <c r="G79" s="504"/>
      <c r="H79" s="504"/>
      <c r="I79" s="504"/>
      <c r="J79" s="504"/>
      <c r="K79" s="504"/>
      <c r="L79" s="504"/>
      <c r="M79" s="504"/>
      <c r="N79" s="504"/>
      <c r="O79" s="504"/>
      <c r="P79" s="504"/>
      <c r="Q79" s="504"/>
      <c r="R79" s="504"/>
      <c r="S79" s="504"/>
      <c r="T79" s="504"/>
      <c r="U79" s="504"/>
      <c r="V79" s="504"/>
      <c r="W79" s="504"/>
      <c r="X79" s="504"/>
      <c r="Y79" s="504"/>
      <c r="Z79" s="504"/>
      <c r="AA79" s="504"/>
      <c r="AB79" s="504"/>
      <c r="AC79" s="504"/>
      <c r="AD79" s="324"/>
      <c r="AE79" s="324"/>
      <c r="AF79" s="215"/>
      <c r="AG79" s="215"/>
      <c r="AH79" s="208"/>
    </row>
    <row r="80" spans="1:34" s="164" customFormat="1" ht="13" customHeight="1">
      <c r="A80" s="224"/>
      <c r="B80" s="116"/>
      <c r="AD80" s="327"/>
      <c r="AE80" s="327"/>
    </row>
    <row r="81" spans="1:34" s="164" customFormat="1" ht="13" customHeight="1">
      <c r="A81" s="224"/>
      <c r="B81" s="116"/>
      <c r="AD81" s="327"/>
      <c r="AE81" s="327"/>
    </row>
    <row r="82" spans="1:34" s="164" customFormat="1" ht="13" customHeight="1">
      <c r="A82" s="224"/>
      <c r="B82" s="116"/>
      <c r="C82" s="336"/>
      <c r="D82" s="336"/>
      <c r="E82" s="336"/>
      <c r="F82" s="336"/>
      <c r="G82" s="336"/>
      <c r="H82" s="336"/>
      <c r="I82" s="336"/>
      <c r="J82" s="336"/>
      <c r="K82" s="336"/>
      <c r="L82" s="336"/>
      <c r="M82" s="336"/>
      <c r="N82" s="336"/>
      <c r="O82" s="336"/>
      <c r="P82" s="336"/>
      <c r="Q82" s="336"/>
      <c r="R82" s="336"/>
      <c r="S82" s="336"/>
      <c r="T82" s="336"/>
      <c r="U82" s="336"/>
      <c r="V82" s="336"/>
      <c r="W82" s="336"/>
      <c r="X82" s="336"/>
      <c r="Y82" s="336"/>
      <c r="Z82" s="336"/>
      <c r="AA82" s="336"/>
      <c r="AB82" s="336"/>
      <c r="AC82" s="336"/>
      <c r="AD82" s="327"/>
      <c r="AE82" s="327"/>
    </row>
    <row r="83" spans="1:34" s="164" customFormat="1" ht="13" customHeight="1">
      <c r="A83" s="224"/>
      <c r="B83" s="116"/>
      <c r="C83" s="188"/>
      <c r="D83" s="188"/>
      <c r="E83" s="188"/>
      <c r="F83" s="188"/>
      <c r="G83" s="188"/>
      <c r="H83" s="188"/>
      <c r="I83" s="188"/>
      <c r="J83" s="188"/>
      <c r="K83" s="188"/>
      <c r="L83" s="188"/>
      <c r="M83" s="188"/>
      <c r="N83" s="188"/>
      <c r="O83" s="188"/>
      <c r="P83" s="188"/>
      <c r="Q83" s="188"/>
      <c r="R83" s="188"/>
      <c r="S83" s="188"/>
      <c r="T83" s="188"/>
      <c r="U83" s="188"/>
      <c r="V83" s="188"/>
      <c r="W83" s="188"/>
      <c r="X83" s="188"/>
      <c r="Y83" s="188"/>
      <c r="Z83" s="188"/>
      <c r="AA83" s="188"/>
      <c r="AB83" s="188"/>
      <c r="AC83" s="188"/>
      <c r="AD83" s="342"/>
      <c r="AE83" s="342"/>
    </row>
    <row r="84" spans="1:34" s="164" customFormat="1" ht="13" customHeight="1">
      <c r="A84" s="224"/>
      <c r="B84" s="116"/>
      <c r="C84" s="188"/>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188"/>
      <c r="AC84" s="188"/>
      <c r="AD84" s="342"/>
      <c r="AE84" s="342"/>
    </row>
    <row r="85" spans="1:34" s="164" customFormat="1" ht="13" customHeight="1">
      <c r="A85" s="224"/>
      <c r="B85" s="116"/>
      <c r="C85" s="188"/>
      <c r="D85" s="188"/>
      <c r="E85" s="188"/>
      <c r="F85" s="188"/>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342"/>
      <c r="AE85" s="342"/>
    </row>
    <row r="86" spans="1:34" s="164" customFormat="1" ht="13" customHeight="1">
      <c r="A86" s="224"/>
      <c r="B86" s="116"/>
      <c r="C86" s="188"/>
      <c r="D86" s="188"/>
      <c r="E86" s="188"/>
      <c r="F86" s="188"/>
      <c r="G86" s="188"/>
      <c r="H86" s="188"/>
      <c r="I86" s="188"/>
      <c r="J86" s="188"/>
      <c r="K86" s="188"/>
      <c r="L86" s="188"/>
      <c r="M86" s="188"/>
      <c r="N86" s="188"/>
      <c r="O86" s="188"/>
      <c r="P86" s="188"/>
      <c r="Q86" s="188"/>
      <c r="R86" s="188"/>
      <c r="S86" s="188"/>
      <c r="T86" s="188"/>
      <c r="U86" s="188"/>
      <c r="V86" s="188"/>
      <c r="W86" s="188"/>
      <c r="X86" s="188"/>
      <c r="Y86" s="188"/>
      <c r="Z86" s="188"/>
      <c r="AA86" s="188"/>
      <c r="AB86" s="188"/>
      <c r="AC86" s="188"/>
      <c r="AD86" s="342"/>
      <c r="AE86" s="342"/>
      <c r="AH86" s="548"/>
    </row>
    <row r="87" spans="1:34" s="164" customFormat="1" ht="13" customHeight="1">
      <c r="A87" s="224"/>
      <c r="B87" s="116"/>
      <c r="C87" s="188"/>
      <c r="D87" s="188"/>
      <c r="E87" s="188"/>
      <c r="F87" s="188"/>
      <c r="G87" s="188"/>
      <c r="H87" s="188"/>
      <c r="I87" s="188"/>
      <c r="J87" s="188"/>
      <c r="K87" s="188"/>
      <c r="L87" s="188"/>
      <c r="M87" s="188"/>
      <c r="N87" s="188"/>
      <c r="O87" s="188"/>
      <c r="P87" s="188"/>
      <c r="Q87" s="188"/>
      <c r="R87" s="188"/>
      <c r="S87" s="188"/>
      <c r="T87" s="188"/>
      <c r="U87" s="188"/>
      <c r="V87" s="188"/>
      <c r="W87" s="188"/>
      <c r="X87" s="188"/>
      <c r="Y87" s="188"/>
      <c r="Z87" s="188"/>
      <c r="AA87" s="188"/>
      <c r="AB87" s="188"/>
      <c r="AC87" s="188"/>
      <c r="AD87" s="342"/>
      <c r="AE87" s="342"/>
    </row>
    <row r="88" spans="1:34" s="164" customFormat="1" ht="13" customHeight="1">
      <c r="A88" s="224"/>
      <c r="B88" s="116"/>
      <c r="C88" s="188"/>
      <c r="D88" s="188"/>
      <c r="E88" s="188"/>
      <c r="F88" s="188"/>
      <c r="G88" s="188"/>
      <c r="H88" s="188"/>
      <c r="I88" s="188"/>
      <c r="J88" s="188"/>
      <c r="K88" s="188"/>
      <c r="L88" s="188"/>
      <c r="M88" s="188"/>
      <c r="N88" s="188"/>
      <c r="O88" s="188"/>
      <c r="P88" s="188"/>
      <c r="Q88" s="188"/>
      <c r="R88" s="188"/>
      <c r="S88" s="188"/>
      <c r="T88" s="188"/>
      <c r="U88" s="188"/>
      <c r="V88" s="188"/>
      <c r="W88" s="188"/>
      <c r="X88" s="188"/>
      <c r="Y88" s="188"/>
      <c r="Z88" s="188"/>
      <c r="AA88" s="188"/>
      <c r="AB88" s="188"/>
      <c r="AC88" s="188"/>
      <c r="AD88" s="342"/>
      <c r="AE88" s="342"/>
    </row>
    <row r="89" spans="1:34" s="164" customFormat="1" ht="13" customHeight="1">
      <c r="A89" s="224"/>
      <c r="B89" s="116"/>
      <c r="C89" s="188"/>
      <c r="D89" s="188"/>
      <c r="E89" s="188"/>
      <c r="F89" s="188"/>
      <c r="G89" s="188"/>
      <c r="H89" s="188"/>
      <c r="I89" s="188"/>
      <c r="J89" s="188"/>
      <c r="K89" s="188"/>
      <c r="L89" s="188"/>
      <c r="M89" s="188"/>
      <c r="N89" s="188"/>
      <c r="O89" s="188"/>
      <c r="P89" s="188"/>
      <c r="Q89" s="188"/>
      <c r="R89" s="188"/>
      <c r="S89" s="188"/>
      <c r="T89" s="188"/>
      <c r="U89" s="188"/>
      <c r="V89" s="188"/>
      <c r="W89" s="188"/>
      <c r="X89" s="188"/>
      <c r="Y89" s="188"/>
      <c r="Z89" s="188"/>
      <c r="AA89" s="188"/>
      <c r="AB89" s="188"/>
      <c r="AC89" s="188"/>
      <c r="AD89" s="342"/>
      <c r="AE89" s="342"/>
    </row>
    <row r="90" spans="1:34" s="164" customFormat="1" ht="13" customHeight="1">
      <c r="A90" s="224"/>
      <c r="B90" s="116"/>
      <c r="C90" s="188"/>
      <c r="D90" s="188"/>
      <c r="E90" s="188"/>
      <c r="F90" s="188"/>
      <c r="G90" s="188"/>
      <c r="H90" s="188"/>
      <c r="I90" s="188"/>
      <c r="J90" s="188"/>
      <c r="K90" s="188"/>
      <c r="L90" s="188"/>
      <c r="M90" s="188"/>
      <c r="N90" s="188"/>
      <c r="O90" s="188"/>
      <c r="P90" s="188"/>
      <c r="Q90" s="188"/>
      <c r="R90" s="188"/>
      <c r="S90" s="188"/>
      <c r="T90" s="188"/>
      <c r="U90" s="188"/>
      <c r="V90" s="188"/>
      <c r="W90" s="188"/>
      <c r="X90" s="188"/>
      <c r="Y90" s="188"/>
      <c r="Z90" s="188"/>
      <c r="AA90" s="188"/>
      <c r="AB90" s="188"/>
      <c r="AC90" s="188"/>
      <c r="AD90" s="342"/>
      <c r="AE90" s="342"/>
    </row>
    <row r="91" spans="1:34" s="164" customFormat="1" ht="13" customHeight="1">
      <c r="A91" s="224"/>
      <c r="B91" s="116"/>
      <c r="AD91" s="327"/>
      <c r="AE91" s="327"/>
      <c r="AF91" s="549"/>
      <c r="AG91" s="549"/>
    </row>
    <row r="92" spans="1:34" ht="13" customHeight="1">
      <c r="A92" s="211"/>
      <c r="B92" s="116"/>
      <c r="AD92" s="342"/>
      <c r="AE92" s="342"/>
      <c r="AF92" s="215"/>
      <c r="AG92" s="215"/>
    </row>
    <row r="93" spans="1:34" ht="13" customHeight="1">
      <c r="B93" s="116"/>
      <c r="C93" s="179"/>
      <c r="D93" s="179"/>
      <c r="E93" s="179"/>
      <c r="F93" s="179"/>
      <c r="G93" s="179"/>
      <c r="H93" s="179"/>
      <c r="I93" s="179"/>
      <c r="J93" s="179"/>
      <c r="K93" s="179"/>
      <c r="L93" s="179"/>
      <c r="M93" s="179"/>
      <c r="N93" s="179"/>
      <c r="O93" s="179"/>
      <c r="P93" s="179"/>
      <c r="Q93" s="179"/>
      <c r="R93" s="179"/>
      <c r="S93" s="179"/>
      <c r="T93" s="179"/>
      <c r="U93" s="179"/>
      <c r="V93" s="179"/>
      <c r="W93" s="179"/>
      <c r="X93" s="179"/>
      <c r="Y93" s="179"/>
      <c r="Z93" s="179"/>
      <c r="AA93" s="179"/>
      <c r="AB93" s="179"/>
      <c r="AC93" s="179"/>
      <c r="AD93" s="327"/>
      <c r="AE93" s="327"/>
      <c r="AF93" s="335"/>
      <c r="AG93" s="335"/>
      <c r="AH93" s="188"/>
    </row>
    <row r="94" spans="1:34" s="164" customFormat="1" ht="13" customHeight="1">
      <c r="A94" s="224"/>
      <c r="B94" s="116"/>
      <c r="AD94" s="327"/>
      <c r="AE94" s="327"/>
      <c r="AF94" s="549"/>
      <c r="AG94" s="549"/>
    </row>
    <row r="95" spans="1:34" ht="13" customHeight="1">
      <c r="A95" s="211"/>
      <c r="B95" s="116"/>
      <c r="AD95" s="342"/>
      <c r="AE95" s="342"/>
      <c r="AF95" s="215"/>
      <c r="AG95" s="215"/>
    </row>
    <row r="96" spans="1:34" ht="13" customHeight="1">
      <c r="B96" s="116"/>
      <c r="C96" s="179"/>
      <c r="D96" s="179"/>
      <c r="E96" s="179"/>
      <c r="F96" s="179"/>
      <c r="G96" s="179"/>
      <c r="H96" s="179"/>
      <c r="I96" s="179"/>
      <c r="J96" s="179"/>
      <c r="K96" s="179"/>
      <c r="L96" s="179"/>
      <c r="M96" s="179"/>
      <c r="N96" s="179"/>
      <c r="O96" s="179"/>
      <c r="P96" s="179"/>
      <c r="Q96" s="179"/>
      <c r="R96" s="179"/>
      <c r="S96" s="179"/>
      <c r="T96" s="179"/>
      <c r="U96" s="179"/>
      <c r="V96" s="179"/>
      <c r="W96" s="179"/>
      <c r="X96" s="179"/>
      <c r="Y96" s="179"/>
      <c r="Z96" s="179"/>
      <c r="AA96" s="179"/>
      <c r="AB96" s="179"/>
      <c r="AC96" s="179"/>
      <c r="AD96" s="204"/>
      <c r="AE96" s="204"/>
      <c r="AF96" s="335"/>
      <c r="AG96" s="335"/>
      <c r="AH96" s="188"/>
    </row>
    <row r="97" spans="3:33" s="116" customFormat="1" ht="13" customHeight="1">
      <c r="C97" s="226"/>
      <c r="D97" s="226"/>
      <c r="E97" s="226"/>
      <c r="F97" s="226"/>
      <c r="G97" s="226"/>
      <c r="H97" s="226"/>
      <c r="I97" s="226"/>
      <c r="J97" s="226"/>
      <c r="K97" s="226"/>
      <c r="L97" s="226"/>
      <c r="M97" s="226"/>
      <c r="N97" s="226"/>
      <c r="O97" s="226"/>
      <c r="P97" s="226"/>
      <c r="Q97" s="226"/>
      <c r="R97" s="226"/>
      <c r="S97" s="226"/>
      <c r="T97" s="226"/>
      <c r="U97" s="226"/>
      <c r="V97" s="226"/>
      <c r="W97" s="226"/>
      <c r="X97" s="226"/>
      <c r="Y97" s="226"/>
      <c r="Z97" s="226"/>
      <c r="AA97" s="226"/>
      <c r="AB97" s="226"/>
      <c r="AC97" s="226"/>
      <c r="AD97" s="204"/>
      <c r="AE97" s="204"/>
    </row>
    <row r="98" spans="3:33" s="116" customFormat="1" ht="13" customHeight="1">
      <c r="C98" s="226"/>
      <c r="D98" s="226"/>
      <c r="E98" s="226"/>
      <c r="F98" s="226"/>
      <c r="G98" s="226"/>
      <c r="H98" s="226"/>
      <c r="I98" s="226"/>
      <c r="J98" s="226"/>
      <c r="K98" s="226"/>
      <c r="L98" s="226"/>
      <c r="M98" s="226"/>
      <c r="N98" s="226"/>
      <c r="O98" s="226"/>
      <c r="P98" s="226"/>
      <c r="Q98" s="226"/>
      <c r="R98" s="226"/>
      <c r="S98" s="226"/>
      <c r="T98" s="226"/>
      <c r="U98" s="226"/>
      <c r="V98" s="226"/>
      <c r="W98" s="226"/>
      <c r="X98" s="226"/>
      <c r="Y98" s="226"/>
      <c r="Z98" s="226"/>
      <c r="AA98" s="226"/>
      <c r="AB98" s="226"/>
      <c r="AC98" s="226"/>
      <c r="AD98" s="204"/>
      <c r="AE98" s="204"/>
      <c r="AG98" s="188"/>
    </row>
    <row r="99" spans="3:33" s="116" customFormat="1" ht="13" customHeight="1">
      <c r="C99" s="226"/>
      <c r="D99" s="226"/>
      <c r="E99" s="226"/>
      <c r="F99" s="226"/>
      <c r="G99" s="226"/>
      <c r="H99" s="226"/>
      <c r="I99" s="226"/>
      <c r="J99" s="226"/>
      <c r="K99" s="226"/>
      <c r="L99" s="226"/>
      <c r="M99" s="226"/>
      <c r="N99" s="226"/>
      <c r="O99" s="226"/>
      <c r="P99" s="226"/>
      <c r="Q99" s="226"/>
      <c r="R99" s="226"/>
      <c r="S99" s="226"/>
      <c r="T99" s="226"/>
      <c r="U99" s="226"/>
      <c r="V99" s="226"/>
      <c r="W99" s="226"/>
      <c r="X99" s="226"/>
      <c r="Y99" s="226"/>
      <c r="Z99" s="226"/>
      <c r="AA99" s="226"/>
      <c r="AB99" s="226"/>
      <c r="AC99" s="226"/>
      <c r="AD99" s="204"/>
      <c r="AE99" s="204"/>
    </row>
    <row r="100" spans="3:33" s="116" customFormat="1" ht="13" customHeight="1">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04"/>
      <c r="AE100" s="204"/>
    </row>
    <row r="101" spans="3:33" s="116" customFormat="1" ht="13" customHeight="1">
      <c r="C101" s="226"/>
      <c r="D101" s="226"/>
      <c r="E101" s="226"/>
      <c r="F101" s="226"/>
      <c r="G101" s="226"/>
      <c r="H101" s="226"/>
      <c r="I101" s="226"/>
      <c r="J101" s="226"/>
      <c r="K101" s="226"/>
      <c r="L101" s="226"/>
      <c r="M101" s="226"/>
      <c r="N101" s="226"/>
      <c r="O101" s="226"/>
      <c r="P101" s="226"/>
      <c r="Q101" s="226"/>
      <c r="R101" s="226"/>
      <c r="S101" s="226"/>
      <c r="T101" s="226"/>
      <c r="U101" s="226"/>
      <c r="V101" s="226"/>
      <c r="W101" s="226"/>
      <c r="X101" s="226"/>
      <c r="Y101" s="226"/>
      <c r="Z101" s="226"/>
      <c r="AA101" s="226"/>
      <c r="AB101" s="226"/>
      <c r="AC101" s="226"/>
      <c r="AD101" s="204"/>
      <c r="AE101" s="204"/>
    </row>
    <row r="102" spans="3:33" s="116" customFormat="1" ht="13" customHeight="1">
      <c r="C102" s="226"/>
      <c r="D102" s="226"/>
      <c r="E102" s="226"/>
      <c r="F102" s="226"/>
      <c r="G102" s="226"/>
      <c r="H102" s="226"/>
      <c r="I102" s="226"/>
      <c r="J102" s="226"/>
      <c r="K102" s="226"/>
      <c r="L102" s="226"/>
      <c r="M102" s="226"/>
      <c r="N102" s="226"/>
      <c r="O102" s="226"/>
      <c r="P102" s="226"/>
      <c r="Q102" s="226"/>
      <c r="R102" s="226"/>
      <c r="S102" s="226"/>
      <c r="T102" s="226"/>
      <c r="U102" s="226"/>
      <c r="V102" s="226"/>
      <c r="W102" s="226"/>
      <c r="X102" s="226"/>
      <c r="Y102" s="226"/>
      <c r="Z102" s="226"/>
      <c r="AA102" s="226"/>
      <c r="AB102" s="226"/>
      <c r="AC102" s="226"/>
      <c r="AD102" s="204"/>
      <c r="AE102" s="204"/>
    </row>
    <row r="103" spans="3:33" s="116" customFormat="1" ht="13" customHeight="1">
      <c r="C103" s="226"/>
      <c r="D103" s="226"/>
      <c r="E103" s="226"/>
      <c r="F103" s="226"/>
      <c r="G103" s="226"/>
      <c r="H103" s="226"/>
      <c r="I103" s="226"/>
      <c r="J103" s="226"/>
      <c r="K103" s="226"/>
      <c r="L103" s="226"/>
      <c r="M103" s="226"/>
      <c r="N103" s="226"/>
      <c r="O103" s="226"/>
      <c r="P103" s="226"/>
      <c r="Q103" s="226"/>
      <c r="R103" s="226"/>
      <c r="S103" s="226"/>
      <c r="T103" s="226"/>
      <c r="U103" s="226"/>
      <c r="V103" s="226"/>
      <c r="W103" s="226"/>
      <c r="X103" s="226"/>
      <c r="Y103" s="226"/>
      <c r="Z103" s="226"/>
      <c r="AA103" s="226"/>
      <c r="AB103" s="226"/>
      <c r="AC103" s="226"/>
      <c r="AD103" s="204"/>
      <c r="AE103" s="204"/>
    </row>
    <row r="104" spans="3:33" s="116" customFormat="1" ht="13" customHeight="1">
      <c r="C104" s="226"/>
      <c r="D104" s="226"/>
      <c r="E104" s="226"/>
      <c r="F104" s="226"/>
      <c r="G104" s="226"/>
      <c r="H104" s="226"/>
      <c r="I104" s="226"/>
      <c r="J104" s="226"/>
      <c r="K104" s="226"/>
      <c r="L104" s="226"/>
      <c r="M104" s="226"/>
      <c r="N104" s="226"/>
      <c r="O104" s="226"/>
      <c r="P104" s="226"/>
      <c r="Q104" s="226"/>
      <c r="R104" s="226"/>
      <c r="S104" s="226"/>
      <c r="T104" s="226"/>
      <c r="U104" s="226"/>
      <c r="V104" s="226"/>
      <c r="W104" s="226"/>
      <c r="X104" s="226"/>
      <c r="Y104" s="226"/>
      <c r="Z104" s="226"/>
      <c r="AA104" s="226"/>
      <c r="AB104" s="226"/>
      <c r="AC104" s="226"/>
      <c r="AD104" s="204"/>
      <c r="AE104" s="204"/>
    </row>
    <row r="105" spans="3:33" s="116" customFormat="1" ht="13" customHeight="1">
      <c r="C105" s="226"/>
      <c r="D105" s="226"/>
      <c r="E105" s="226"/>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04"/>
      <c r="AE105" s="204"/>
    </row>
    <row r="106" spans="3:33" s="116" customFormat="1" ht="14" customHeight="1">
      <c r="C106" s="226"/>
      <c r="D106" s="226"/>
      <c r="E106" s="226"/>
      <c r="F106" s="226"/>
      <c r="G106" s="226"/>
      <c r="H106" s="226"/>
      <c r="I106" s="226"/>
      <c r="J106" s="226"/>
      <c r="K106" s="226"/>
      <c r="L106" s="226"/>
      <c r="M106" s="226"/>
      <c r="N106" s="226"/>
      <c r="O106" s="226"/>
      <c r="P106" s="226"/>
      <c r="Q106" s="226"/>
      <c r="R106" s="226"/>
      <c r="S106" s="226"/>
      <c r="T106" s="226"/>
      <c r="U106" s="226"/>
      <c r="V106" s="226"/>
      <c r="W106" s="226"/>
      <c r="X106" s="226"/>
      <c r="Y106" s="226"/>
      <c r="Z106" s="226"/>
      <c r="AA106" s="226"/>
      <c r="AB106" s="226"/>
      <c r="AC106" s="226"/>
      <c r="AD106" s="204"/>
      <c r="AE106" s="204"/>
    </row>
    <row r="107" spans="3:33" s="116" customFormat="1" ht="14" customHeight="1">
      <c r="C107" s="226"/>
      <c r="D107" s="226"/>
      <c r="E107" s="226"/>
      <c r="F107" s="226"/>
      <c r="G107" s="226"/>
      <c r="H107" s="226"/>
      <c r="I107" s="226"/>
      <c r="J107" s="226"/>
      <c r="K107" s="226"/>
      <c r="L107" s="226"/>
      <c r="M107" s="226"/>
      <c r="N107" s="226"/>
      <c r="O107" s="226"/>
      <c r="P107" s="226"/>
      <c r="Q107" s="226"/>
      <c r="R107" s="226"/>
      <c r="S107" s="226"/>
      <c r="T107" s="226"/>
      <c r="U107" s="226"/>
      <c r="V107" s="226"/>
      <c r="W107" s="226"/>
      <c r="X107" s="226"/>
      <c r="Y107" s="226"/>
      <c r="Z107" s="226"/>
      <c r="AA107" s="226"/>
      <c r="AB107" s="226"/>
      <c r="AC107" s="226"/>
      <c r="AD107" s="204"/>
      <c r="AE107" s="204"/>
    </row>
    <row r="108" spans="3:33" s="116" customFormat="1" ht="13" customHeight="1">
      <c r="AD108" s="342"/>
      <c r="AE108" s="342"/>
    </row>
    <row r="109" spans="3:33" s="116" customFormat="1" ht="13" customHeight="1">
      <c r="C109" s="226"/>
      <c r="D109" s="323"/>
      <c r="E109" s="323"/>
      <c r="F109" s="323"/>
      <c r="G109" s="323"/>
      <c r="H109" s="323"/>
      <c r="I109" s="323"/>
      <c r="J109" s="323"/>
      <c r="K109" s="323"/>
      <c r="L109" s="323"/>
      <c r="M109" s="323"/>
      <c r="N109" s="323"/>
      <c r="O109" s="323"/>
      <c r="P109" s="323"/>
      <c r="Q109" s="323"/>
      <c r="R109" s="323"/>
      <c r="S109" s="323"/>
      <c r="T109" s="323"/>
      <c r="U109" s="323"/>
      <c r="V109" s="323"/>
      <c r="W109" s="323"/>
      <c r="X109" s="323"/>
      <c r="Y109" s="323"/>
      <c r="Z109" s="323"/>
      <c r="AA109" s="323"/>
      <c r="AB109" s="323"/>
      <c r="AC109" s="323"/>
      <c r="AD109" s="498"/>
      <c r="AE109" s="498"/>
    </row>
    <row r="110" spans="3:33" s="116" customFormat="1" ht="13" customHeight="1">
      <c r="C110" s="226"/>
      <c r="D110" s="323"/>
      <c r="E110" s="323"/>
      <c r="F110" s="323"/>
      <c r="G110" s="323"/>
      <c r="H110" s="323"/>
      <c r="I110" s="323"/>
      <c r="J110" s="323"/>
      <c r="K110" s="323"/>
      <c r="L110" s="323"/>
      <c r="M110" s="323"/>
      <c r="N110" s="323"/>
      <c r="O110" s="323"/>
      <c r="P110" s="323"/>
      <c r="Q110" s="323"/>
      <c r="R110" s="323"/>
      <c r="S110" s="323"/>
      <c r="T110" s="323"/>
      <c r="U110" s="323"/>
      <c r="V110" s="323"/>
      <c r="W110" s="323"/>
      <c r="X110" s="323"/>
      <c r="Y110" s="323"/>
      <c r="Z110" s="323"/>
      <c r="AA110" s="323"/>
      <c r="AB110" s="323"/>
      <c r="AC110" s="323"/>
      <c r="AD110" s="498"/>
      <c r="AE110" s="498"/>
    </row>
    <row r="111" spans="3:33" s="116" customFormat="1" ht="13" customHeight="1">
      <c r="C111" s="226"/>
      <c r="D111" s="323"/>
      <c r="E111" s="323"/>
      <c r="F111" s="323"/>
      <c r="G111" s="323"/>
      <c r="H111" s="323"/>
      <c r="I111" s="323"/>
      <c r="J111" s="323"/>
      <c r="K111" s="323"/>
      <c r="L111" s="323"/>
      <c r="M111" s="323"/>
      <c r="N111" s="323"/>
      <c r="O111" s="323"/>
      <c r="P111" s="323"/>
      <c r="Q111" s="323"/>
      <c r="R111" s="323"/>
      <c r="S111" s="323"/>
      <c r="T111" s="323"/>
      <c r="U111" s="323"/>
      <c r="V111" s="323"/>
      <c r="W111" s="323"/>
      <c r="X111" s="323"/>
      <c r="Y111" s="323"/>
      <c r="Z111" s="323"/>
      <c r="AA111" s="323"/>
      <c r="AB111" s="323"/>
      <c r="AC111" s="323"/>
      <c r="AD111" s="498"/>
      <c r="AE111" s="498"/>
    </row>
    <row r="112" spans="3:33" s="116" customFormat="1" ht="13" customHeight="1">
      <c r="C112" s="226"/>
      <c r="D112" s="323"/>
      <c r="E112" s="323"/>
      <c r="F112" s="323"/>
      <c r="G112" s="323"/>
      <c r="H112" s="323"/>
      <c r="I112" s="323"/>
      <c r="J112" s="323"/>
      <c r="K112" s="323"/>
      <c r="L112" s="323"/>
      <c r="M112" s="323"/>
      <c r="N112" s="323"/>
      <c r="O112" s="323"/>
      <c r="P112" s="323"/>
      <c r="Q112" s="323"/>
      <c r="R112" s="323"/>
      <c r="S112" s="323"/>
      <c r="T112" s="323"/>
      <c r="U112" s="323"/>
      <c r="V112" s="323"/>
      <c r="W112" s="323"/>
      <c r="X112" s="323"/>
      <c r="Y112" s="323"/>
      <c r="Z112" s="323"/>
      <c r="AA112" s="323"/>
      <c r="AB112" s="323"/>
      <c r="AC112" s="323"/>
      <c r="AD112" s="498"/>
      <c r="AE112" s="498"/>
    </row>
    <row r="113" spans="2:31" ht="13" customHeight="1">
      <c r="B113" s="116"/>
      <c r="C113" s="226"/>
      <c r="D113" s="323"/>
      <c r="E113" s="323"/>
      <c r="F113" s="323"/>
      <c r="G113" s="323"/>
      <c r="H113" s="323"/>
      <c r="I113" s="323"/>
      <c r="J113" s="323"/>
      <c r="K113" s="323"/>
      <c r="L113" s="323"/>
      <c r="M113" s="323"/>
      <c r="N113" s="323"/>
      <c r="O113" s="323"/>
      <c r="P113" s="323"/>
      <c r="Q113" s="323"/>
      <c r="R113" s="323"/>
      <c r="S113" s="323"/>
      <c r="T113" s="323"/>
      <c r="U113" s="323"/>
      <c r="V113" s="323"/>
      <c r="W113" s="323"/>
      <c r="X113" s="323"/>
      <c r="Y113" s="323"/>
      <c r="Z113" s="323"/>
      <c r="AA113" s="323"/>
      <c r="AB113" s="323"/>
      <c r="AC113" s="323"/>
      <c r="AD113" s="498"/>
      <c r="AE113" s="498"/>
    </row>
    <row r="114" spans="2:31" ht="14" customHeight="1">
      <c r="B114" s="116"/>
      <c r="C114" s="226"/>
      <c r="D114" s="226"/>
      <c r="E114" s="323"/>
      <c r="F114" s="323"/>
      <c r="G114" s="323"/>
      <c r="H114" s="323"/>
      <c r="I114" s="323"/>
      <c r="J114" s="323"/>
      <c r="K114" s="323"/>
      <c r="L114" s="323"/>
      <c r="M114" s="323"/>
      <c r="N114" s="323"/>
      <c r="O114" s="323"/>
      <c r="P114" s="323"/>
      <c r="Q114" s="323"/>
      <c r="R114" s="323"/>
      <c r="S114" s="323"/>
      <c r="T114" s="323"/>
      <c r="U114" s="323"/>
      <c r="V114" s="323"/>
      <c r="W114" s="323"/>
      <c r="X114" s="323"/>
      <c r="Y114" s="323"/>
      <c r="Z114" s="323"/>
      <c r="AA114" s="323"/>
      <c r="AB114" s="323"/>
      <c r="AC114" s="323"/>
      <c r="AD114" s="498"/>
      <c r="AE114" s="498"/>
    </row>
    <row r="115" spans="2:31" ht="13" customHeight="1">
      <c r="B115" s="116"/>
      <c r="C115" s="226"/>
      <c r="D115" s="226"/>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498"/>
      <c r="AE115" s="498"/>
    </row>
    <row r="116" spans="2:31" ht="13" customHeight="1">
      <c r="B116" s="116"/>
      <c r="S116" s="323"/>
      <c r="T116" s="323"/>
      <c r="U116" s="323"/>
      <c r="V116" s="323"/>
      <c r="W116" s="323"/>
      <c r="X116" s="323"/>
      <c r="Y116" s="323"/>
      <c r="Z116" s="323"/>
      <c r="AA116" s="323"/>
      <c r="AB116" s="323"/>
      <c r="AC116" s="323"/>
      <c r="AD116" s="342"/>
      <c r="AE116" s="342"/>
    </row>
    <row r="117" spans="2:31" ht="13" customHeight="1">
      <c r="B117" s="50"/>
      <c r="AD117" s="342"/>
      <c r="AE117" s="342"/>
    </row>
    <row r="118" spans="2:31" ht="13" customHeight="1">
      <c r="B118" s="51"/>
      <c r="C118" s="530"/>
      <c r="D118" s="530"/>
      <c r="E118" s="530"/>
      <c r="F118" s="530"/>
      <c r="G118" s="530"/>
      <c r="H118" s="530"/>
      <c r="I118" s="530"/>
      <c r="J118" s="530"/>
      <c r="K118" s="530"/>
      <c r="L118" s="530"/>
      <c r="M118" s="530"/>
      <c r="N118" s="530"/>
      <c r="O118" s="530"/>
      <c r="P118" s="530"/>
      <c r="Q118" s="530"/>
      <c r="R118" s="530"/>
      <c r="S118" s="530"/>
      <c r="T118" s="530"/>
      <c r="U118" s="530"/>
      <c r="V118" s="530"/>
      <c r="W118" s="530"/>
      <c r="X118" s="530"/>
      <c r="Y118" s="530"/>
      <c r="Z118" s="530"/>
      <c r="AA118" s="530"/>
      <c r="AB118" s="530"/>
      <c r="AC118" s="530"/>
      <c r="AD118" s="314"/>
      <c r="AE118" s="314"/>
    </row>
    <row r="119" spans="2:31" ht="13" customHeight="1">
      <c r="B119" s="51"/>
      <c r="C119" s="117"/>
      <c r="D119" s="117"/>
      <c r="E119" s="117"/>
      <c r="F119" s="313"/>
      <c r="G119" s="313"/>
      <c r="H119" s="313"/>
      <c r="I119" s="313"/>
      <c r="J119" s="117"/>
      <c r="K119" s="117"/>
      <c r="L119" s="117"/>
      <c r="M119" s="117"/>
      <c r="N119" s="323"/>
      <c r="O119" s="323"/>
      <c r="P119" s="323"/>
      <c r="Q119" s="323"/>
      <c r="R119" s="323"/>
      <c r="S119" s="323"/>
      <c r="T119" s="323"/>
      <c r="U119" s="323"/>
      <c r="V119" s="323"/>
      <c r="W119" s="323"/>
      <c r="X119" s="323"/>
      <c r="Y119" s="323"/>
      <c r="Z119" s="323"/>
      <c r="AA119" s="323"/>
      <c r="AB119" s="323"/>
      <c r="AC119" s="323"/>
      <c r="AD119" s="498"/>
      <c r="AE119" s="498"/>
    </row>
    <row r="120" spans="2:31" ht="13" customHeight="1">
      <c r="Z120" s="159"/>
      <c r="AA120" s="159"/>
      <c r="AB120" s="159"/>
      <c r="AC120" s="159"/>
      <c r="AD120" s="159"/>
      <c r="AE120" s="159"/>
    </row>
    <row r="121" spans="2:31" ht="13" customHeight="1">
      <c r="Q121" s="160"/>
      <c r="R121" s="160"/>
      <c r="S121" s="160"/>
      <c r="T121" s="160"/>
      <c r="U121" s="160"/>
      <c r="V121" s="160"/>
      <c r="W121" s="160"/>
      <c r="X121" s="160"/>
      <c r="Y121" s="160"/>
      <c r="Z121" s="160"/>
      <c r="AA121" s="160"/>
      <c r="AB121" s="160"/>
      <c r="AC121" s="160"/>
      <c r="AD121" s="160"/>
      <c r="AE121" s="160"/>
    </row>
    <row r="122" spans="2:31" ht="13" customHeight="1">
      <c r="B122" s="741"/>
      <c r="C122" s="116" t="s">
        <v>1047</v>
      </c>
      <c r="N122" s="160"/>
      <c r="O122" s="160"/>
      <c r="P122" s="160"/>
      <c r="Q122" s="160"/>
      <c r="R122" s="160"/>
      <c r="S122" s="160"/>
      <c r="T122" s="160"/>
      <c r="U122" s="160"/>
      <c r="V122" s="160"/>
      <c r="W122" s="160"/>
      <c r="X122" s="160"/>
      <c r="Y122" s="160"/>
      <c r="Z122" s="160"/>
      <c r="AA122" s="160"/>
      <c r="AB122" s="160"/>
      <c r="AC122" s="160"/>
      <c r="AD122" s="160"/>
      <c r="AE122" s="160"/>
    </row>
    <row r="123" spans="2:31" ht="13" customHeight="1">
      <c r="B123" s="741"/>
      <c r="Z123" s="188"/>
      <c r="AA123" s="188"/>
      <c r="AB123" s="188"/>
      <c r="AC123" s="188"/>
      <c r="AD123" s="188"/>
      <c r="AE123" s="188"/>
    </row>
    <row r="124" spans="2:31" ht="13" customHeight="1">
      <c r="B124" s="741"/>
      <c r="T124" s="229"/>
      <c r="U124" s="229"/>
      <c r="V124" s="229"/>
      <c r="W124" s="229"/>
      <c r="X124" s="229"/>
      <c r="Y124" s="229"/>
      <c r="Z124" s="229"/>
      <c r="AA124" s="229"/>
      <c r="AB124" s="229"/>
      <c r="AC124" s="160"/>
      <c r="AD124" s="229"/>
      <c r="AE124" s="229"/>
    </row>
    <row r="125" spans="2:31" ht="13" customHeight="1">
      <c r="B125" s="741"/>
    </row>
    <row r="126" spans="2:31" ht="13" customHeight="1">
      <c r="B126" s="741"/>
    </row>
  </sheetData>
  <sheetProtection algorithmName="SHA-512" hashValue="icTu0WRP5dWMFlxi25PpmEopTSc4hck4MZJ+PQU5jxxeE7ueGOF05Gps7cEv1iQpv+0CCVdd55dwKpqvBzHvxA==" saltValue="prH7OZULyWMGRm+VEdBppw==" spinCount="100000" sheet="1" formatCells="0" formatColumns="0" formatRows="0" insertColumns="0" insertRows="0" insertHyperlinks="0" deleteColumns="0" deleteRows="0" sort="0" autoFilter="0" pivotTables="0"/>
  <mergeCells count="1">
    <mergeCell ref="B122:B126"/>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BC7C3-4719-D44A-AF55-0E5CA0EECE98}">
  <sheetPr codeName="Sheet9">
    <tabColor rgb="FFEB7100"/>
  </sheetPr>
  <dimension ref="A1:AK49"/>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8" width="10.83203125" style="116" customWidth="1"/>
    <col min="9" max="9" width="2.83203125" style="116" customWidth="1"/>
    <col min="10" max="18" width="10.83203125" style="116" customWidth="1"/>
    <col min="19" max="26" width="10.83203125" style="116"/>
    <col min="27" max="28" width="10.83203125" style="116" customWidth="1"/>
    <col min="29" max="29" width="5.83203125" style="116" customWidth="1"/>
    <col min="30" max="16384" width="10.83203125" style="116"/>
  </cols>
  <sheetData>
    <row r="1" spans="1:37"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row>
    <row r="2" spans="1:37" s="10" customFormat="1" ht="13" customHeight="1">
      <c r="B2" s="267" t="str">
        <f>IF('Summary | Sumário'!D$6=Names!B$3,Names!U1,Names!T1)</f>
        <v>NII (IFRS, R$ Mil)</v>
      </c>
      <c r="C2" s="114">
        <f>IF('Summary | Sumário'!D6=Names!B3,Names!C2,Names!D2)</f>
        <v>2019</v>
      </c>
      <c r="D2" s="114">
        <f>IF('Summary | Sumário'!D6=Names!B3,Names!C3,Names!D3)</f>
        <v>2020</v>
      </c>
      <c r="E2" s="114">
        <f>IF('Summary | Sumário'!D6=Names!B3,Names!C4,Names!D4)</f>
        <v>2021</v>
      </c>
      <c r="F2" s="114">
        <f>IF('Summary | Sumário'!D6=Names!B3,Names!C5,Names!D5)</f>
        <v>2022</v>
      </c>
      <c r="G2" s="114">
        <f>IF('Summary | Sumário'!D6=Names!B3,Names!C18,Names!D18)</f>
        <v>2023</v>
      </c>
      <c r="H2" s="114">
        <f>IF('Summary | Sumário'!D6=Names!B3,Names!C23,Names!D23)</f>
        <v>2024</v>
      </c>
      <c r="I2" s="322"/>
      <c r="J2" s="20" t="str">
        <f>IF('Summary | Sumário'!D6=Names!B3,Names!C6,Names!D6)</f>
        <v>1Q21</v>
      </c>
      <c r="K2" s="20" t="str">
        <f>IF('Summary | Sumário'!D6=Names!B3,Names!C7,Names!D7)</f>
        <v>2Q21</v>
      </c>
      <c r="L2" s="20" t="str">
        <f>IF('Summary | Sumário'!D6=Names!B3,Names!C8,Names!D8)</f>
        <v>3Q21</v>
      </c>
      <c r="M2" s="21" t="str">
        <f>IF('Summary | Sumário'!D6=Names!B3,Names!C9,Names!D9)</f>
        <v>4Q21</v>
      </c>
      <c r="N2" s="21" t="str">
        <f>IF('Summary | Sumário'!D6=Names!B3,Names!C10,Names!D10)</f>
        <v>1Q22</v>
      </c>
      <c r="O2" s="21" t="str">
        <f>IF('Summary | Sumário'!D6=Names!B3,Names!C11,Names!D11)</f>
        <v>2Q22</v>
      </c>
      <c r="P2" s="21" t="str">
        <f>IF('Summary | Sumário'!D6=Names!B3,Names!C12,Names!D12)</f>
        <v>3Q22</v>
      </c>
      <c r="Q2" s="21" t="str">
        <f>IF('Summary | Sumário'!D6=Names!B3,Names!C13,Names!D13)</f>
        <v>4Q22</v>
      </c>
      <c r="R2" s="21" t="str">
        <f>IF('Summary | Sumário'!D6=Names!B3,Names!C14,Names!D14)</f>
        <v>1Q23</v>
      </c>
      <c r="S2" s="21" t="str">
        <f>IF('Summary | Sumário'!D6=Names!B3,Names!C15,Names!D15)</f>
        <v>2Q23</v>
      </c>
      <c r="T2" s="21" t="str">
        <f>IF('Summary | Sumário'!D6=Names!B3,Names!C16,Names!D16)</f>
        <v>3Q23</v>
      </c>
      <c r="U2" s="21" t="str">
        <f>IF('Summary | Sumário'!D6=Names!B3,Names!C17,Names!D17)</f>
        <v>4Q23</v>
      </c>
      <c r="V2" s="21" t="str">
        <f>IF('Summary | Sumário'!D6=Names!B3,Names!C19,Names!D19)</f>
        <v>1Q24</v>
      </c>
      <c r="W2" s="21" t="str">
        <f>IF('Summary | Sumário'!D6=Names!B3,Names!C20,Names!D20)</f>
        <v>2Q24</v>
      </c>
      <c r="X2" s="21" t="str">
        <f>IF('Summary | Sumário'!D6=Names!B3,Names!C21,Names!D21)</f>
        <v>3Q24</v>
      </c>
      <c r="Y2" s="21" t="str">
        <f>IF('Summary | Sumário'!D6=Names!B3,Names!C22,Names!D22)</f>
        <v>4Q24</v>
      </c>
      <c r="Z2" s="21" t="str">
        <f>IF('Summary | Sumário'!D6=Names!B3,Names!C24,Names!D24)</f>
        <v>1Q25</v>
      </c>
      <c r="AA2" s="21" t="str">
        <f>IF('Summary | Sumário'!D6=Names!B3,Names!C25,Names!D25)</f>
        <v>2Q25</v>
      </c>
      <c r="AB2" s="269" t="str">
        <f>IF('Summary | Sumário'!D6=Names!B3,Names!C26,Names!D26)</f>
        <v>3Q25</v>
      </c>
      <c r="AC2" s="321"/>
      <c r="AD2" s="104" t="str">
        <f>IF('Summary | Sumário'!$D$6=Names!$B$3,Names!$I$24,Names!$J$24)</f>
        <v>QoQ Variation</v>
      </c>
      <c r="AE2" s="104" t="str">
        <f>IF('Summary | Sumário'!$D$6=Names!$B$3,Names!$I$25,Names!$J$25)</f>
        <v>YoY Variation</v>
      </c>
      <c r="AF2" s="58"/>
      <c r="AG2" s="58"/>
      <c r="AH2" s="11"/>
      <c r="AJ2" s="12"/>
      <c r="AK2" s="13"/>
    </row>
    <row r="3" spans="1:37" ht="13" customHeight="1">
      <c r="B3" s="14"/>
      <c r="C3" s="126"/>
      <c r="D3" s="126"/>
      <c r="E3" s="126"/>
      <c r="F3" s="126"/>
      <c r="G3" s="126"/>
      <c r="H3" s="126"/>
      <c r="I3" s="321"/>
      <c r="J3" s="127"/>
      <c r="K3" s="127"/>
      <c r="L3" s="127"/>
      <c r="M3" s="127"/>
      <c r="N3" s="127"/>
      <c r="O3" s="127"/>
      <c r="P3" s="127"/>
      <c r="Q3" s="127"/>
      <c r="R3" s="127"/>
      <c r="S3" s="127"/>
      <c r="T3" s="127"/>
      <c r="U3" s="127"/>
      <c r="V3" s="127"/>
      <c r="W3" s="127"/>
      <c r="X3" s="127"/>
      <c r="Y3" s="127"/>
      <c r="Z3" s="127"/>
      <c r="AA3" s="120"/>
      <c r="AB3" s="120"/>
      <c r="AC3" s="120"/>
      <c r="AD3" s="120"/>
      <c r="AE3" s="120"/>
    </row>
    <row r="4" spans="1:37" ht="13" customHeight="1">
      <c r="B4" s="50" t="str">
        <f>IF('Summary | Sumário'!D$6=Names!B$3,Names!O31,Names!Z31)</f>
        <v>Interest income</v>
      </c>
      <c r="J4" s="335"/>
      <c r="K4" s="335"/>
      <c r="L4" s="335"/>
      <c r="M4" s="335"/>
      <c r="N4" s="335"/>
      <c r="O4" s="335"/>
      <c r="P4" s="335"/>
      <c r="Q4" s="335"/>
      <c r="R4" s="335"/>
      <c r="S4" s="335"/>
      <c r="T4" s="335"/>
      <c r="U4" s="335"/>
      <c r="V4" s="335"/>
      <c r="W4" s="335"/>
      <c r="X4" s="335"/>
      <c r="Y4" s="335"/>
      <c r="Z4" s="335"/>
      <c r="AA4" s="335"/>
      <c r="AB4" s="335"/>
      <c r="AC4" s="335"/>
      <c r="AD4" s="342"/>
      <c r="AE4" s="342"/>
    </row>
    <row r="5" spans="1:37" ht="13" customHeight="1">
      <c r="B5" s="271" t="str">
        <f>IF('Summary | Sumário'!D$6=Names!B$3,Names!O32,Names!Z32)</f>
        <v>Interest income</v>
      </c>
      <c r="C5" s="499">
        <v>775515</v>
      </c>
      <c r="D5" s="499">
        <v>942655.89517999999</v>
      </c>
      <c r="E5" s="499">
        <f>SUM(J5:M5)</f>
        <v>1435427.246</v>
      </c>
      <c r="F5" s="499">
        <f>SUM(N5:Q5)</f>
        <v>2802658.0819999999</v>
      </c>
      <c r="G5" s="499">
        <f>SUM(R5:U5)</f>
        <v>4549827</v>
      </c>
      <c r="H5" s="499">
        <f>SUM(V5:Y5)</f>
        <v>5139213.5399445314</v>
      </c>
      <c r="I5" s="226"/>
      <c r="J5" s="499">
        <v>289003.935</v>
      </c>
      <c r="K5" s="499">
        <v>305659.75100000005</v>
      </c>
      <c r="L5" s="499">
        <v>367405.88</v>
      </c>
      <c r="M5" s="499">
        <v>473357.68</v>
      </c>
      <c r="N5" s="499">
        <v>521159.63199999993</v>
      </c>
      <c r="O5" s="499">
        <v>622312.6370000001</v>
      </c>
      <c r="P5" s="499">
        <v>788342.73100000003</v>
      </c>
      <c r="Q5" s="499">
        <v>870843.08199999994</v>
      </c>
      <c r="R5" s="499">
        <v>1012926.822</v>
      </c>
      <c r="S5" s="499">
        <v>1151105</v>
      </c>
      <c r="T5" s="499">
        <v>1106935.08874</v>
      </c>
      <c r="U5" s="499">
        <v>1278860.08926</v>
      </c>
      <c r="V5" s="499">
        <v>1217530.9999999998</v>
      </c>
      <c r="W5" s="499">
        <v>1172415.139</v>
      </c>
      <c r="X5" s="499">
        <v>1412226.140133633</v>
      </c>
      <c r="Y5" s="499">
        <f>Y6+Y11+Y12+Y13</f>
        <v>1337041.2608108988</v>
      </c>
      <c r="Z5" s="499">
        <f>Z6+Z11+Z12+Z13</f>
        <v>1806870</v>
      </c>
      <c r="AA5" s="499">
        <f>AA6+AA11+AA12+AA13</f>
        <v>2128214</v>
      </c>
      <c r="AB5" s="499">
        <f>AB6+AB11+AB12+AB13</f>
        <v>2226423</v>
      </c>
      <c r="AC5" s="226"/>
      <c r="AD5" s="500">
        <f>AB5/AA5-1</f>
        <v>4.6146205221843317E-2</v>
      </c>
      <c r="AE5" s="500">
        <f>AB5/X5-1</f>
        <v>0.57653433591685466</v>
      </c>
    </row>
    <row r="6" spans="1:37" ht="13" customHeight="1">
      <c r="B6" s="17" t="str">
        <f>IF('Summary | Sumário'!D$6=Names!B$3,Names!O33,Names!Z33)</f>
        <v>Loans and advances to customers</v>
      </c>
      <c r="C6" s="226">
        <v>635873</v>
      </c>
      <c r="D6" s="226">
        <v>807878.44012000004</v>
      </c>
      <c r="E6" s="226">
        <f t="shared" ref="E6:E33" si="0">SUM(J6:M6)</f>
        <v>1330194.1980000001</v>
      </c>
      <c r="F6" s="226">
        <f t="shared" ref="F6:F33" si="1">SUM(N6:Q6)</f>
        <v>2465436.4588899999</v>
      </c>
      <c r="G6" s="226">
        <f t="shared" ref="G6:G33" si="2">SUM(R6:U6)</f>
        <v>3811788</v>
      </c>
      <c r="H6" s="226">
        <f t="shared" ref="H6:H33" si="3">SUM(V6:Y6)</f>
        <v>4166337.213918197</v>
      </c>
      <c r="I6" s="226"/>
      <c r="J6" s="226">
        <v>268003.20799999998</v>
      </c>
      <c r="K6" s="226">
        <v>292783.40600000002</v>
      </c>
      <c r="L6" s="226">
        <v>335179.73</v>
      </c>
      <c r="M6" s="226">
        <v>434227.85400000005</v>
      </c>
      <c r="N6" s="226">
        <v>465786.92129999999</v>
      </c>
      <c r="O6" s="226">
        <v>587035.16590000002</v>
      </c>
      <c r="P6" s="226">
        <v>672679.28999000008</v>
      </c>
      <c r="Q6" s="226">
        <v>739935.08169999998</v>
      </c>
      <c r="R6" s="226">
        <v>840890.87786000001</v>
      </c>
      <c r="S6" s="226">
        <v>976319.04593000002</v>
      </c>
      <c r="T6" s="226">
        <v>891716.27035000001</v>
      </c>
      <c r="U6" s="226">
        <v>1102861.8058600002</v>
      </c>
      <c r="V6" s="226">
        <v>1020891.12009</v>
      </c>
      <c r="W6" s="226">
        <v>992213.52389000007</v>
      </c>
      <c r="X6" s="226">
        <v>1161390.4944492984</v>
      </c>
      <c r="Y6" s="226">
        <v>991842.07548889867</v>
      </c>
      <c r="Z6" s="226">
        <v>1447891</v>
      </c>
      <c r="AA6" s="226">
        <v>1699765</v>
      </c>
      <c r="AB6" s="226">
        <v>1724773</v>
      </c>
      <c r="AC6" s="226"/>
      <c r="AD6" s="342">
        <f t="shared" ref="AD6:AD33" si="4">AB6/AA6-1</f>
        <v>1.4712622038928869E-2</v>
      </c>
      <c r="AE6" s="342">
        <f t="shared" ref="AE6:AE33" si="5">AB6/X6-1</f>
        <v>0.48509309163740255</v>
      </c>
    </row>
    <row r="7" spans="1:37" ht="13" customHeight="1">
      <c r="B7" s="99" t="str">
        <f>IF('Summary | Sumário'!D$6=Names!B$3,Names!O34,Names!Z34)</f>
        <v>Real Estate</v>
      </c>
      <c r="C7" s="230">
        <v>0</v>
      </c>
      <c r="D7" s="230">
        <v>435019.64619000006</v>
      </c>
      <c r="E7" s="230">
        <f t="shared" si="0"/>
        <v>579506.26199999999</v>
      </c>
      <c r="F7" s="230">
        <f t="shared" si="1"/>
        <v>714011.42595000006</v>
      </c>
      <c r="G7" s="230">
        <f t="shared" si="2"/>
        <v>925900</v>
      </c>
      <c r="H7" s="230">
        <f t="shared" si="3"/>
        <v>1080760.6800631299</v>
      </c>
      <c r="I7" s="226"/>
      <c r="J7" s="230">
        <v>139297.851</v>
      </c>
      <c r="K7" s="230">
        <v>136320.81899999999</v>
      </c>
      <c r="L7" s="230">
        <v>141281.71</v>
      </c>
      <c r="M7" s="230">
        <v>162605.88200000001</v>
      </c>
      <c r="N7" s="230">
        <v>163483.92470999999</v>
      </c>
      <c r="O7" s="230">
        <v>208572.24767999997</v>
      </c>
      <c r="P7" s="230">
        <v>169001.99365000005</v>
      </c>
      <c r="Q7" s="230">
        <v>172953.25990999999</v>
      </c>
      <c r="R7" s="230">
        <v>220549.84688</v>
      </c>
      <c r="S7" s="230">
        <v>230186.84327000001</v>
      </c>
      <c r="T7" s="230">
        <v>210305.65125</v>
      </c>
      <c r="U7" s="230">
        <v>264857.65859999997</v>
      </c>
      <c r="V7" s="230">
        <v>268726.12008999998</v>
      </c>
      <c r="W7" s="230">
        <v>266162.86888999998</v>
      </c>
      <c r="X7" s="230">
        <v>280656.44909697119</v>
      </c>
      <c r="Y7" s="230">
        <v>265215.24198615877</v>
      </c>
      <c r="Z7" s="230">
        <v>443469</v>
      </c>
      <c r="AA7" s="230">
        <v>507523</v>
      </c>
      <c r="AB7" s="230">
        <v>367166</v>
      </c>
      <c r="AC7" s="226"/>
      <c r="AD7" s="341">
        <f t="shared" si="4"/>
        <v>-0.27655298380566007</v>
      </c>
      <c r="AE7" s="341">
        <f t="shared" si="5"/>
        <v>0.30824002506045534</v>
      </c>
    </row>
    <row r="8" spans="1:37" ht="13" customHeight="1">
      <c r="B8" s="495" t="str">
        <f>IF('Summary | Sumário'!D$6=Names!B$3,Names!O35,Names!Z35)</f>
        <v>Personal</v>
      </c>
      <c r="C8" s="226">
        <v>0</v>
      </c>
      <c r="D8" s="226">
        <v>194589.16927000001</v>
      </c>
      <c r="E8" s="226">
        <f t="shared" si="0"/>
        <v>319455.67200000002</v>
      </c>
      <c r="F8" s="226">
        <f t="shared" si="1"/>
        <v>583197.69805000001</v>
      </c>
      <c r="G8" s="226">
        <f t="shared" si="2"/>
        <v>1117470</v>
      </c>
      <c r="H8" s="226">
        <f t="shared" si="3"/>
        <v>1040254.5429802999</v>
      </c>
      <c r="I8" s="226"/>
      <c r="J8" s="226">
        <v>63981.644999999997</v>
      </c>
      <c r="K8" s="226">
        <v>73178.934000000008</v>
      </c>
      <c r="L8" s="226">
        <v>85052.814000000013</v>
      </c>
      <c r="M8" s="226">
        <v>97242.27900000001</v>
      </c>
      <c r="N8" s="226">
        <v>108222.83400999999</v>
      </c>
      <c r="O8" s="226">
        <v>133460.16244000001</v>
      </c>
      <c r="P8" s="226">
        <v>159493.41924999998</v>
      </c>
      <c r="Q8" s="226">
        <v>182021.28234999996</v>
      </c>
      <c r="R8" s="226">
        <v>223476.20140999998</v>
      </c>
      <c r="S8" s="226">
        <v>318868.07952999993</v>
      </c>
      <c r="T8" s="226">
        <v>215827.96117000002</v>
      </c>
      <c r="U8" s="226">
        <v>359297.75789000001</v>
      </c>
      <c r="V8" s="226">
        <v>275126</v>
      </c>
      <c r="W8" s="226">
        <v>204785.36600000001</v>
      </c>
      <c r="X8" s="226">
        <v>355360.76014069101</v>
      </c>
      <c r="Y8" s="226">
        <v>204982.41683960881</v>
      </c>
      <c r="Z8" s="226">
        <v>473524</v>
      </c>
      <c r="AA8" s="226">
        <v>609166</v>
      </c>
      <c r="AB8" s="226">
        <v>662784</v>
      </c>
      <c r="AC8" s="226"/>
      <c r="AD8" s="342">
        <f t="shared" si="4"/>
        <v>8.8018700978058417E-2</v>
      </c>
      <c r="AE8" s="342">
        <f t="shared" si="5"/>
        <v>0.86510181860708801</v>
      </c>
    </row>
    <row r="9" spans="1:37" ht="13" customHeight="1">
      <c r="B9" s="99" t="str">
        <f>IF('Summary | Sumário'!D$6=Names!B$3,Names!O36,Names!Z36)</f>
        <v>SME</v>
      </c>
      <c r="C9" s="230">
        <v>0</v>
      </c>
      <c r="D9" s="230">
        <v>59990.754910000003</v>
      </c>
      <c r="E9" s="230">
        <f t="shared" si="0"/>
        <v>186131.85699999999</v>
      </c>
      <c r="F9" s="230">
        <f t="shared" si="1"/>
        <v>450650.24199999997</v>
      </c>
      <c r="G9" s="230">
        <f t="shared" si="2"/>
        <v>521929</v>
      </c>
      <c r="H9" s="230">
        <f t="shared" si="3"/>
        <v>567087.72747602698</v>
      </c>
      <c r="I9" s="226"/>
      <c r="J9" s="230">
        <v>20454.21</v>
      </c>
      <c r="K9" s="230">
        <v>37744.78</v>
      </c>
      <c r="L9" s="230">
        <v>42772.136999999988</v>
      </c>
      <c r="M9" s="230">
        <v>85160.73000000001</v>
      </c>
      <c r="N9" s="230">
        <v>84615.255999999994</v>
      </c>
      <c r="O9" s="230">
        <v>107134.802</v>
      </c>
      <c r="P9" s="230">
        <v>112397.92600000002</v>
      </c>
      <c r="Q9" s="230">
        <v>146502.258</v>
      </c>
      <c r="R9" s="230">
        <v>124265.87599999999</v>
      </c>
      <c r="S9" s="230">
        <v>120750</v>
      </c>
      <c r="T9" s="230">
        <v>131787.38165</v>
      </c>
      <c r="U9" s="230">
        <v>145125.74235000001</v>
      </c>
      <c r="V9" s="230">
        <v>124639</v>
      </c>
      <c r="W9" s="230">
        <v>152217.704</v>
      </c>
      <c r="X9" s="230">
        <v>145605.608548077</v>
      </c>
      <c r="Y9" s="230">
        <v>144625.41492794995</v>
      </c>
      <c r="Z9" s="230">
        <v>127223</v>
      </c>
      <c r="AA9" s="230">
        <v>136543</v>
      </c>
      <c r="AB9" s="230">
        <v>143359</v>
      </c>
      <c r="AC9" s="226"/>
      <c r="AD9" s="341">
        <f t="shared" si="4"/>
        <v>4.9918340742476808E-2</v>
      </c>
      <c r="AE9" s="341">
        <f t="shared" si="5"/>
        <v>-1.5429409419591145E-2</v>
      </c>
    </row>
    <row r="10" spans="1:37" ht="13" customHeight="1">
      <c r="B10" s="495" t="str">
        <f>IF('Summary | Sumário'!D$6=Names!B$3,Names!O37,Names!Z37)</f>
        <v>Credit Cards</v>
      </c>
      <c r="C10" s="226">
        <v>0</v>
      </c>
      <c r="D10" s="226">
        <v>118278.86974999998</v>
      </c>
      <c r="E10" s="226">
        <f t="shared" si="0"/>
        <v>245100.40700000001</v>
      </c>
      <c r="F10" s="226">
        <f t="shared" si="1"/>
        <v>717577.09288999997</v>
      </c>
      <c r="G10" s="226">
        <f t="shared" si="2"/>
        <v>1246489</v>
      </c>
      <c r="H10" s="226">
        <f t="shared" si="3"/>
        <v>1478234.26339874</v>
      </c>
      <c r="I10" s="226"/>
      <c r="J10" s="226">
        <v>44269.502</v>
      </c>
      <c r="K10" s="226">
        <v>45538.873</v>
      </c>
      <c r="L10" s="226">
        <v>66073.068999999989</v>
      </c>
      <c r="M10" s="226">
        <v>89218.963000000018</v>
      </c>
      <c r="N10" s="226">
        <v>109464.90658000001</v>
      </c>
      <c r="O10" s="226">
        <v>137867.95378000001</v>
      </c>
      <c r="P10" s="226">
        <v>231785.95109000002</v>
      </c>
      <c r="Q10" s="226">
        <v>238458.28143999999</v>
      </c>
      <c r="R10" s="226">
        <v>272598.95357000001</v>
      </c>
      <c r="S10" s="226">
        <v>306514.12313000002</v>
      </c>
      <c r="T10" s="226">
        <v>333795.27627999999</v>
      </c>
      <c r="U10" s="226">
        <v>333580.64701999992</v>
      </c>
      <c r="V10" s="226">
        <v>352400</v>
      </c>
      <c r="W10" s="226">
        <v>369047.58500000002</v>
      </c>
      <c r="X10" s="226">
        <v>379767.67666355905</v>
      </c>
      <c r="Y10" s="226">
        <v>377019.00173518108</v>
      </c>
      <c r="Z10" s="226">
        <v>403675</v>
      </c>
      <c r="AA10" s="226">
        <v>446533</v>
      </c>
      <c r="AB10" s="226">
        <v>551464</v>
      </c>
      <c r="AC10" s="226"/>
      <c r="AD10" s="342">
        <f t="shared" si="4"/>
        <v>0.23499047102901693</v>
      </c>
      <c r="AE10" s="342">
        <f t="shared" si="5"/>
        <v>0.45210883886926712</v>
      </c>
    </row>
    <row r="11" spans="1:37" ht="13" customHeight="1">
      <c r="B11" s="100" t="str">
        <f>IF('Summary | Sumário'!D$6=Names!B$3,Names!O45,Names!Z45)</f>
        <v>Prepayment of receivables</v>
      </c>
      <c r="C11" s="230">
        <v>0</v>
      </c>
      <c r="D11" s="230">
        <v>793.77571</v>
      </c>
      <c r="E11" s="230">
        <f t="shared" si="0"/>
        <v>12540.518</v>
      </c>
      <c r="F11" s="230">
        <f t="shared" si="1"/>
        <v>101704.27800000001</v>
      </c>
      <c r="G11" s="230">
        <f t="shared" si="2"/>
        <v>242443</v>
      </c>
      <c r="H11" s="230">
        <f t="shared" si="3"/>
        <v>418724.30605999997</v>
      </c>
      <c r="I11" s="226"/>
      <c r="J11" s="230">
        <v>2554.556</v>
      </c>
      <c r="K11" s="230">
        <v>2758.1950000000002</v>
      </c>
      <c r="L11" s="230">
        <v>1333.1729999999998</v>
      </c>
      <c r="M11" s="230">
        <v>5894.594000000001</v>
      </c>
      <c r="N11" s="230">
        <v>5242.8329999999996</v>
      </c>
      <c r="O11" s="230">
        <v>17718.065000000002</v>
      </c>
      <c r="P11" s="230">
        <v>32903.998999999996</v>
      </c>
      <c r="Q11" s="230">
        <v>45839.381000000008</v>
      </c>
      <c r="R11" s="230">
        <v>64806.196000000004</v>
      </c>
      <c r="S11" s="230">
        <v>59977</v>
      </c>
      <c r="T11" s="230">
        <v>60383</v>
      </c>
      <c r="U11" s="230">
        <v>57276.804000000004</v>
      </c>
      <c r="V11" s="230">
        <v>59662</v>
      </c>
      <c r="W11" s="230">
        <v>53645.453999999998</v>
      </c>
      <c r="X11" s="230">
        <v>136932.53951</v>
      </c>
      <c r="Y11" s="230">
        <v>168484.31254999997</v>
      </c>
      <c r="Z11" s="230">
        <v>240697</v>
      </c>
      <c r="AA11" s="230">
        <v>246467</v>
      </c>
      <c r="AB11" s="230">
        <v>163154</v>
      </c>
      <c r="AC11" s="226"/>
      <c r="AD11" s="341">
        <f t="shared" si="4"/>
        <v>-0.33802902619823338</v>
      </c>
      <c r="AE11" s="341">
        <f t="shared" si="5"/>
        <v>0.19149181475660204</v>
      </c>
    </row>
    <row r="12" spans="1:37" ht="13" customHeight="1">
      <c r="B12" s="496" t="str">
        <f>IF('Summary | Sumário'!D$6=Names!B$3,Names!O39,Names!Z39)</f>
        <v>Amounts due from financial institutions</v>
      </c>
      <c r="C12" s="226">
        <v>139642</v>
      </c>
      <c r="D12" s="226">
        <v>126619</v>
      </c>
      <c r="E12" s="226">
        <f t="shared" si="0"/>
        <v>71106.437999999995</v>
      </c>
      <c r="F12" s="226">
        <f t="shared" si="1"/>
        <v>221136.43900000001</v>
      </c>
      <c r="G12" s="226">
        <f t="shared" si="2"/>
        <v>497054</v>
      </c>
      <c r="H12" s="226">
        <f t="shared" si="3"/>
        <v>338955.05183999997</v>
      </c>
      <c r="I12" s="226"/>
      <c r="J12" s="226">
        <v>14427.704</v>
      </c>
      <c r="K12" s="226">
        <v>7946.8799999999992</v>
      </c>
      <c r="L12" s="226">
        <v>24631.656000000003</v>
      </c>
      <c r="M12" s="226">
        <v>24100.197999999997</v>
      </c>
      <c r="N12" s="226">
        <v>30138.153999999999</v>
      </c>
      <c r="O12" s="226">
        <v>31814.657000000003</v>
      </c>
      <c r="P12" s="226">
        <v>78399.862000000008</v>
      </c>
      <c r="Q12" s="226">
        <v>80783.765999999989</v>
      </c>
      <c r="R12" s="226">
        <v>97468.479000000007</v>
      </c>
      <c r="S12" s="226">
        <v>114751</v>
      </c>
      <c r="T12" s="226">
        <v>147490</v>
      </c>
      <c r="U12" s="226">
        <v>137344.52100000001</v>
      </c>
      <c r="V12" s="226">
        <v>117428</v>
      </c>
      <c r="W12" s="226">
        <v>99401.437999999995</v>
      </c>
      <c r="X12" s="226">
        <v>71615.8989899999</v>
      </c>
      <c r="Y12" s="226">
        <v>50509.714850000106</v>
      </c>
      <c r="Z12" s="226">
        <v>31738</v>
      </c>
      <c r="AA12" s="226">
        <v>65647</v>
      </c>
      <c r="AB12" s="226">
        <v>170971</v>
      </c>
      <c r="AC12" s="226"/>
      <c r="AD12" s="342">
        <f t="shared" si="4"/>
        <v>1.6043992870961352</v>
      </c>
      <c r="AE12" s="342">
        <f t="shared" si="5"/>
        <v>1.3873330141938673</v>
      </c>
      <c r="AF12" s="149"/>
      <c r="AG12" s="149"/>
    </row>
    <row r="13" spans="1:37" ht="13" customHeight="1">
      <c r="A13" s="211"/>
      <c r="B13" s="100" t="str">
        <f>IF('Summary | Sumário'!D$6=Names!B$3,Names!O41,Names!Z41)</f>
        <v xml:space="preserve">Others </v>
      </c>
      <c r="C13" s="230">
        <v>0</v>
      </c>
      <c r="D13" s="230">
        <v>7364.6793500000003</v>
      </c>
      <c r="E13" s="230">
        <f t="shared" si="0"/>
        <v>21586.092000000001</v>
      </c>
      <c r="F13" s="230">
        <f t="shared" si="1"/>
        <v>14380.906110000018</v>
      </c>
      <c r="G13" s="230">
        <f t="shared" si="2"/>
        <v>-1458</v>
      </c>
      <c r="H13" s="230">
        <f t="shared" si="3"/>
        <v>215195.96812633501</v>
      </c>
      <c r="I13" s="226"/>
      <c r="J13" s="230">
        <v>4018.4669999999996</v>
      </c>
      <c r="K13" s="230">
        <v>2171.27</v>
      </c>
      <c r="L13" s="230">
        <v>6261.3210000000008</v>
      </c>
      <c r="M13" s="230">
        <v>9135.0339999999997</v>
      </c>
      <c r="N13" s="230">
        <v>19991.723699999999</v>
      </c>
      <c r="O13" s="230">
        <v>-14255.250899999999</v>
      </c>
      <c r="P13" s="230">
        <v>4359.5800100000197</v>
      </c>
      <c r="Q13" s="230">
        <v>4284.8532999999998</v>
      </c>
      <c r="R13" s="230">
        <v>9761.2691400000203</v>
      </c>
      <c r="S13" s="230">
        <v>57.954070000036197</v>
      </c>
      <c r="T13" s="230">
        <v>7345.8183899999603</v>
      </c>
      <c r="U13" s="230">
        <v>-18623.041600000019</v>
      </c>
      <c r="V13" s="230">
        <v>19548.879910000003</v>
      </c>
      <c r="W13" s="230">
        <v>27154.723109999999</v>
      </c>
      <c r="X13" s="230">
        <v>42287.207184334788</v>
      </c>
      <c r="Y13" s="230">
        <v>126205.15792200022</v>
      </c>
      <c r="Z13" s="230">
        <v>86544</v>
      </c>
      <c r="AA13" s="230">
        <v>116335</v>
      </c>
      <c r="AB13" s="230">
        <v>167525</v>
      </c>
      <c r="AC13" s="226"/>
      <c r="AD13" s="341">
        <f t="shared" si="4"/>
        <v>0.44002234925001082</v>
      </c>
      <c r="AE13" s="341">
        <f t="shared" si="5"/>
        <v>2.961600000438414</v>
      </c>
      <c r="AF13" s="149"/>
      <c r="AG13" s="149"/>
      <c r="AH13" s="208"/>
    </row>
    <row r="14" spans="1:37" ht="13" customHeight="1">
      <c r="B14" s="16" t="str">
        <f>IF('Summary | Sumário'!D$6=Names!B$3,Names!O42,Names!Z42)</f>
        <v>Interest expenses</v>
      </c>
      <c r="C14" s="226">
        <v>-256717</v>
      </c>
      <c r="D14" s="226">
        <v>-184335</v>
      </c>
      <c r="E14" s="226">
        <f t="shared" si="0"/>
        <v>-543242</v>
      </c>
      <c r="F14" s="226">
        <f t="shared" si="1"/>
        <v>-1972850</v>
      </c>
      <c r="G14" s="226">
        <f t="shared" si="2"/>
        <v>-2887573.0049999999</v>
      </c>
      <c r="H14" s="226">
        <f t="shared" si="3"/>
        <v>-3311638.4190579997</v>
      </c>
      <c r="I14" s="226"/>
      <c r="J14" s="226">
        <v>-65559</v>
      </c>
      <c r="K14" s="226">
        <v>-86261</v>
      </c>
      <c r="L14" s="226">
        <v>-138587</v>
      </c>
      <c r="M14" s="226">
        <v>-252835</v>
      </c>
      <c r="N14" s="226">
        <v>-336771</v>
      </c>
      <c r="O14" s="226">
        <v>-465041</v>
      </c>
      <c r="P14" s="226">
        <v>-579678</v>
      </c>
      <c r="Q14" s="226">
        <v>-591360</v>
      </c>
      <c r="R14" s="226">
        <v>-672771</v>
      </c>
      <c r="S14" s="226">
        <v>-692206</v>
      </c>
      <c r="T14" s="226">
        <v>-770398</v>
      </c>
      <c r="U14" s="226">
        <v>-752198.00500000012</v>
      </c>
      <c r="V14" s="226">
        <v>-762246.89030000009</v>
      </c>
      <c r="W14" s="226">
        <v>-772642.60900000005</v>
      </c>
      <c r="X14" s="226">
        <v>-835616.71799999999</v>
      </c>
      <c r="Y14" s="226">
        <v>-941132.20175799984</v>
      </c>
      <c r="Z14" s="226">
        <v>-1179020</v>
      </c>
      <c r="AA14" s="226">
        <v>-1423958</v>
      </c>
      <c r="AB14" s="226">
        <v>-1653759</v>
      </c>
      <c r="AC14" s="226"/>
      <c r="AD14" s="342">
        <f t="shared" si="4"/>
        <v>0.16138186659999798</v>
      </c>
      <c r="AE14" s="342">
        <f t="shared" si="5"/>
        <v>0.97908797703111539</v>
      </c>
      <c r="AF14" s="149"/>
      <c r="AG14" s="149"/>
    </row>
    <row r="15" spans="1:37" ht="13" customHeight="1">
      <c r="B15" s="100" t="str">
        <f>IF('Summary | Sumário'!D$6=Names!B$3,Names!O51,Names!Z51)</f>
        <v>Term deposits</v>
      </c>
      <c r="C15" s="230">
        <v>0</v>
      </c>
      <c r="D15" s="230">
        <v>-93319</v>
      </c>
      <c r="E15" s="230">
        <f t="shared" si="0"/>
        <v>-274240.897</v>
      </c>
      <c r="F15" s="230">
        <f t="shared" si="1"/>
        <v>-1028816.8320000001</v>
      </c>
      <c r="G15" s="230">
        <f t="shared" si="2"/>
        <v>-1631470</v>
      </c>
      <c r="H15" s="230">
        <f t="shared" si="3"/>
        <v>-1994190.6705399998</v>
      </c>
      <c r="I15" s="226"/>
      <c r="J15" s="230">
        <v>-25065.286</v>
      </c>
      <c r="K15" s="230">
        <v>-45288.006000000001</v>
      </c>
      <c r="L15" s="230">
        <v>-78002.811000000016</v>
      </c>
      <c r="M15" s="230">
        <v>-125884.79399999999</v>
      </c>
      <c r="N15" s="230">
        <v>-177604.02900000001</v>
      </c>
      <c r="O15" s="230">
        <v>-239713.47799999997</v>
      </c>
      <c r="P15" s="230">
        <v>-301469.19900000002</v>
      </c>
      <c r="Q15" s="230">
        <v>-310030.12600000005</v>
      </c>
      <c r="R15" s="230">
        <v>-354160.50099999999</v>
      </c>
      <c r="S15" s="230">
        <v>-382393</v>
      </c>
      <c r="T15" s="230">
        <v>-448514</v>
      </c>
      <c r="U15" s="230">
        <v>-446402.49900000007</v>
      </c>
      <c r="V15" s="230">
        <v>-432672.71377999999</v>
      </c>
      <c r="W15" s="230">
        <v>-447290.62900000002</v>
      </c>
      <c r="X15" s="230">
        <v>-523227.49734</v>
      </c>
      <c r="Y15" s="230">
        <v>-590999.83041999978</v>
      </c>
      <c r="Z15" s="230">
        <v>-697806</v>
      </c>
      <c r="AA15" s="230">
        <v>-855437</v>
      </c>
      <c r="AB15" s="230">
        <v>-1075663</v>
      </c>
      <c r="AC15" s="226"/>
      <c r="AD15" s="341">
        <f t="shared" si="4"/>
        <v>0.25744268718795182</v>
      </c>
      <c r="AE15" s="341">
        <f t="shared" si="5"/>
        <v>1.0558227644160305</v>
      </c>
      <c r="AF15" s="149"/>
      <c r="AG15" s="149"/>
    </row>
    <row r="16" spans="1:37" ht="13" customHeight="1">
      <c r="B16" s="739" t="str">
        <f>IF('Summary | Sumário'!D$6=Names!B$3,Names!O52,Names!Z52)</f>
        <v>Funding in the open market</v>
      </c>
      <c r="C16" s="226">
        <v>0</v>
      </c>
      <c r="D16" s="226">
        <v>-73597</v>
      </c>
      <c r="E16" s="226">
        <v>-231246.83100000001</v>
      </c>
      <c r="F16" s="226">
        <v>-760511.01899999997</v>
      </c>
      <c r="G16" s="226">
        <v>-1016636</v>
      </c>
      <c r="H16" s="226">
        <v>-1044915.60173</v>
      </c>
      <c r="I16" s="226"/>
      <c r="J16" s="226">
        <v>-34710.417999999998</v>
      </c>
      <c r="K16" s="226">
        <v>-35918.767</v>
      </c>
      <c r="L16" s="226">
        <v>-54855.176000000014</v>
      </c>
      <c r="M16" s="226">
        <v>-105762.47</v>
      </c>
      <c r="N16" s="226">
        <v>-137379.93400000001</v>
      </c>
      <c r="O16" s="226">
        <v>-201195.05099999998</v>
      </c>
      <c r="P16" s="226">
        <v>-197029.07000000007</v>
      </c>
      <c r="Q16" s="226">
        <v>-224906.96399999992</v>
      </c>
      <c r="R16" s="226">
        <v>-271695.08500000002</v>
      </c>
      <c r="S16" s="226">
        <v>-260418</v>
      </c>
      <c r="T16" s="226">
        <v>-247243</v>
      </c>
      <c r="U16" s="226">
        <v>-237279.91500000004</v>
      </c>
      <c r="V16" s="226">
        <v>-248176.12664000003</v>
      </c>
      <c r="W16" s="226">
        <v>-238003.67300000001</v>
      </c>
      <c r="X16" s="226">
        <v>-265782.21307</v>
      </c>
      <c r="Y16" s="226">
        <v>-292953.58901999996</v>
      </c>
      <c r="Z16" s="226">
        <v>-388645</v>
      </c>
      <c r="AA16" s="226">
        <v>-464565</v>
      </c>
      <c r="AB16" s="226">
        <v>-522552</v>
      </c>
      <c r="AC16" s="226"/>
      <c r="AD16" s="342">
        <f t="shared" si="4"/>
        <v>0.12481999289658074</v>
      </c>
      <c r="AE16" s="342">
        <f t="shared" si="5"/>
        <v>0.96609093574811067</v>
      </c>
      <c r="AF16" s="149"/>
      <c r="AG16" s="149"/>
    </row>
    <row r="17" spans="2:33" ht="13" customHeight="1">
      <c r="B17" s="100" t="str">
        <f>IF('Summary | Sumário'!D$6=Names!B$3,Names!O53,Names!Z53)</f>
        <v>Financial institutions deposits</v>
      </c>
      <c r="C17" s="230">
        <v>0</v>
      </c>
      <c r="D17" s="230">
        <v>-5056</v>
      </c>
      <c r="E17" s="230">
        <f t="shared" si="0"/>
        <v>-8022.165</v>
      </c>
      <c r="F17" s="230">
        <f t="shared" si="1"/>
        <v>-35469.398000000001</v>
      </c>
      <c r="G17" s="230">
        <f t="shared" si="2"/>
        <v>-131020</v>
      </c>
      <c r="H17" s="230">
        <f t="shared" si="3"/>
        <v>-98169.822</v>
      </c>
      <c r="I17" s="226"/>
      <c r="J17" s="230">
        <v>-217.92599999999999</v>
      </c>
      <c r="K17" s="230">
        <v>-795.05899999999997</v>
      </c>
      <c r="L17" s="230">
        <v>-2778.3970000000004</v>
      </c>
      <c r="M17" s="230">
        <v>-4230.7829999999994</v>
      </c>
      <c r="N17" s="230">
        <v>-3835.453</v>
      </c>
      <c r="O17" s="230">
        <v>-3359.3799999999997</v>
      </c>
      <c r="P17" s="230">
        <v>-7428.7410000000018</v>
      </c>
      <c r="Q17" s="230">
        <v>-20845.823999999997</v>
      </c>
      <c r="R17" s="230">
        <v>-22276.928</v>
      </c>
      <c r="S17" s="230">
        <v>-24105</v>
      </c>
      <c r="T17" s="230">
        <v>-42409</v>
      </c>
      <c r="U17" s="230">
        <v>-42229.072</v>
      </c>
      <c r="V17" s="230">
        <v>-42891.585159999995</v>
      </c>
      <c r="W17" s="230">
        <v>-42552.305</v>
      </c>
      <c r="X17" s="230">
        <v>-4549.9069599999893</v>
      </c>
      <c r="Y17" s="230">
        <v>-8176.0248800000118</v>
      </c>
      <c r="Z17" s="230">
        <v>-15239</v>
      </c>
      <c r="AA17" s="230">
        <v>-17627</v>
      </c>
      <c r="AB17" s="230">
        <v>-2269</v>
      </c>
      <c r="AC17" s="226"/>
      <c r="AD17" s="341">
        <f t="shared" si="4"/>
        <v>-0.87127701821069947</v>
      </c>
      <c r="AE17" s="341">
        <f t="shared" si="5"/>
        <v>-0.5013084838991948</v>
      </c>
      <c r="AF17" s="149"/>
      <c r="AG17" s="149"/>
    </row>
    <row r="18" spans="2:33" ht="13" customHeight="1">
      <c r="B18" s="739" t="str">
        <f>IF('Summary | Sumário'!D$6=Names!B$3,Names!O54,Names!Z54)</f>
        <v>Savings</v>
      </c>
      <c r="C18" s="226">
        <v>0</v>
      </c>
      <c r="D18" s="226">
        <v>-8745</v>
      </c>
      <c r="E18" s="226">
        <f t="shared" si="0"/>
        <v>-25639.774000000001</v>
      </c>
      <c r="F18" s="226">
        <f t="shared" si="1"/>
        <v>-80993.372000000003</v>
      </c>
      <c r="G18" s="226">
        <f t="shared" si="2"/>
        <v>-91926</v>
      </c>
      <c r="H18" s="226">
        <f t="shared" si="3"/>
        <v>-102935.47100000001</v>
      </c>
      <c r="I18" s="226"/>
      <c r="J18" s="226">
        <v>-2737.674</v>
      </c>
      <c r="K18" s="226">
        <v>-4166.7550000000001</v>
      </c>
      <c r="L18" s="226">
        <v>-7301.5100000000011</v>
      </c>
      <c r="M18" s="226">
        <v>-11433.834999999999</v>
      </c>
      <c r="N18" s="226">
        <v>-17702.957999999999</v>
      </c>
      <c r="O18" s="226">
        <v>-19864.777000000002</v>
      </c>
      <c r="P18" s="226">
        <v>-21620.343000000001</v>
      </c>
      <c r="Q18" s="226">
        <v>-21805.294000000002</v>
      </c>
      <c r="R18" s="226">
        <v>-22812.173999999999</v>
      </c>
      <c r="S18" s="226">
        <v>-22937</v>
      </c>
      <c r="T18" s="226">
        <v>-24012</v>
      </c>
      <c r="U18" s="226">
        <v>-22164.826000000001</v>
      </c>
      <c r="V18" s="226">
        <v>-23452.67596</v>
      </c>
      <c r="W18" s="226">
        <v>-24598.885999999999</v>
      </c>
      <c r="X18" s="226">
        <v>-26986.819460000002</v>
      </c>
      <c r="Y18" s="226">
        <v>-27897.08958</v>
      </c>
      <c r="Z18" s="226">
        <v>-30306</v>
      </c>
      <c r="AA18" s="226">
        <v>-30809</v>
      </c>
      <c r="AB18" s="226">
        <v>-31005</v>
      </c>
      <c r="AC18" s="226"/>
      <c r="AD18" s="342">
        <f t="shared" si="4"/>
        <v>6.3617774027069363E-3</v>
      </c>
      <c r="AE18" s="342">
        <f t="shared" si="5"/>
        <v>0.14889418688096101</v>
      </c>
      <c r="AF18" s="149"/>
      <c r="AG18" s="149"/>
    </row>
    <row r="19" spans="2:33" ht="13" customHeight="1">
      <c r="B19" s="100" t="str">
        <f>IF('Summary | Sumário'!D$6=Names!B$3,Names!O55,Names!Z55)</f>
        <v xml:space="preserve">Others </v>
      </c>
      <c r="C19" s="230">
        <v>0</v>
      </c>
      <c r="D19" s="230">
        <v>7364.6793500000003</v>
      </c>
      <c r="E19" s="230">
        <f t="shared" si="0"/>
        <v>21586.092000000001</v>
      </c>
      <c r="F19" s="230">
        <f t="shared" si="1"/>
        <v>14380.906110000018</v>
      </c>
      <c r="G19" s="230">
        <f t="shared" si="2"/>
        <v>-1458</v>
      </c>
      <c r="H19" s="230">
        <f t="shared" si="3"/>
        <v>215195.96812633501</v>
      </c>
      <c r="I19" s="226"/>
      <c r="J19" s="230">
        <v>4018.4669999999996</v>
      </c>
      <c r="K19" s="230">
        <v>2171.27</v>
      </c>
      <c r="L19" s="230">
        <v>6261.3210000000008</v>
      </c>
      <c r="M19" s="230">
        <v>9135.0339999999997</v>
      </c>
      <c r="N19" s="230">
        <v>19991.723699999999</v>
      </c>
      <c r="O19" s="230">
        <v>-14255.250899999999</v>
      </c>
      <c r="P19" s="230">
        <v>4359.5800100000197</v>
      </c>
      <c r="Q19" s="230">
        <v>4284.8532999999998</v>
      </c>
      <c r="R19" s="230">
        <v>9761.2691400000203</v>
      </c>
      <c r="S19" s="230">
        <v>57.954070000036197</v>
      </c>
      <c r="T19" s="230">
        <v>7345.8183899999603</v>
      </c>
      <c r="U19" s="230">
        <v>-18623.041600000019</v>
      </c>
      <c r="V19" s="230">
        <v>19548.879910000003</v>
      </c>
      <c r="W19" s="230">
        <v>27154.723109999999</v>
      </c>
      <c r="X19" s="230">
        <v>42287.207184334788</v>
      </c>
      <c r="Y19" s="230">
        <v>126205.15792200022</v>
      </c>
      <c r="Z19" s="230">
        <v>86544</v>
      </c>
      <c r="AA19" s="230">
        <v>116335</v>
      </c>
      <c r="AB19" s="230">
        <v>167525</v>
      </c>
      <c r="AC19" s="226"/>
      <c r="AD19" s="341">
        <f t="shared" si="4"/>
        <v>0.44002234925001082</v>
      </c>
      <c r="AE19" s="341">
        <f t="shared" si="5"/>
        <v>2.961600000438414</v>
      </c>
      <c r="AF19" s="149"/>
      <c r="AG19" s="149"/>
    </row>
    <row r="20" spans="2:33" ht="13" customHeight="1">
      <c r="B20" s="16" t="str">
        <f>IF('Summary | Sumário'!D$6=Names!B$3,Names!O56,Names!Z56)</f>
        <v>Income from securities, derivatives and foreign exchange</v>
      </c>
      <c r="C20" s="226">
        <v>72729</v>
      </c>
      <c r="D20" s="226">
        <v>-25040</v>
      </c>
      <c r="E20" s="226">
        <f t="shared" si="0"/>
        <v>721949.66599999997</v>
      </c>
      <c r="F20" s="226">
        <f t="shared" si="1"/>
        <v>1605401.1030000001</v>
      </c>
      <c r="G20" s="226">
        <f t="shared" si="2"/>
        <v>1634543</v>
      </c>
      <c r="H20" s="226">
        <f t="shared" si="3"/>
        <v>2629169.8130000001</v>
      </c>
      <c r="I20" s="226"/>
      <c r="J20" s="226">
        <v>74012.403999999995</v>
      </c>
      <c r="K20" s="226">
        <v>89585.596000000005</v>
      </c>
      <c r="L20" s="226">
        <v>224342</v>
      </c>
      <c r="M20" s="226">
        <v>334009.66600000003</v>
      </c>
      <c r="N20" s="226">
        <v>376055.38300000003</v>
      </c>
      <c r="O20" s="226">
        <v>429378.674</v>
      </c>
      <c r="P20" s="226">
        <v>378059.73599999998</v>
      </c>
      <c r="Q20" s="226">
        <v>421907.31</v>
      </c>
      <c r="R20" s="226">
        <v>386325.30200000003</v>
      </c>
      <c r="S20" s="226">
        <v>369367</v>
      </c>
      <c r="T20" s="226">
        <v>508679.01922000002</v>
      </c>
      <c r="U20" s="226">
        <v>370171.67877999996</v>
      </c>
      <c r="V20" s="226">
        <v>537136.61082000006</v>
      </c>
      <c r="W20" s="226">
        <v>642093.19580384996</v>
      </c>
      <c r="X20" s="226">
        <v>587740.70944000012</v>
      </c>
      <c r="Y20" s="226">
        <v>862199.29693614994</v>
      </c>
      <c r="Z20" s="226">
        <v>734744.3</v>
      </c>
      <c r="AA20" s="226">
        <v>765251</v>
      </c>
      <c r="AB20" s="226">
        <v>1050027</v>
      </c>
      <c r="AC20" s="226"/>
      <c r="AD20" s="342">
        <f t="shared" si="4"/>
        <v>0.37213411024618059</v>
      </c>
      <c r="AE20" s="342">
        <f t="shared" si="5"/>
        <v>0.78654801876913827</v>
      </c>
      <c r="AF20" s="149"/>
      <c r="AG20" s="149"/>
    </row>
    <row r="21" spans="2:33" ht="13" customHeight="1">
      <c r="B21" s="100" t="str">
        <f>IF('Summary | Sumário'!D$6=Names!B$3,Names!O57,Names!Z57)</f>
        <v>Income from securities</v>
      </c>
      <c r="C21" s="230">
        <v>62518</v>
      </c>
      <c r="D21" s="230">
        <v>12060</v>
      </c>
      <c r="E21" s="230">
        <f t="shared" si="0"/>
        <v>745613</v>
      </c>
      <c r="F21" s="230">
        <f t="shared" si="1"/>
        <v>1471737</v>
      </c>
      <c r="G21" s="230">
        <f t="shared" si="2"/>
        <v>1615108</v>
      </c>
      <c r="H21" s="230">
        <f t="shared" si="3"/>
        <v>2007869.4701800002</v>
      </c>
      <c r="I21" s="226"/>
      <c r="J21" s="230">
        <v>88068</v>
      </c>
      <c r="K21" s="230">
        <v>106662</v>
      </c>
      <c r="L21" s="230">
        <v>228420</v>
      </c>
      <c r="M21" s="230">
        <v>322463</v>
      </c>
      <c r="N21" s="230">
        <v>348013</v>
      </c>
      <c r="O21" s="230">
        <v>406846</v>
      </c>
      <c r="P21" s="230">
        <v>340982</v>
      </c>
      <c r="Q21" s="230">
        <v>375896</v>
      </c>
      <c r="R21" s="230">
        <v>370924</v>
      </c>
      <c r="S21" s="230">
        <v>402038</v>
      </c>
      <c r="T21" s="230">
        <v>417887</v>
      </c>
      <c r="U21" s="230">
        <v>424259</v>
      </c>
      <c r="V21" s="230">
        <v>446719</v>
      </c>
      <c r="W21" s="230">
        <v>456585.37339384999</v>
      </c>
      <c r="X21" s="230">
        <v>513731</v>
      </c>
      <c r="Y21" s="230">
        <v>590834.09678615024</v>
      </c>
      <c r="Z21" s="230">
        <v>737446</v>
      </c>
      <c r="AA21" s="230">
        <v>802844</v>
      </c>
      <c r="AB21" s="230">
        <v>832987</v>
      </c>
      <c r="AC21" s="226"/>
      <c r="AD21" s="341">
        <f t="shared" si="4"/>
        <v>3.7545276541893546E-2</v>
      </c>
      <c r="AE21" s="341">
        <f t="shared" si="5"/>
        <v>0.6214458539585892</v>
      </c>
      <c r="AF21" s="149"/>
      <c r="AG21" s="149"/>
    </row>
    <row r="22" spans="2:33" ht="13" customHeight="1">
      <c r="B22" s="495" t="str">
        <f>IF('Summary | Sumário'!D$6=Names!B$3,Names!O58,Names!Z58)</f>
        <v>Fair value throught other comprehensive income</v>
      </c>
      <c r="C22" s="226">
        <v>49230</v>
      </c>
      <c r="D22" s="226">
        <v>-7110</v>
      </c>
      <c r="E22" s="226">
        <f t="shared" si="0"/>
        <v>660584</v>
      </c>
      <c r="F22" s="226">
        <f t="shared" si="1"/>
        <v>1100970</v>
      </c>
      <c r="G22" s="226">
        <f t="shared" si="2"/>
        <v>1284794</v>
      </c>
      <c r="H22" s="226">
        <f t="shared" si="3"/>
        <v>1671055.76951</v>
      </c>
      <c r="I22" s="226"/>
      <c r="J22" s="226">
        <v>82568</v>
      </c>
      <c r="K22" s="226">
        <v>86703</v>
      </c>
      <c r="L22" s="226">
        <v>221395</v>
      </c>
      <c r="M22" s="226">
        <v>269918</v>
      </c>
      <c r="N22" s="226">
        <v>272383</v>
      </c>
      <c r="O22" s="226">
        <v>328769</v>
      </c>
      <c r="P22" s="226">
        <v>217653</v>
      </c>
      <c r="Q22" s="226">
        <v>282165</v>
      </c>
      <c r="R22" s="226">
        <v>288695</v>
      </c>
      <c r="S22" s="226">
        <v>295458</v>
      </c>
      <c r="T22" s="226">
        <v>333051</v>
      </c>
      <c r="U22" s="226">
        <v>367590</v>
      </c>
      <c r="V22" s="226">
        <v>380391.57521807228</v>
      </c>
      <c r="W22" s="226">
        <v>381322.39837999997</v>
      </c>
      <c r="X22" s="226">
        <v>406807.95432000002</v>
      </c>
      <c r="Y22" s="226">
        <v>502533.84159192769</v>
      </c>
      <c r="Z22" s="226">
        <v>611742</v>
      </c>
      <c r="AA22" s="226">
        <v>687623</v>
      </c>
      <c r="AB22" s="226">
        <v>693041</v>
      </c>
      <c r="AC22" s="226"/>
      <c r="AD22" s="342">
        <f t="shared" si="4"/>
        <v>7.8793175911799906E-3</v>
      </c>
      <c r="AE22" s="342">
        <f t="shared" si="5"/>
        <v>0.70360729833430358</v>
      </c>
      <c r="AF22" s="149"/>
      <c r="AG22" s="149"/>
    </row>
    <row r="23" spans="2:33" ht="13" customHeight="1">
      <c r="B23" s="99" t="str">
        <f>IF('Summary | Sumário'!D$6=Names!B$3,Names!O59,Names!Z59)</f>
        <v>Fair value through proft or loss</v>
      </c>
      <c r="C23" s="230">
        <v>10422</v>
      </c>
      <c r="D23" s="230">
        <v>2021</v>
      </c>
      <c r="E23" s="230">
        <f t="shared" si="0"/>
        <v>-58754</v>
      </c>
      <c r="F23" s="230">
        <f t="shared" si="1"/>
        <v>209400</v>
      </c>
      <c r="G23" s="230">
        <f t="shared" si="2"/>
        <v>194250</v>
      </c>
      <c r="H23" s="230">
        <f t="shared" si="3"/>
        <v>298831.75513000001</v>
      </c>
      <c r="I23" s="226"/>
      <c r="J23" s="230">
        <v>-320</v>
      </c>
      <c r="K23" s="230">
        <v>8357</v>
      </c>
      <c r="L23" s="230">
        <v>4751</v>
      </c>
      <c r="M23" s="230">
        <v>-71542</v>
      </c>
      <c r="N23" s="230">
        <v>47341</v>
      </c>
      <c r="O23" s="230">
        <v>35635</v>
      </c>
      <c r="P23" s="230">
        <v>45470</v>
      </c>
      <c r="Q23" s="230">
        <v>80954</v>
      </c>
      <c r="R23" s="230">
        <v>39277</v>
      </c>
      <c r="S23" s="230">
        <v>55362</v>
      </c>
      <c r="T23" s="230">
        <v>52227</v>
      </c>
      <c r="U23" s="230">
        <v>47384</v>
      </c>
      <c r="V23" s="230">
        <v>49225.531450000009</v>
      </c>
      <c r="W23" s="230">
        <v>63157.945570000011</v>
      </c>
      <c r="X23" s="230">
        <v>102108.89573</v>
      </c>
      <c r="Y23" s="230">
        <v>84339.382379999966</v>
      </c>
      <c r="Z23" s="230">
        <v>122243</v>
      </c>
      <c r="AA23" s="230">
        <v>111472</v>
      </c>
      <c r="AB23" s="230">
        <v>135725</v>
      </c>
      <c r="AC23" s="226"/>
      <c r="AD23" s="341">
        <f t="shared" si="4"/>
        <v>0.21757033156308303</v>
      </c>
      <c r="AE23" s="341">
        <f t="shared" si="5"/>
        <v>0.32921817467195913</v>
      </c>
      <c r="AF23" s="149"/>
      <c r="AG23" s="149"/>
    </row>
    <row r="24" spans="2:33" ht="13" customHeight="1">
      <c r="B24" s="495" t="str">
        <f>IF('Summary | Sumário'!D$6=Names!B$3,Names!O60,Names!Z60)</f>
        <v>Amortized cost</v>
      </c>
      <c r="C24" s="226">
        <v>2866</v>
      </c>
      <c r="D24" s="226">
        <v>17149</v>
      </c>
      <c r="E24" s="226">
        <f t="shared" si="0"/>
        <v>143783</v>
      </c>
      <c r="F24" s="226">
        <f t="shared" si="1"/>
        <v>161367</v>
      </c>
      <c r="G24" s="226">
        <f t="shared" si="2"/>
        <v>136064</v>
      </c>
      <c r="H24" s="226">
        <f t="shared" si="3"/>
        <v>37980.945540000001</v>
      </c>
      <c r="I24" s="226"/>
      <c r="J24" s="226">
        <v>5820</v>
      </c>
      <c r="K24" s="226">
        <v>11602</v>
      </c>
      <c r="L24" s="226">
        <v>2274</v>
      </c>
      <c r="M24" s="226">
        <v>124087</v>
      </c>
      <c r="N24" s="226">
        <v>28289</v>
      </c>
      <c r="O24" s="226">
        <v>42442</v>
      </c>
      <c r="P24" s="226">
        <v>77859</v>
      </c>
      <c r="Q24" s="226">
        <v>12777</v>
      </c>
      <c r="R24" s="226">
        <v>42952</v>
      </c>
      <c r="S24" s="226">
        <v>51218</v>
      </c>
      <c r="T24" s="226">
        <v>32609</v>
      </c>
      <c r="U24" s="226">
        <v>9285</v>
      </c>
      <c r="V24" s="226">
        <v>17100.697370000002</v>
      </c>
      <c r="W24" s="226">
        <v>12105.029443849995</v>
      </c>
      <c r="X24" s="226">
        <v>4814.1276680228402</v>
      </c>
      <c r="Y24" s="226">
        <v>3961.0910581271601</v>
      </c>
      <c r="Z24" s="226">
        <v>3461</v>
      </c>
      <c r="AA24" s="226">
        <v>3749</v>
      </c>
      <c r="AB24" s="226">
        <v>4221</v>
      </c>
      <c r="AC24" s="226"/>
      <c r="AD24" s="342">
        <f t="shared" si="4"/>
        <v>0.12590024006401701</v>
      </c>
      <c r="AE24" s="342">
        <f t="shared" si="5"/>
        <v>-0.1232056374330508</v>
      </c>
      <c r="AF24" s="149"/>
      <c r="AG24" s="149"/>
    </row>
    <row r="25" spans="2:33" ht="13" customHeight="1">
      <c r="B25" s="100" t="str">
        <f>IF('Summary | Sumário'!D$6=Names!B$3,Names!O61,Names!Z61)</f>
        <v>Income from derivatives</v>
      </c>
      <c r="C25" s="230">
        <v>4235</v>
      </c>
      <c r="D25" s="230">
        <v>-54418</v>
      </c>
      <c r="E25" s="230">
        <f t="shared" si="0"/>
        <v>-48330.334000000003</v>
      </c>
      <c r="F25" s="230">
        <f t="shared" si="1"/>
        <v>33884.103000000003</v>
      </c>
      <c r="G25" s="230">
        <f t="shared" si="2"/>
        <v>-69273</v>
      </c>
      <c r="H25" s="230">
        <f t="shared" si="3"/>
        <v>546712.54295000003</v>
      </c>
      <c r="I25" s="226"/>
      <c r="J25" s="230">
        <v>-19931.596000000001</v>
      </c>
      <c r="K25" s="230">
        <v>-23765.403999999999</v>
      </c>
      <c r="L25" s="230">
        <v>-9869</v>
      </c>
      <c r="M25" s="230">
        <v>5235.6660000000011</v>
      </c>
      <c r="N25" s="230">
        <v>11009.383000000002</v>
      </c>
      <c r="O25" s="230">
        <v>-3030.3259999999991</v>
      </c>
      <c r="P25" s="230">
        <v>5940.7360000000008</v>
      </c>
      <c r="Q25" s="230">
        <v>19964.310000000001</v>
      </c>
      <c r="R25" s="230">
        <v>482.30199999999968</v>
      </c>
      <c r="S25" s="230">
        <v>-58862</v>
      </c>
      <c r="T25" s="230">
        <v>64133.019220000024</v>
      </c>
      <c r="U25" s="230">
        <v>-75026.321220000013</v>
      </c>
      <c r="V25" s="230">
        <v>68661.610820000031</v>
      </c>
      <c r="W25" s="230">
        <v>173310.82241000002</v>
      </c>
      <c r="X25" s="230">
        <v>44424.709440000101</v>
      </c>
      <c r="Y25" s="230">
        <v>260315.40027999989</v>
      </c>
      <c r="Z25" s="230">
        <v>-19187</v>
      </c>
      <c r="AA25" s="230">
        <v>-54549</v>
      </c>
      <c r="AB25" s="230">
        <v>182632</v>
      </c>
      <c r="AC25" s="226"/>
      <c r="AD25" s="341">
        <f t="shared" si="4"/>
        <v>-4.3480357110121179</v>
      </c>
      <c r="AE25" s="341">
        <f t="shared" si="5"/>
        <v>3.1110454587589889</v>
      </c>
      <c r="AF25" s="149"/>
      <c r="AG25" s="149"/>
    </row>
    <row r="26" spans="2:33" ht="13" customHeight="1">
      <c r="B26" s="495" t="str">
        <f>IF('Summary | Sumário'!D$6=Names!B$3,Names!O62,Names!Z62)</f>
        <v>Future contracts dolar</v>
      </c>
      <c r="C26" s="226">
        <v>0</v>
      </c>
      <c r="D26" s="226">
        <v>80</v>
      </c>
      <c r="E26" s="226">
        <f t="shared" si="0"/>
        <v>2839.3969999999999</v>
      </c>
      <c r="F26" s="226">
        <f t="shared" si="1"/>
        <v>34984.461000000003</v>
      </c>
      <c r="G26" s="226">
        <f t="shared" si="2"/>
        <v>33250</v>
      </c>
      <c r="H26" s="226">
        <f t="shared" si="3"/>
        <v>-48015.81912</v>
      </c>
      <c r="I26" s="226"/>
      <c r="J26" s="226">
        <v>47</v>
      </c>
      <c r="K26" s="226">
        <v>-27</v>
      </c>
      <c r="L26" s="226">
        <v>-486</v>
      </c>
      <c r="M26" s="226">
        <v>3305.3969999999999</v>
      </c>
      <c r="N26" s="226">
        <v>26420.572</v>
      </c>
      <c r="O26" s="226">
        <v>431.68600000000151</v>
      </c>
      <c r="P26" s="226">
        <v>3805.4429999999993</v>
      </c>
      <c r="Q26" s="226">
        <v>4326.760000000002</v>
      </c>
      <c r="R26" s="226">
        <v>13826.72</v>
      </c>
      <c r="S26" s="226">
        <v>7133</v>
      </c>
      <c r="T26" s="226">
        <v>-2828.2197999999735</v>
      </c>
      <c r="U26" s="226">
        <v>15118.499799999972</v>
      </c>
      <c r="V26" s="226">
        <v>3594.1129100000003</v>
      </c>
      <c r="W26" s="226">
        <v>-22517.600689999996</v>
      </c>
      <c r="X26" s="226">
        <v>22983.882399999999</v>
      </c>
      <c r="Y26" s="226">
        <v>-52076.213740000007</v>
      </c>
      <c r="Z26" s="226">
        <v>75736</v>
      </c>
      <c r="AA26" s="226">
        <v>62368</v>
      </c>
      <c r="AB26" s="226">
        <v>41975</v>
      </c>
      <c r="AC26" s="226"/>
      <c r="AD26" s="342">
        <f t="shared" si="4"/>
        <v>-0.32697857875833758</v>
      </c>
      <c r="AE26" s="342">
        <f t="shared" si="5"/>
        <v>0.82627979335640878</v>
      </c>
      <c r="AF26" s="149"/>
      <c r="AG26" s="149"/>
    </row>
    <row r="27" spans="2:33" ht="13" customHeight="1">
      <c r="B27" s="99" t="str">
        <f>IF('Summary | Sumário'!D$6=Names!B$3,Names!O63,Names!Z63)</f>
        <v>Fixed-term contracts</v>
      </c>
      <c r="C27" s="230">
        <v>4337</v>
      </c>
      <c r="D27" s="230">
        <v>305</v>
      </c>
      <c r="E27" s="230">
        <f t="shared" si="0"/>
        <v>8987.2690000000002</v>
      </c>
      <c r="F27" s="230">
        <f t="shared" si="1"/>
        <v>4475.3869999999997</v>
      </c>
      <c r="G27" s="230">
        <f t="shared" si="2"/>
        <v>-2445</v>
      </c>
      <c r="H27" s="230">
        <f t="shared" si="3"/>
        <v>40987.29176</v>
      </c>
      <c r="I27" s="226"/>
      <c r="J27" s="230">
        <v>239.404</v>
      </c>
      <c r="K27" s="230">
        <v>259.596</v>
      </c>
      <c r="L27" s="230">
        <v>165</v>
      </c>
      <c r="M27" s="230">
        <v>8323.2690000000002</v>
      </c>
      <c r="N27" s="230">
        <v>444.61500000000001</v>
      </c>
      <c r="O27" s="230">
        <v>647.42100000000005</v>
      </c>
      <c r="P27" s="230">
        <v>47.963999999999942</v>
      </c>
      <c r="Q27" s="230">
        <v>3335.3869999999997</v>
      </c>
      <c r="R27" s="230">
        <v>3045.3519999999999</v>
      </c>
      <c r="S27" s="230">
        <v>-5487</v>
      </c>
      <c r="T27" s="230">
        <v>-824.76097999999956</v>
      </c>
      <c r="U27" s="230">
        <v>821.4089799999997</v>
      </c>
      <c r="V27" s="230">
        <v>-1212.2091199999995</v>
      </c>
      <c r="W27" s="230">
        <v>15228.915119999998</v>
      </c>
      <c r="X27" s="230">
        <v>6567.74514</v>
      </c>
      <c r="Y27" s="230">
        <v>20402.840620000003</v>
      </c>
      <c r="Z27" s="230">
        <v>-27091</v>
      </c>
      <c r="AA27" s="230">
        <v>-21899</v>
      </c>
      <c r="AB27" s="230">
        <v>-31330</v>
      </c>
      <c r="AC27" s="226"/>
      <c r="AD27" s="341">
        <f t="shared" si="4"/>
        <v>0.43065893419790857</v>
      </c>
      <c r="AE27" s="341">
        <f t="shared" si="5"/>
        <v>-5.7702825447943615</v>
      </c>
      <c r="AF27" s="149"/>
      <c r="AG27" s="149"/>
    </row>
    <row r="28" spans="2:33" ht="13" customHeight="1">
      <c r="B28" s="495" t="str">
        <f>IF('Summary | Sumário'!D$6=Names!B$3,Names!O64,Names!Z64)</f>
        <v>Futures contrats and swaps</v>
      </c>
      <c r="C28" s="226">
        <v>-102</v>
      </c>
      <c r="D28" s="226">
        <v>-54803</v>
      </c>
      <c r="E28" s="226">
        <f t="shared" si="0"/>
        <v>-60157</v>
      </c>
      <c r="F28" s="226">
        <f t="shared" si="1"/>
        <v>-5575.744999999999</v>
      </c>
      <c r="G28" s="226">
        <f t="shared" si="2"/>
        <v>-100078</v>
      </c>
      <c r="H28" s="226">
        <f t="shared" si="3"/>
        <v>553741.07030999998</v>
      </c>
      <c r="I28" s="226"/>
      <c r="J28" s="226">
        <v>-20218</v>
      </c>
      <c r="K28" s="226">
        <v>-23998</v>
      </c>
      <c r="L28" s="226">
        <v>-9548</v>
      </c>
      <c r="M28" s="226">
        <v>-6393</v>
      </c>
      <c r="N28" s="226">
        <v>-15855.804</v>
      </c>
      <c r="O28" s="226">
        <v>-4109.4330000000009</v>
      </c>
      <c r="P28" s="226">
        <v>2087.3290000000015</v>
      </c>
      <c r="Q28" s="226">
        <v>12302.163</v>
      </c>
      <c r="R28" s="226">
        <v>-16389.77</v>
      </c>
      <c r="S28" s="226">
        <v>-60508</v>
      </c>
      <c r="T28" s="226">
        <v>67786</v>
      </c>
      <c r="U28" s="226">
        <v>-90966.23</v>
      </c>
      <c r="V28" s="226">
        <v>66279.707030000034</v>
      </c>
      <c r="W28" s="226">
        <v>180599.50798000002</v>
      </c>
      <c r="X28" s="226">
        <v>14873.081900000099</v>
      </c>
      <c r="Y28" s="226">
        <v>291988.77339999983</v>
      </c>
      <c r="Z28" s="226">
        <v>-67832</v>
      </c>
      <c r="AA28" s="226">
        <v>-95018</v>
      </c>
      <c r="AB28" s="226">
        <v>171987</v>
      </c>
      <c r="AC28" s="226"/>
      <c r="AD28" s="342">
        <f t="shared" si="4"/>
        <v>-2.8100465175019469</v>
      </c>
      <c r="AE28" s="342">
        <f t="shared" si="5"/>
        <v>10.563642367894099</v>
      </c>
      <c r="AF28" s="149"/>
      <c r="AG28" s="149"/>
    </row>
    <row r="29" spans="2:33" ht="13" customHeight="1">
      <c r="B29" s="113" t="str">
        <f>IF('Summary | Sumário'!D$6=Names!B$3,Names!O65,Names!Z65)</f>
        <v>Hedge accounting real estate loans</v>
      </c>
      <c r="C29" s="232">
        <v>0</v>
      </c>
      <c r="D29" s="230">
        <v>-70972.398829336977</v>
      </c>
      <c r="E29" s="230">
        <f t="shared" si="0"/>
        <v>-73354.239000000001</v>
      </c>
      <c r="F29" s="230">
        <f t="shared" si="1"/>
        <v>-27585.400999999998</v>
      </c>
      <c r="G29" s="230">
        <f t="shared" si="2"/>
        <v>-9439.8214100000023</v>
      </c>
      <c r="H29" s="230">
        <f t="shared" si="3"/>
        <v>208310.60479145829</v>
      </c>
      <c r="I29" s="226"/>
      <c r="J29" s="230">
        <v>-16468.116999999998</v>
      </c>
      <c r="K29" s="230">
        <v>-36410.913999999997</v>
      </c>
      <c r="L29" s="230">
        <v>-2915.415</v>
      </c>
      <c r="M29" s="230">
        <v>-17559.793000000001</v>
      </c>
      <c r="N29" s="230">
        <v>-8323.277</v>
      </c>
      <c r="O29" s="230">
        <v>-14497.851000000001</v>
      </c>
      <c r="P29" s="230">
        <v>-8870.1569999999992</v>
      </c>
      <c r="Q29" s="230">
        <v>4105.884</v>
      </c>
      <c r="R29" s="230">
        <v>-5114.3909999999996</v>
      </c>
      <c r="S29" s="230">
        <v>6039.93</v>
      </c>
      <c r="T29" s="230">
        <v>6136.5408399999997</v>
      </c>
      <c r="U29" s="230">
        <v>-16501.901250000003</v>
      </c>
      <c r="V29" s="230">
        <v>26412.795423179959</v>
      </c>
      <c r="W29" s="230">
        <v>67242.322886524373</v>
      </c>
      <c r="X29" s="230">
        <v>10952.83</v>
      </c>
      <c r="Y29" s="230">
        <v>103702.65648175398</v>
      </c>
      <c r="Z29" s="230">
        <v>-15169.155000000001</v>
      </c>
      <c r="AA29" s="230">
        <v>-20521.455000000002</v>
      </c>
      <c r="AB29" s="230">
        <v>136520.41337999998</v>
      </c>
      <c r="AC29" s="226"/>
      <c r="AD29" s="341">
        <f t="shared" si="4"/>
        <v>-7.6525698777206577</v>
      </c>
      <c r="AE29" s="341">
        <f t="shared" si="5"/>
        <v>11.464396268361691</v>
      </c>
      <c r="AF29" s="149"/>
      <c r="AG29" s="149"/>
    </row>
    <row r="30" spans="2:33" ht="13" customHeight="1">
      <c r="B30" s="497" t="str">
        <f>IF('Summary | Sumário'!D$6=Names!B$3,Names!O66,Names!Z66)</f>
        <v>Hedge accounting from personal loans</v>
      </c>
      <c r="C30" s="231">
        <v>0</v>
      </c>
      <c r="D30" s="226">
        <v>0</v>
      </c>
      <c r="E30" s="226">
        <f t="shared" si="0"/>
        <v>0</v>
      </c>
      <c r="F30" s="226">
        <f t="shared" si="1"/>
        <v>0</v>
      </c>
      <c r="G30" s="226">
        <f t="shared" si="2"/>
        <v>-104805.87383</v>
      </c>
      <c r="H30" s="226">
        <f t="shared" si="3"/>
        <v>343477.48167000001</v>
      </c>
      <c r="I30" s="226"/>
      <c r="J30" s="226">
        <v>0</v>
      </c>
      <c r="K30" s="226">
        <v>0</v>
      </c>
      <c r="L30" s="226">
        <v>0</v>
      </c>
      <c r="M30" s="226">
        <v>0</v>
      </c>
      <c r="N30" s="226">
        <v>0</v>
      </c>
      <c r="O30" s="226">
        <v>0</v>
      </c>
      <c r="P30" s="226">
        <v>0</v>
      </c>
      <c r="Q30" s="226">
        <v>0</v>
      </c>
      <c r="R30" s="226">
        <v>-14277.970720000001</v>
      </c>
      <c r="S30" s="226">
        <v>-65034.58827</v>
      </c>
      <c r="T30" s="226">
        <v>45457.766470000002</v>
      </c>
      <c r="U30" s="226">
        <v>-70951.081309999994</v>
      </c>
      <c r="V30" s="226">
        <v>42486.294860000002</v>
      </c>
      <c r="W30" s="226">
        <v>120316.48633000001</v>
      </c>
      <c r="X30" s="226">
        <v>10504.47</v>
      </c>
      <c r="Y30" s="226">
        <v>170170.23048</v>
      </c>
      <c r="Z30" s="226">
        <v>-52954.925000000003</v>
      </c>
      <c r="AA30" s="226">
        <v>-65304.398000000001</v>
      </c>
      <c r="AB30" s="226">
        <v>13502.240190000006</v>
      </c>
      <c r="AC30" s="226"/>
      <c r="AD30" s="342">
        <f t="shared" si="4"/>
        <v>-1.2067585124971216</v>
      </c>
      <c r="AE30" s="342">
        <f t="shared" si="5"/>
        <v>0.28538043233023713</v>
      </c>
      <c r="AF30" s="149"/>
      <c r="AG30" s="149"/>
    </row>
    <row r="31" spans="2:33" ht="13" customHeight="1">
      <c r="B31" s="113" t="str">
        <f>IF('Summary | Sumário'!D$6=Names!B$3,Names!O67,Names!Z67)</f>
        <v>Other results</v>
      </c>
      <c r="C31" s="232">
        <v>0</v>
      </c>
      <c r="D31" s="230">
        <v>16169.398829336977</v>
      </c>
      <c r="E31" s="230">
        <f t="shared" si="0"/>
        <v>13197.238999999998</v>
      </c>
      <c r="F31" s="230">
        <f t="shared" si="1"/>
        <v>22009.656000000003</v>
      </c>
      <c r="G31" s="230">
        <f t="shared" si="2"/>
        <v>14167.695240000005</v>
      </c>
      <c r="H31" s="230">
        <f t="shared" si="3"/>
        <v>1952.9838485416949</v>
      </c>
      <c r="I31" s="226"/>
      <c r="J31" s="230">
        <v>-3749.8830000000016</v>
      </c>
      <c r="K31" s="230">
        <v>12412.913999999997</v>
      </c>
      <c r="L31" s="230">
        <v>-6632.585</v>
      </c>
      <c r="M31" s="230">
        <v>11166.793000000001</v>
      </c>
      <c r="N31" s="230">
        <v>-7532.527</v>
      </c>
      <c r="O31" s="230">
        <v>10388.418</v>
      </c>
      <c r="P31" s="230">
        <v>10957.486000000001</v>
      </c>
      <c r="Q31" s="230">
        <v>8196.2790000000005</v>
      </c>
      <c r="R31" s="230">
        <v>3002.5917200000004</v>
      </c>
      <c r="S31" s="230">
        <v>-1513.3417300000001</v>
      </c>
      <c r="T31" s="230">
        <v>16191.692689999996</v>
      </c>
      <c r="U31" s="230">
        <v>-3513.2474399999919</v>
      </c>
      <c r="V31" s="230">
        <v>-2619.3832531799271</v>
      </c>
      <c r="W31" s="230">
        <v>-6959.301236524363</v>
      </c>
      <c r="X31" s="230">
        <v>-6584.2180999999</v>
      </c>
      <c r="Y31" s="230">
        <v>18115.886438245885</v>
      </c>
      <c r="Z31" s="230">
        <v>292.08000000000175</v>
      </c>
      <c r="AA31" s="230">
        <v>-9192.1469999999972</v>
      </c>
      <c r="AB31" s="230">
        <v>21964.346430000005</v>
      </c>
      <c r="AC31" s="226"/>
      <c r="AD31" s="341">
        <f t="shared" si="4"/>
        <v>-3.3894685789946584</v>
      </c>
      <c r="AE31" s="341">
        <f t="shared" si="5"/>
        <v>-4.3359080905901859</v>
      </c>
      <c r="AF31" s="149"/>
      <c r="AG31" s="149"/>
    </row>
    <row r="32" spans="2:33" ht="13" customHeight="1">
      <c r="B32" s="496" t="str">
        <f>IF('Summary | Sumário'!D$6=Names!B$3,Names!O68,Names!Z68)</f>
        <v>Revenue foreign exchange</v>
      </c>
      <c r="C32" s="231">
        <v>5976</v>
      </c>
      <c r="D32" s="226">
        <v>17318</v>
      </c>
      <c r="E32" s="226">
        <v>24667</v>
      </c>
      <c r="F32" s="226">
        <v>99780</v>
      </c>
      <c r="G32" s="226">
        <v>88708</v>
      </c>
      <c r="H32" s="226">
        <f t="shared" si="3"/>
        <v>74587.800272134002</v>
      </c>
      <c r="I32" s="226"/>
      <c r="J32" s="226">
        <v>5876</v>
      </c>
      <c r="K32" s="226">
        <v>6689</v>
      </c>
      <c r="L32" s="226">
        <v>5791</v>
      </c>
      <c r="M32" s="226">
        <v>6311</v>
      </c>
      <c r="N32" s="226">
        <v>17033</v>
      </c>
      <c r="O32" s="226">
        <v>25563</v>
      </c>
      <c r="P32" s="226">
        <v>31137</v>
      </c>
      <c r="Q32" s="226">
        <v>26047</v>
      </c>
      <c r="R32" s="226">
        <v>14919</v>
      </c>
      <c r="S32" s="226">
        <v>26191</v>
      </c>
      <c r="T32" s="226">
        <v>26659</v>
      </c>
      <c r="U32" s="226">
        <v>20939</v>
      </c>
      <c r="V32" s="226">
        <v>21756</v>
      </c>
      <c r="W32" s="226">
        <v>12197</v>
      </c>
      <c r="X32" s="226">
        <v>29585</v>
      </c>
      <c r="Y32" s="226">
        <v>11049.800272134002</v>
      </c>
      <c r="Z32" s="226">
        <v>16485.3</v>
      </c>
      <c r="AA32" s="226">
        <v>16956</v>
      </c>
      <c r="AB32" s="226">
        <v>34408</v>
      </c>
      <c r="AC32" s="226"/>
      <c r="AD32" s="505">
        <f t="shared" si="4"/>
        <v>1.029252182118424</v>
      </c>
      <c r="AE32" s="505">
        <f t="shared" si="5"/>
        <v>0.16302180158864288</v>
      </c>
      <c r="AF32" s="149"/>
      <c r="AG32" s="149"/>
    </row>
    <row r="33" spans="1:34" ht="13" customHeight="1">
      <c r="A33" s="211"/>
      <c r="B33" s="509" t="str">
        <f>IF('Summary | Sumário'!D$6=Names!B$3,Names!O44,Names!Z44)</f>
        <v>Net interest income and income from securities, derivatives and foreing exchange</v>
      </c>
      <c r="C33" s="510">
        <v>591527</v>
      </c>
      <c r="D33" s="510">
        <v>733280.89517999999</v>
      </c>
      <c r="E33" s="510">
        <f t="shared" si="0"/>
        <v>1614134.912</v>
      </c>
      <c r="F33" s="510">
        <f t="shared" si="1"/>
        <v>2435209.1849999996</v>
      </c>
      <c r="G33" s="510">
        <f t="shared" si="2"/>
        <v>3296796.9950000001</v>
      </c>
      <c r="H33" s="510">
        <f t="shared" si="3"/>
        <v>4456744.3939420003</v>
      </c>
      <c r="I33" s="504"/>
      <c r="J33" s="510">
        <v>297457.33899999998</v>
      </c>
      <c r="K33" s="510">
        <v>308984.34700000007</v>
      </c>
      <c r="L33" s="510">
        <v>453160.88</v>
      </c>
      <c r="M33" s="510">
        <v>554532.34600000002</v>
      </c>
      <c r="N33" s="510">
        <v>560444.0149999999</v>
      </c>
      <c r="O33" s="510">
        <v>586650.3110000001</v>
      </c>
      <c r="P33" s="510">
        <v>586724.46699999995</v>
      </c>
      <c r="Q33" s="510">
        <v>701390.39199999999</v>
      </c>
      <c r="R33" s="510">
        <v>726481.12400000007</v>
      </c>
      <c r="S33" s="510">
        <v>828266</v>
      </c>
      <c r="T33" s="510">
        <v>845216.10796000005</v>
      </c>
      <c r="U33" s="510">
        <v>896833.76303999987</v>
      </c>
      <c r="V33" s="510">
        <v>992420.72051999974</v>
      </c>
      <c r="W33" s="510">
        <v>1041865.7258038499</v>
      </c>
      <c r="X33" s="510">
        <v>1164350.1315736333</v>
      </c>
      <c r="Y33" s="510">
        <v>1258107.8160445173</v>
      </c>
      <c r="Z33" s="510">
        <v>1362594.3</v>
      </c>
      <c r="AA33" s="510">
        <v>1469507</v>
      </c>
      <c r="AB33" s="510">
        <v>1622691</v>
      </c>
      <c r="AC33" s="504"/>
      <c r="AD33" s="512">
        <f t="shared" si="4"/>
        <v>0.10424176271361763</v>
      </c>
      <c r="AE33" s="512">
        <f t="shared" si="5"/>
        <v>0.39364522405894653</v>
      </c>
      <c r="AF33" s="149"/>
      <c r="AG33" s="149"/>
      <c r="AH33" s="208"/>
    </row>
    <row r="34" spans="1:34" ht="13" customHeight="1">
      <c r="A34" s="211"/>
      <c r="B34" s="508"/>
      <c r="C34" s="504"/>
      <c r="D34" s="504"/>
      <c r="E34" s="504"/>
      <c r="F34" s="504"/>
      <c r="G34" s="504"/>
      <c r="H34" s="504"/>
      <c r="I34" s="504"/>
      <c r="J34" s="504"/>
      <c r="K34" s="504"/>
      <c r="L34" s="504"/>
      <c r="M34" s="504"/>
      <c r="N34" s="504"/>
      <c r="O34" s="504"/>
      <c r="P34" s="504"/>
      <c r="Q34" s="504"/>
      <c r="R34" s="504"/>
      <c r="S34" s="504"/>
      <c r="T34" s="504"/>
      <c r="U34" s="504"/>
      <c r="V34" s="504"/>
      <c r="W34" s="504"/>
      <c r="X34" s="504"/>
      <c r="Y34" s="504"/>
      <c r="Z34" s="504"/>
      <c r="AA34" s="504"/>
      <c r="AB34" s="504"/>
      <c r="AC34" s="504"/>
      <c r="AD34" s="324"/>
      <c r="AE34" s="324"/>
      <c r="AF34" s="149"/>
      <c r="AG34" s="149"/>
      <c r="AH34" s="208"/>
    </row>
    <row r="35" spans="1:34" ht="13" customHeight="1">
      <c r="A35" s="211"/>
      <c r="B35" s="52" t="str">
        <f>IF('Summary | Sumário'!D$6=Names!B$3,Names!AC31,Names!AD31)</f>
        <v>NII</v>
      </c>
      <c r="C35" s="511"/>
      <c r="D35" s="511"/>
      <c r="E35" s="511"/>
      <c r="F35" s="511"/>
      <c r="G35" s="511"/>
      <c r="H35" s="511"/>
      <c r="I35" s="504"/>
      <c r="J35" s="511"/>
      <c r="K35" s="511"/>
      <c r="L35" s="511"/>
      <c r="M35" s="511"/>
      <c r="N35" s="511"/>
      <c r="O35" s="511"/>
      <c r="P35" s="511"/>
      <c r="Q35" s="511"/>
      <c r="R35" s="511"/>
      <c r="S35" s="511"/>
      <c r="T35" s="511"/>
      <c r="U35" s="511"/>
      <c r="V35" s="511"/>
      <c r="W35" s="511"/>
      <c r="X35" s="511"/>
      <c r="Y35" s="511"/>
      <c r="Z35" s="511"/>
      <c r="AA35" s="511"/>
      <c r="AB35" s="511"/>
      <c r="AC35" s="504"/>
      <c r="AD35" s="512"/>
      <c r="AE35" s="512"/>
      <c r="AF35" s="149"/>
      <c r="AG35" s="149"/>
      <c r="AH35" s="208"/>
    </row>
    <row r="36" spans="1:34" ht="13" customHeight="1">
      <c r="A36" s="211"/>
      <c r="B36" s="276" t="str">
        <f>IF('Summary | Sumário'!D$6=Names!B$3,Names!O32,Names!Z32)</f>
        <v>Interest income</v>
      </c>
      <c r="C36" s="513">
        <f t="shared" ref="C36" si="6">C5</f>
        <v>775515</v>
      </c>
      <c r="D36" s="513">
        <f t="shared" ref="D36:Y36" si="7">D5</f>
        <v>942655.89517999999</v>
      </c>
      <c r="E36" s="513">
        <f t="shared" si="7"/>
        <v>1435427.246</v>
      </c>
      <c r="F36" s="513">
        <f t="shared" si="7"/>
        <v>2802658.0819999999</v>
      </c>
      <c r="G36" s="513">
        <f t="shared" si="7"/>
        <v>4549827</v>
      </c>
      <c r="H36" s="513">
        <f t="shared" si="7"/>
        <v>5139213.5399445314</v>
      </c>
      <c r="I36" s="515"/>
      <c r="J36" s="513">
        <f t="shared" si="7"/>
        <v>289003.935</v>
      </c>
      <c r="K36" s="513">
        <f t="shared" si="7"/>
        <v>305659.75100000005</v>
      </c>
      <c r="L36" s="513">
        <f t="shared" si="7"/>
        <v>367405.88</v>
      </c>
      <c r="M36" s="513">
        <f t="shared" si="7"/>
        <v>473357.68</v>
      </c>
      <c r="N36" s="513">
        <f t="shared" si="7"/>
        <v>521159.63199999993</v>
      </c>
      <c r="O36" s="513">
        <f t="shared" si="7"/>
        <v>622312.6370000001</v>
      </c>
      <c r="P36" s="513">
        <f t="shared" si="7"/>
        <v>788342.73100000003</v>
      </c>
      <c r="Q36" s="513">
        <f t="shared" si="7"/>
        <v>870843.08199999994</v>
      </c>
      <c r="R36" s="513">
        <f t="shared" si="7"/>
        <v>1012926.822</v>
      </c>
      <c r="S36" s="513">
        <f t="shared" si="7"/>
        <v>1151105</v>
      </c>
      <c r="T36" s="513">
        <f t="shared" si="7"/>
        <v>1106935.08874</v>
      </c>
      <c r="U36" s="513">
        <f t="shared" si="7"/>
        <v>1278860.08926</v>
      </c>
      <c r="V36" s="513">
        <f t="shared" si="7"/>
        <v>1217530.9999999998</v>
      </c>
      <c r="W36" s="513">
        <f t="shared" si="7"/>
        <v>1172415.139</v>
      </c>
      <c r="X36" s="513">
        <f t="shared" si="7"/>
        <v>1412226.140133633</v>
      </c>
      <c r="Y36" s="513">
        <f t="shared" si="7"/>
        <v>1337041.2608108988</v>
      </c>
      <c r="Z36" s="513">
        <f>Z5</f>
        <v>1806870</v>
      </c>
      <c r="AA36" s="513">
        <f>AA5</f>
        <v>2128214</v>
      </c>
      <c r="AB36" s="513">
        <f>AB5</f>
        <v>2226423</v>
      </c>
      <c r="AC36" s="504"/>
      <c r="AD36" s="516">
        <f>AB36/AA36-1</f>
        <v>4.6146205221843317E-2</v>
      </c>
      <c r="AE36" s="516">
        <f>AB36/X36-1</f>
        <v>0.57653433591685466</v>
      </c>
      <c r="AF36" s="149"/>
      <c r="AG36" s="149"/>
      <c r="AH36" s="208"/>
    </row>
    <row r="37" spans="1:34" ht="13" customHeight="1">
      <c r="A37" s="211"/>
      <c r="B37" s="22" t="str">
        <f>IF('Summary | Sumário'!D$6=Names!B$3,Names!O42,Names!Z42)</f>
        <v>Interest expenses</v>
      </c>
      <c r="C37" s="514">
        <f t="shared" ref="C37" si="8">C14</f>
        <v>-256717</v>
      </c>
      <c r="D37" s="514">
        <f t="shared" ref="D37:Y37" si="9">D14</f>
        <v>-184335</v>
      </c>
      <c r="E37" s="514">
        <f t="shared" si="9"/>
        <v>-543242</v>
      </c>
      <c r="F37" s="514">
        <f t="shared" si="9"/>
        <v>-1972850</v>
      </c>
      <c r="G37" s="514">
        <f t="shared" si="9"/>
        <v>-2887573.0049999999</v>
      </c>
      <c r="H37" s="514">
        <f t="shared" si="9"/>
        <v>-3311638.4190579997</v>
      </c>
      <c r="I37" s="515"/>
      <c r="J37" s="514">
        <f t="shared" si="9"/>
        <v>-65559</v>
      </c>
      <c r="K37" s="514">
        <f t="shared" si="9"/>
        <v>-86261</v>
      </c>
      <c r="L37" s="514">
        <f t="shared" si="9"/>
        <v>-138587</v>
      </c>
      <c r="M37" s="514">
        <f t="shared" si="9"/>
        <v>-252835</v>
      </c>
      <c r="N37" s="514">
        <f t="shared" si="9"/>
        <v>-336771</v>
      </c>
      <c r="O37" s="514">
        <f t="shared" si="9"/>
        <v>-465041</v>
      </c>
      <c r="P37" s="514">
        <f t="shared" si="9"/>
        <v>-579678</v>
      </c>
      <c r="Q37" s="514">
        <f t="shared" si="9"/>
        <v>-591360</v>
      </c>
      <c r="R37" s="514">
        <f t="shared" si="9"/>
        <v>-672771</v>
      </c>
      <c r="S37" s="514">
        <f t="shared" si="9"/>
        <v>-692206</v>
      </c>
      <c r="T37" s="514">
        <f t="shared" si="9"/>
        <v>-770398</v>
      </c>
      <c r="U37" s="514">
        <f t="shared" si="9"/>
        <v>-752198.00500000012</v>
      </c>
      <c r="V37" s="514">
        <f t="shared" si="9"/>
        <v>-762246.89030000009</v>
      </c>
      <c r="W37" s="514">
        <f t="shared" si="9"/>
        <v>-772642.60900000005</v>
      </c>
      <c r="X37" s="514">
        <f t="shared" si="9"/>
        <v>-835616.71799999999</v>
      </c>
      <c r="Y37" s="514">
        <f t="shared" si="9"/>
        <v>-941132.20175799984</v>
      </c>
      <c r="Z37" s="514">
        <f>Z14</f>
        <v>-1179020</v>
      </c>
      <c r="AA37" s="514">
        <f>AA14</f>
        <v>-1423958</v>
      </c>
      <c r="AB37" s="514">
        <f>AB14</f>
        <v>-1653759</v>
      </c>
      <c r="AC37" s="504"/>
      <c r="AD37" s="338">
        <f t="shared" ref="AD37:AD41" si="10">AB37/AA37-1</f>
        <v>0.16138186659999798</v>
      </c>
      <c r="AE37" s="338">
        <f t="shared" ref="AE37:AE41" si="11">AB37/X37-1</f>
        <v>0.97908797703111539</v>
      </c>
      <c r="AF37" s="149"/>
      <c r="AG37" s="149"/>
      <c r="AH37" s="208"/>
    </row>
    <row r="38" spans="1:34" ht="13" customHeight="1">
      <c r="A38" s="211"/>
      <c r="B38" s="16" t="str">
        <f>IF('Summary | Sumário'!D$6=Names!B$3,Names!O57,Names!Z57)</f>
        <v>Income from securities</v>
      </c>
      <c r="C38" s="515">
        <f t="shared" ref="C38" si="12">C21</f>
        <v>62518</v>
      </c>
      <c r="D38" s="515">
        <f t="shared" ref="D38:Y38" si="13">D21</f>
        <v>12060</v>
      </c>
      <c r="E38" s="515">
        <f t="shared" si="13"/>
        <v>745613</v>
      </c>
      <c r="F38" s="515">
        <f t="shared" si="13"/>
        <v>1471737</v>
      </c>
      <c r="G38" s="515">
        <f t="shared" si="13"/>
        <v>1615108</v>
      </c>
      <c r="H38" s="515">
        <f t="shared" si="13"/>
        <v>2007869.4701800002</v>
      </c>
      <c r="I38" s="515"/>
      <c r="J38" s="515">
        <f t="shared" si="13"/>
        <v>88068</v>
      </c>
      <c r="K38" s="515">
        <f t="shared" si="13"/>
        <v>106662</v>
      </c>
      <c r="L38" s="515">
        <f t="shared" si="13"/>
        <v>228420</v>
      </c>
      <c r="M38" s="515">
        <f t="shared" si="13"/>
        <v>322463</v>
      </c>
      <c r="N38" s="515">
        <f t="shared" si="13"/>
        <v>348013</v>
      </c>
      <c r="O38" s="515">
        <f t="shared" si="13"/>
        <v>406846</v>
      </c>
      <c r="P38" s="515">
        <f t="shared" si="13"/>
        <v>340982</v>
      </c>
      <c r="Q38" s="515">
        <f t="shared" si="13"/>
        <v>375896</v>
      </c>
      <c r="R38" s="515">
        <f t="shared" si="13"/>
        <v>370924</v>
      </c>
      <c r="S38" s="515">
        <f t="shared" si="13"/>
        <v>402038</v>
      </c>
      <c r="T38" s="515">
        <f t="shared" si="13"/>
        <v>417887</v>
      </c>
      <c r="U38" s="515">
        <f t="shared" si="13"/>
        <v>424259</v>
      </c>
      <c r="V38" s="515">
        <f t="shared" si="13"/>
        <v>446719</v>
      </c>
      <c r="W38" s="515">
        <f t="shared" si="13"/>
        <v>456585.37339384999</v>
      </c>
      <c r="X38" s="515">
        <f t="shared" si="13"/>
        <v>513731</v>
      </c>
      <c r="Y38" s="515">
        <f t="shared" si="13"/>
        <v>590834.09678615024</v>
      </c>
      <c r="Z38" s="515">
        <f>Z21</f>
        <v>737446</v>
      </c>
      <c r="AA38" s="515">
        <f>AA21</f>
        <v>802844</v>
      </c>
      <c r="AB38" s="515">
        <f>AB21</f>
        <v>832987</v>
      </c>
      <c r="AC38" s="504"/>
      <c r="AD38" s="314">
        <f t="shared" si="10"/>
        <v>3.7545276541893546E-2</v>
      </c>
      <c r="AE38" s="314">
        <f t="shared" si="11"/>
        <v>0.6214458539585892</v>
      </c>
      <c r="AF38" s="149"/>
      <c r="AG38" s="149"/>
      <c r="AH38" s="208"/>
    </row>
    <row r="39" spans="1:34" ht="13" customHeight="1">
      <c r="A39" s="211"/>
      <c r="B39" s="22" t="str">
        <f>IF('Summary | Sumário'!D$6=Names!B$3,Names!O61,Names!Z61)</f>
        <v>Income from derivatives</v>
      </c>
      <c r="C39" s="514">
        <f t="shared" ref="C39" si="14">C25</f>
        <v>4235</v>
      </c>
      <c r="D39" s="514">
        <f t="shared" ref="D39:Y39" si="15">D25</f>
        <v>-54418</v>
      </c>
      <c r="E39" s="514">
        <f t="shared" si="15"/>
        <v>-48330.334000000003</v>
      </c>
      <c r="F39" s="514">
        <f t="shared" si="15"/>
        <v>33884.103000000003</v>
      </c>
      <c r="G39" s="514">
        <f t="shared" si="15"/>
        <v>-69273</v>
      </c>
      <c r="H39" s="514">
        <f t="shared" si="15"/>
        <v>546712.54295000003</v>
      </c>
      <c r="I39" s="515"/>
      <c r="J39" s="514">
        <f t="shared" si="15"/>
        <v>-19931.596000000001</v>
      </c>
      <c r="K39" s="514">
        <f t="shared" si="15"/>
        <v>-23765.403999999999</v>
      </c>
      <c r="L39" s="514">
        <f t="shared" si="15"/>
        <v>-9869</v>
      </c>
      <c r="M39" s="514">
        <f t="shared" si="15"/>
        <v>5235.6660000000011</v>
      </c>
      <c r="N39" s="514">
        <f t="shared" si="15"/>
        <v>11009.383000000002</v>
      </c>
      <c r="O39" s="514">
        <f t="shared" si="15"/>
        <v>-3030.3259999999991</v>
      </c>
      <c r="P39" s="514">
        <f t="shared" si="15"/>
        <v>5940.7360000000008</v>
      </c>
      <c r="Q39" s="514">
        <f t="shared" si="15"/>
        <v>19964.310000000001</v>
      </c>
      <c r="R39" s="514">
        <f t="shared" si="15"/>
        <v>482.30199999999968</v>
      </c>
      <c r="S39" s="514">
        <f t="shared" si="15"/>
        <v>-58862</v>
      </c>
      <c r="T39" s="514">
        <f t="shared" si="15"/>
        <v>64133.019220000024</v>
      </c>
      <c r="U39" s="514">
        <f t="shared" si="15"/>
        <v>-75026.321220000013</v>
      </c>
      <c r="V39" s="514">
        <f t="shared" si="15"/>
        <v>68661.610820000031</v>
      </c>
      <c r="W39" s="514">
        <f t="shared" si="15"/>
        <v>173310.82241000002</v>
      </c>
      <c r="X39" s="514">
        <f t="shared" si="15"/>
        <v>44424.709440000101</v>
      </c>
      <c r="Y39" s="514">
        <f t="shared" si="15"/>
        <v>260315.40027999989</v>
      </c>
      <c r="Z39" s="514">
        <f>Z25</f>
        <v>-19187</v>
      </c>
      <c r="AA39" s="514">
        <f>AA25</f>
        <v>-54549</v>
      </c>
      <c r="AB39" s="514">
        <f>AB25</f>
        <v>182632</v>
      </c>
      <c r="AC39" s="504"/>
      <c r="AD39" s="338">
        <f t="shared" si="10"/>
        <v>-4.3480357110121179</v>
      </c>
      <c r="AE39" s="338">
        <f t="shared" si="11"/>
        <v>3.1110454587589889</v>
      </c>
      <c r="AF39" s="149"/>
      <c r="AG39" s="149"/>
      <c r="AH39" s="208"/>
    </row>
    <row r="40" spans="1:34" ht="13" customHeight="1">
      <c r="A40" s="211"/>
      <c r="B40" s="16" t="str">
        <f>IF('Summary | Sumário'!D$6=Names!B$3,Names!O68,Names!Z68)</f>
        <v>Revenue foreign exchange</v>
      </c>
      <c r="C40" s="515">
        <f t="shared" ref="C40" si="16">C32</f>
        <v>5976</v>
      </c>
      <c r="D40" s="515">
        <f t="shared" ref="D40:Y40" si="17">D32</f>
        <v>17318</v>
      </c>
      <c r="E40" s="515">
        <f t="shared" si="17"/>
        <v>24667</v>
      </c>
      <c r="F40" s="515">
        <f t="shared" si="17"/>
        <v>99780</v>
      </c>
      <c r="G40" s="515">
        <f t="shared" si="17"/>
        <v>88708</v>
      </c>
      <c r="H40" s="515">
        <f t="shared" si="17"/>
        <v>74587.800272134002</v>
      </c>
      <c r="I40" s="515"/>
      <c r="J40" s="515">
        <f t="shared" si="17"/>
        <v>5876</v>
      </c>
      <c r="K40" s="515">
        <f t="shared" si="17"/>
        <v>6689</v>
      </c>
      <c r="L40" s="515">
        <f t="shared" si="17"/>
        <v>5791</v>
      </c>
      <c r="M40" s="515">
        <f t="shared" si="17"/>
        <v>6311</v>
      </c>
      <c r="N40" s="515">
        <f t="shared" si="17"/>
        <v>17033</v>
      </c>
      <c r="O40" s="515">
        <f t="shared" si="17"/>
        <v>25563</v>
      </c>
      <c r="P40" s="515">
        <f t="shared" si="17"/>
        <v>31137</v>
      </c>
      <c r="Q40" s="515">
        <f t="shared" si="17"/>
        <v>26047</v>
      </c>
      <c r="R40" s="515">
        <f t="shared" si="17"/>
        <v>14919</v>
      </c>
      <c r="S40" s="515">
        <f t="shared" si="17"/>
        <v>26191</v>
      </c>
      <c r="T40" s="515">
        <f t="shared" si="17"/>
        <v>26659</v>
      </c>
      <c r="U40" s="515">
        <f t="shared" si="17"/>
        <v>20939</v>
      </c>
      <c r="V40" s="515">
        <f t="shared" si="17"/>
        <v>21756</v>
      </c>
      <c r="W40" s="515">
        <f t="shared" si="17"/>
        <v>12197</v>
      </c>
      <c r="X40" s="515">
        <f t="shared" si="17"/>
        <v>29585</v>
      </c>
      <c r="Y40" s="515">
        <f t="shared" si="17"/>
        <v>11049.800272134002</v>
      </c>
      <c r="Z40" s="515">
        <f>Z32</f>
        <v>16485.3</v>
      </c>
      <c r="AA40" s="515">
        <f>AA32</f>
        <v>16956</v>
      </c>
      <c r="AB40" s="515">
        <f>AB32</f>
        <v>34408</v>
      </c>
      <c r="AC40" s="504"/>
      <c r="AD40" s="314">
        <f t="shared" si="10"/>
        <v>1.029252182118424</v>
      </c>
      <c r="AE40" s="314">
        <f t="shared" si="11"/>
        <v>0.16302180158864288</v>
      </c>
      <c r="AF40" s="149"/>
      <c r="AG40" s="149"/>
      <c r="AH40" s="208"/>
    </row>
    <row r="41" spans="1:34" ht="13" customHeight="1">
      <c r="A41" s="211"/>
      <c r="B41" s="509" t="str">
        <f>IF('Summary | Sumário'!D$6=Names!B$3,Names!AC31,Names!AD31)</f>
        <v>NII</v>
      </c>
      <c r="C41" s="510">
        <f t="shared" ref="C41:G41" si="18">SUM(C36:C40)</f>
        <v>591527</v>
      </c>
      <c r="D41" s="510">
        <f t="shared" si="18"/>
        <v>733280.89517999999</v>
      </c>
      <c r="E41" s="510">
        <f t="shared" si="18"/>
        <v>1614134.912</v>
      </c>
      <c r="F41" s="510">
        <f t="shared" si="18"/>
        <v>2435209.1850000001</v>
      </c>
      <c r="G41" s="510">
        <f t="shared" si="18"/>
        <v>3296796.9950000001</v>
      </c>
      <c r="H41" s="510">
        <f>SUM(H36:H40)</f>
        <v>4456744.9342886657</v>
      </c>
      <c r="I41" s="504"/>
      <c r="J41" s="510">
        <f t="shared" ref="J41:Y41" si="19">SUM(J36:J40)</f>
        <v>297457.33899999998</v>
      </c>
      <c r="K41" s="510">
        <f t="shared" si="19"/>
        <v>308984.34700000007</v>
      </c>
      <c r="L41" s="510">
        <f t="shared" si="19"/>
        <v>453160.88</v>
      </c>
      <c r="M41" s="510">
        <f t="shared" si="19"/>
        <v>554532.3459999999</v>
      </c>
      <c r="N41" s="510">
        <f t="shared" si="19"/>
        <v>560444.01500000001</v>
      </c>
      <c r="O41" s="510">
        <f t="shared" si="19"/>
        <v>586650.3110000001</v>
      </c>
      <c r="P41" s="510">
        <f t="shared" si="19"/>
        <v>586724.46700000006</v>
      </c>
      <c r="Q41" s="510">
        <f t="shared" si="19"/>
        <v>701390.39199999999</v>
      </c>
      <c r="R41" s="510">
        <f t="shared" si="19"/>
        <v>726481.12400000007</v>
      </c>
      <c r="S41" s="510">
        <f t="shared" si="19"/>
        <v>828266</v>
      </c>
      <c r="T41" s="510">
        <f t="shared" si="19"/>
        <v>845216.10796000005</v>
      </c>
      <c r="U41" s="510">
        <f t="shared" si="19"/>
        <v>896833.76303999987</v>
      </c>
      <c r="V41" s="510">
        <f t="shared" si="19"/>
        <v>992420.72051999974</v>
      </c>
      <c r="W41" s="510">
        <f t="shared" si="19"/>
        <v>1041865.72580385</v>
      </c>
      <c r="X41" s="510">
        <f t="shared" si="19"/>
        <v>1164350.1315736331</v>
      </c>
      <c r="Y41" s="510">
        <f t="shared" si="19"/>
        <v>1258108.3563911831</v>
      </c>
      <c r="Z41" s="510">
        <f>SUM(Z36:Z40)</f>
        <v>1362594.3</v>
      </c>
      <c r="AA41" s="510">
        <f>SUM(AA36:AA40)</f>
        <v>1469507</v>
      </c>
      <c r="AB41" s="510">
        <f>SUM(AB36:AB40)</f>
        <v>1622691</v>
      </c>
      <c r="AC41" s="504"/>
      <c r="AD41" s="546">
        <f t="shared" si="10"/>
        <v>0.10424176271361763</v>
      </c>
      <c r="AE41" s="546">
        <f t="shared" si="11"/>
        <v>0.39364522405894675</v>
      </c>
      <c r="AF41" s="149"/>
      <c r="AG41" s="149"/>
      <c r="AH41" s="208"/>
    </row>
    <row r="42" spans="1:34" ht="13" customHeight="1">
      <c r="Q42" s="160"/>
      <c r="R42" s="160"/>
      <c r="S42" s="160"/>
      <c r="T42" s="160"/>
      <c r="U42" s="160"/>
      <c r="V42" s="160"/>
      <c r="W42" s="160"/>
      <c r="X42" s="160"/>
      <c r="Y42" s="160"/>
      <c r="Z42" s="160"/>
      <c r="AA42" s="160"/>
      <c r="AB42" s="160"/>
      <c r="AC42" s="160"/>
      <c r="AD42" s="160"/>
      <c r="AE42" s="160"/>
    </row>
    <row r="43" spans="1:34" ht="13" customHeight="1">
      <c r="C43" s="116" t="s">
        <v>1047</v>
      </c>
      <c r="N43" s="160"/>
      <c r="O43" s="160"/>
      <c r="P43" s="160"/>
      <c r="Q43" s="160"/>
      <c r="R43" s="160"/>
      <c r="S43" s="160"/>
      <c r="T43" s="160"/>
      <c r="U43" s="160"/>
      <c r="V43" s="160"/>
      <c r="W43" s="160"/>
      <c r="X43" s="160"/>
      <c r="Y43" s="160"/>
      <c r="Z43" s="160"/>
      <c r="AA43" s="160"/>
      <c r="AB43" s="160"/>
      <c r="AC43" s="160"/>
      <c r="AD43" s="160"/>
      <c r="AE43" s="160"/>
    </row>
    <row r="44" spans="1:34" ht="13" customHeight="1">
      <c r="AA44" s="188"/>
      <c r="AB44" s="188"/>
      <c r="AC44" s="188"/>
      <c r="AD44" s="188"/>
      <c r="AE44" s="188"/>
    </row>
    <row r="45" spans="1:34" ht="13" customHeight="1">
      <c r="T45" s="229"/>
      <c r="U45" s="547"/>
      <c r="V45" s="547"/>
      <c r="W45" s="547"/>
      <c r="X45" s="547"/>
      <c r="Y45" s="547"/>
      <c r="Z45" s="547"/>
      <c r="AA45" s="547"/>
      <c r="AB45" s="547"/>
      <c r="AC45" s="160"/>
      <c r="AD45" s="229"/>
      <c r="AE45" s="229"/>
    </row>
    <row r="46" spans="1:34" ht="13" customHeight="1">
      <c r="J46" s="188"/>
      <c r="K46" s="188"/>
      <c r="L46" s="188"/>
      <c r="M46" s="188"/>
      <c r="N46" s="188"/>
      <c r="O46" s="188"/>
      <c r="P46" s="188"/>
      <c r="Q46" s="188"/>
      <c r="R46" s="188"/>
      <c r="S46" s="188"/>
      <c r="T46" s="188"/>
      <c r="U46" s="188"/>
      <c r="V46" s="188"/>
      <c r="W46" s="188"/>
      <c r="X46" s="188"/>
      <c r="Y46" s="188"/>
      <c r="Z46" s="188"/>
      <c r="AA46" s="188"/>
      <c r="AB46" s="188"/>
    </row>
    <row r="48" spans="1:34" ht="13" customHeight="1">
      <c r="J48" s="188"/>
      <c r="K48" s="188"/>
      <c r="L48" s="188"/>
      <c r="M48" s="188"/>
      <c r="N48" s="188"/>
      <c r="O48" s="188"/>
      <c r="P48" s="188"/>
      <c r="Q48" s="188"/>
      <c r="R48" s="188"/>
      <c r="S48" s="188"/>
      <c r="T48" s="188"/>
      <c r="U48" s="188"/>
      <c r="V48" s="188"/>
      <c r="W48" s="188"/>
      <c r="X48" s="188"/>
      <c r="Y48" s="188"/>
      <c r="Z48" s="188"/>
      <c r="AA48" s="188"/>
      <c r="AB48" s="188"/>
    </row>
    <row r="49" spans="27:28" ht="13" customHeight="1">
      <c r="AA49" s="188"/>
      <c r="AB49" s="188"/>
    </row>
  </sheetData>
  <sheetProtection algorithmName="SHA-512" hashValue="0sUumyl4KcfVCFYOKLKhZiFBGevDWcI2dAQ2sfcYaC4NFz6zkMOZq06O09ZEDy7Q2lNk3UhBrs4WV538JPIzxA==" saltValue="NQIWd8PMHiStB8yZOEJasQ==" spinCount="100000" sheet="1"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r:id="rId1"/>
  <ignoredErrors>
    <ignoredError sqref="B15 B34:AE41 B16 I16 AC16:AE16 B5 E5:I5 B6 E6:I6 B7 E7:I7 B8 E8:I8 B9 E9:I9 B10 E10:I10 B11 E11:I11 B12 E12:I12 B13 E13:I13 B14 E14:I14 E15:I15 B17 E17:I17 B18 E18:I18 B19 E19:I19 B20 E20:I20 B21 E21:I21 B22 E22:I22 B23 E23:I23 B24 E24:I24 B25 E25:I25 B26 E26:I26 B27 E27:I27 B28 E28:I28 B29:C29 E29:I29 B30 E30:I30 B31:C31 E31:I31 B32 H32:I32 B33 E33:I33 Y5:AE5 AC6:AE6 AC7:AE7 AC8:AE8 AC9:AE9 AC10:AE10 AC11:AE11 AC12:AE12 AC13:AE13 AC14:AE14 AC15:AE15 AC17:AE17 AC18:AE18 AC19:AE19 AC20:AE20 AC21:AE21 AC22:AE22 AC23:AE23 AC24:AE24 AC25:AE25 AC26:AE26 AC27:AE27 AC28:AE28 AC29:AE29 AC30:AE30 AC31:AE31 AC32:AE32 AC33:AE33"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A4C46-8366-F542-A98A-873CE3963448}">
  <sheetPr codeName="Sheet10">
    <tabColor rgb="FFEB7100"/>
  </sheetPr>
  <dimension ref="B1:AI21"/>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8" width="10.83203125" style="116"/>
    <col min="9" max="9" width="2.83203125" style="116" customWidth="1"/>
    <col min="10" max="28" width="10.83203125" style="116"/>
    <col min="29" max="29" width="5.83203125" style="116" customWidth="1"/>
    <col min="30" max="16384" width="10.83203125" style="116"/>
  </cols>
  <sheetData>
    <row r="1" spans="2:35"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row>
    <row r="2" spans="2:35" s="10" customFormat="1" ht="13" customHeight="1">
      <c r="B2" s="267" t="str">
        <f>IF('Summary | Sumário'!D$6=Names!B$3,Names!AC1,Names!AD1)</f>
        <v>Fee Revenues (IFRS,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322"/>
      <c r="J2" s="20" t="str">
        <f>IF('Summary | Sumário'!D6=Names!B3,Names!C6,Names!D6)</f>
        <v>1Q21</v>
      </c>
      <c r="K2" s="21" t="str">
        <f>IF('Summary | Sumário'!D6=Names!B3,Names!C7,Names!D7)</f>
        <v>2Q21</v>
      </c>
      <c r="L2" s="21" t="str">
        <f>IF('Summary | Sumário'!D6=Names!B3,Names!C8,Names!D8)</f>
        <v>3Q21</v>
      </c>
      <c r="M2" s="21" t="str">
        <f>IF('Summary | Sumário'!D6=Names!B3,Names!C9,Names!D9)</f>
        <v>4Q21</v>
      </c>
      <c r="N2" s="21" t="str">
        <f>IF('Summary | Sumário'!D6=Names!B3,Names!C10,Names!D10)</f>
        <v>1Q22</v>
      </c>
      <c r="O2" s="21" t="str">
        <f>IF('Summary | Sumário'!D6=Names!B3,Names!C11,Names!D11)</f>
        <v>2Q22</v>
      </c>
      <c r="P2" s="21" t="str">
        <f>IF('Summary | Sumário'!D6=Names!B3,Names!C12,Names!D12)</f>
        <v>3Q22</v>
      </c>
      <c r="Q2" s="21" t="str">
        <f>IF('Summary | Sumário'!D6=Names!B3,Names!C13,Names!D13)</f>
        <v>4Q22</v>
      </c>
      <c r="R2" s="21" t="str">
        <f>IF('Summary | Sumário'!D6=Names!B3,Names!C14,Names!D14)</f>
        <v>1Q23</v>
      </c>
      <c r="S2" s="21" t="str">
        <f>IF('Summary | Sumário'!D6=Names!B3,Names!C15,Names!D15)</f>
        <v>2Q23</v>
      </c>
      <c r="T2" s="21" t="str">
        <f>IF('Summary | Sumário'!D6=Names!B3,Names!C16,Names!D16)</f>
        <v>3Q23</v>
      </c>
      <c r="U2" s="21" t="str">
        <f>IF('Summary | Sumário'!D6=Names!B3,Names!C17,Names!D17)</f>
        <v>4Q23</v>
      </c>
      <c r="V2" s="21" t="str">
        <f>IF('Summary | Sumário'!D6=Names!B3,Names!C19,Names!D19)</f>
        <v>1Q24</v>
      </c>
      <c r="W2" s="21" t="str">
        <f>IF('Summary | Sumário'!D6=Names!B3,Names!C20,Names!D20)</f>
        <v>2Q24</v>
      </c>
      <c r="X2" s="21" t="str">
        <f>IF('Summary | Sumário'!D6=Names!B3,Names!C21,Names!D21)</f>
        <v>3Q24</v>
      </c>
      <c r="Y2" s="21" t="str">
        <f>IF('Summary | Sumário'!D6=Names!B3,Names!C22,Names!D22)</f>
        <v>4Q24</v>
      </c>
      <c r="Z2" s="21" t="str">
        <f>IF('Summary | Sumário'!D6=Names!B3,Names!C24,Names!D24)</f>
        <v>1Q25</v>
      </c>
      <c r="AA2" s="21" t="str">
        <f>IF('Summary | Sumário'!D6=Names!B3,Names!C25,Names!D25)</f>
        <v>2Q25</v>
      </c>
      <c r="AB2" s="269" t="str">
        <f>IF('Summary | Sumário'!D6=Names!B3,Names!C26,Names!D26)</f>
        <v>3Q25</v>
      </c>
      <c r="AC2" s="321"/>
      <c r="AD2" s="104" t="str">
        <f>IF('Summary | Sumário'!$D$6=Names!$B$3,Names!$I$24,Names!$J$24)</f>
        <v>QoQ Variation</v>
      </c>
      <c r="AE2" s="104" t="str">
        <f>IF('Summary | Sumário'!$D$6=Names!$B$3,Names!$I$25,Names!$J$25)</f>
        <v>YoY Variation</v>
      </c>
      <c r="AF2" s="11"/>
      <c r="AH2" s="12"/>
      <c r="AI2" s="13"/>
    </row>
    <row r="3" spans="2:35" ht="13" customHeight="1">
      <c r="B3" s="14"/>
      <c r="C3" s="126"/>
      <c r="D3" s="126"/>
      <c r="E3" s="126"/>
      <c r="F3" s="126"/>
      <c r="G3" s="126"/>
      <c r="H3" s="126"/>
      <c r="I3" s="127"/>
      <c r="J3" s="127"/>
      <c r="K3" s="127"/>
      <c r="L3" s="127"/>
      <c r="M3" s="127"/>
      <c r="N3" s="127"/>
      <c r="O3" s="127"/>
      <c r="P3" s="127"/>
      <c r="Q3" s="127"/>
      <c r="R3" s="127"/>
      <c r="S3" s="127"/>
      <c r="T3" s="127"/>
      <c r="U3" s="127"/>
      <c r="V3" s="127"/>
      <c r="W3" s="127"/>
      <c r="X3" s="127"/>
      <c r="Y3" s="127"/>
      <c r="Z3" s="127"/>
      <c r="AA3" s="127"/>
      <c r="AB3" s="127"/>
      <c r="AC3" s="127"/>
      <c r="AD3" s="127"/>
      <c r="AE3" s="127"/>
    </row>
    <row r="4" spans="2:35" ht="13" customHeight="1">
      <c r="B4" s="270" t="str">
        <f>IF('Summary | Sumário'!D$6=Names!B$3,Names!AC23,Names!AD23)</f>
        <v>Fee revenues</v>
      </c>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row>
    <row r="5" spans="2:35" ht="13" customHeight="1">
      <c r="B5" s="271" t="str">
        <f>IF('Summary | Sumário'!D$6=Names!B$3,Names!AC24,Names!AD24)</f>
        <v>Net result from services and commissions</v>
      </c>
      <c r="C5" s="293">
        <v>73829.660999999993</v>
      </c>
      <c r="D5" s="293">
        <v>185534</v>
      </c>
      <c r="E5" s="293">
        <f>SUM(J5:M5)</f>
        <v>442272</v>
      </c>
      <c r="F5" s="293">
        <f>SUM(N5:Q5)</f>
        <v>838806</v>
      </c>
      <c r="G5" s="293">
        <f t="shared" ref="G5" si="0">SUM(R5:U5)</f>
        <v>1168800.6000000001</v>
      </c>
      <c r="H5" s="293">
        <f t="shared" ref="H5" si="1">SUM(V5:Y5)</f>
        <v>1609850.2739999997</v>
      </c>
      <c r="I5" s="215"/>
      <c r="J5" s="293">
        <v>77686</v>
      </c>
      <c r="K5" s="293">
        <v>89070</v>
      </c>
      <c r="L5" s="293">
        <v>122853</v>
      </c>
      <c r="M5" s="293">
        <v>152663</v>
      </c>
      <c r="N5" s="293">
        <v>177703</v>
      </c>
      <c r="O5" s="293">
        <v>204561</v>
      </c>
      <c r="P5" s="293">
        <v>217029</v>
      </c>
      <c r="Q5" s="293">
        <v>239513</v>
      </c>
      <c r="R5" s="293">
        <v>246675</v>
      </c>
      <c r="S5" s="293">
        <v>266801</v>
      </c>
      <c r="T5" s="293">
        <v>315509</v>
      </c>
      <c r="U5" s="293">
        <v>339815.6</v>
      </c>
      <c r="V5" s="293">
        <v>340317.39485153224</v>
      </c>
      <c r="W5" s="293">
        <v>364200.86699999997</v>
      </c>
      <c r="X5" s="293">
        <v>429990.49199999997</v>
      </c>
      <c r="Y5" s="293">
        <v>475341.5201484678</v>
      </c>
      <c r="Z5" s="293">
        <v>419113.4</v>
      </c>
      <c r="AA5" s="293">
        <v>452131</v>
      </c>
      <c r="AB5" s="293">
        <v>467370</v>
      </c>
      <c r="AC5" s="215"/>
      <c r="AD5" s="357">
        <f>AB5/AA5-1</f>
        <v>3.3704833333702E-2</v>
      </c>
      <c r="AE5" s="357">
        <f>AB5/X5-1</f>
        <v>8.6931010558252142E-2</v>
      </c>
    </row>
    <row r="6" spans="2:35" ht="13" customHeight="1">
      <c r="B6" s="496" t="str">
        <f>IF('Summary | Sumário'!D$6=Names!B$3,Names!AC4,Names!AD4)</f>
        <v>Interchange</v>
      </c>
      <c r="C6" s="215">
        <v>58152</v>
      </c>
      <c r="D6" s="215">
        <v>137863</v>
      </c>
      <c r="E6" s="215">
        <v>369340</v>
      </c>
      <c r="F6" s="215">
        <v>617552</v>
      </c>
      <c r="G6" s="215">
        <v>820630</v>
      </c>
      <c r="H6" s="215">
        <v>1131024.4148299999</v>
      </c>
      <c r="I6" s="215"/>
      <c r="J6" s="215">
        <v>61188</v>
      </c>
      <c r="K6" s="215">
        <v>78212</v>
      </c>
      <c r="L6" s="215">
        <v>99723</v>
      </c>
      <c r="M6" s="215">
        <v>130217</v>
      </c>
      <c r="N6" s="215">
        <v>127049</v>
      </c>
      <c r="O6" s="215">
        <v>149403</v>
      </c>
      <c r="P6" s="215">
        <v>161418</v>
      </c>
      <c r="Q6" s="215">
        <v>179682</v>
      </c>
      <c r="R6" s="215">
        <v>174929</v>
      </c>
      <c r="S6" s="215">
        <v>185608</v>
      </c>
      <c r="T6" s="215">
        <v>214415</v>
      </c>
      <c r="U6" s="215">
        <v>245678</v>
      </c>
      <c r="V6" s="215">
        <v>241890.53451</v>
      </c>
      <c r="W6" s="215">
        <v>254700.68423000001</v>
      </c>
      <c r="X6" s="215">
        <v>294983.18956000003</v>
      </c>
      <c r="Y6" s="215">
        <v>339450.0065299999</v>
      </c>
      <c r="Z6" s="215">
        <v>308341</v>
      </c>
      <c r="AA6" s="215">
        <v>332674</v>
      </c>
      <c r="AB6" s="215">
        <v>345261</v>
      </c>
      <c r="AC6" s="215"/>
      <c r="AD6" s="358">
        <f t="shared" ref="AD6:AD19" si="2">AB6/AA6-1</f>
        <v>3.7835839290115914E-2</v>
      </c>
      <c r="AE6" s="358">
        <f t="shared" ref="AE6:AE19" si="3">AB6/X6-1</f>
        <v>0.17044296834336525</v>
      </c>
    </row>
    <row r="7" spans="2:35" ht="13" customHeight="1">
      <c r="B7" s="100" t="str">
        <f>IF('Summary | Sumário'!D$6=Names!B$3,Names!AC40,Names!AD40)</f>
        <v>Commission and brokerage fees</v>
      </c>
      <c r="C7" s="214">
        <v>18870</v>
      </c>
      <c r="D7" s="214">
        <v>110640</v>
      </c>
      <c r="E7" s="214">
        <v>314586</v>
      </c>
      <c r="F7" s="214">
        <v>523889</v>
      </c>
      <c r="G7" s="214">
        <v>536580</v>
      </c>
      <c r="H7" s="214">
        <v>785975.55267</v>
      </c>
      <c r="I7" s="215"/>
      <c r="J7" s="214">
        <v>57439.66</v>
      </c>
      <c r="K7" s="214">
        <v>71617</v>
      </c>
      <c r="L7" s="214">
        <v>78731</v>
      </c>
      <c r="M7" s="214">
        <v>106798.34</v>
      </c>
      <c r="N7" s="214">
        <v>120069</v>
      </c>
      <c r="O7" s="214">
        <v>134103</v>
      </c>
      <c r="P7" s="214">
        <v>122675</v>
      </c>
      <c r="Q7" s="214">
        <v>147042</v>
      </c>
      <c r="R7" s="214">
        <v>132652</v>
      </c>
      <c r="S7" s="214">
        <v>116633</v>
      </c>
      <c r="T7" s="214">
        <v>142831</v>
      </c>
      <c r="U7" s="214">
        <v>144464</v>
      </c>
      <c r="V7" s="214">
        <v>146067.27165041512</v>
      </c>
      <c r="W7" s="214">
        <v>189250.16493492996</v>
      </c>
      <c r="X7" s="214">
        <v>221396.29507507</v>
      </c>
      <c r="Y7" s="214">
        <v>229261.82100958494</v>
      </c>
      <c r="Z7" s="214">
        <v>193621</v>
      </c>
      <c r="AA7" s="214">
        <v>193901</v>
      </c>
      <c r="AB7" s="214">
        <v>213084</v>
      </c>
      <c r="AC7" s="215"/>
      <c r="AD7" s="359">
        <f t="shared" si="2"/>
        <v>9.8931929180354983E-2</v>
      </c>
      <c r="AE7" s="359">
        <f t="shared" si="3"/>
        <v>-3.7544869810271719E-2</v>
      </c>
    </row>
    <row r="8" spans="2:35" ht="13" customHeight="1">
      <c r="B8" s="496" t="str">
        <f>IF('Summary | Sumário'!D$6=Names!B$3,Names!AC39,Names!AD39)</f>
        <v>Banking and credit operations</v>
      </c>
      <c r="C8" s="215">
        <v>29397</v>
      </c>
      <c r="D8" s="215">
        <v>40436</v>
      </c>
      <c r="E8" s="215">
        <v>50992</v>
      </c>
      <c r="F8" s="215">
        <v>62544</v>
      </c>
      <c r="G8" s="215">
        <v>89507</v>
      </c>
      <c r="H8" s="215">
        <v>108135</v>
      </c>
      <c r="I8" s="215"/>
      <c r="J8" s="215">
        <v>11035</v>
      </c>
      <c r="K8" s="215">
        <v>11281</v>
      </c>
      <c r="L8" s="215">
        <v>13664</v>
      </c>
      <c r="M8" s="215">
        <v>15012</v>
      </c>
      <c r="N8" s="215">
        <v>12254</v>
      </c>
      <c r="O8" s="215">
        <v>16155</v>
      </c>
      <c r="P8" s="215">
        <v>16837</v>
      </c>
      <c r="Q8" s="215">
        <v>17298</v>
      </c>
      <c r="R8" s="215">
        <v>14541</v>
      </c>
      <c r="S8" s="215">
        <v>21875.4</v>
      </c>
      <c r="T8" s="215">
        <v>24030</v>
      </c>
      <c r="U8" s="215">
        <v>29060.6</v>
      </c>
      <c r="V8" s="215">
        <v>25837.612680000002</v>
      </c>
      <c r="W8" s="215">
        <v>27809.559130000001</v>
      </c>
      <c r="X8" s="215">
        <v>26119.440870000002</v>
      </c>
      <c r="Y8" s="215">
        <v>28368.387319999994</v>
      </c>
      <c r="Z8" s="215">
        <v>11897</v>
      </c>
      <c r="AA8" s="215">
        <v>10830</v>
      </c>
      <c r="AB8" s="215">
        <v>11055</v>
      </c>
      <c r="AC8" s="215"/>
      <c r="AD8" s="358">
        <f t="shared" si="2"/>
        <v>2.0775623268697974E-2</v>
      </c>
      <c r="AE8" s="358">
        <f t="shared" si="3"/>
        <v>-0.57675204247203327</v>
      </c>
    </row>
    <row r="9" spans="2:35" ht="13" customHeight="1">
      <c r="B9" s="100" t="str">
        <f>IF('Summary | Sumário'!D$6=Names!B$3,Names!AC8,Names!AD8)</f>
        <v>Other</v>
      </c>
      <c r="C9" s="214">
        <v>4271</v>
      </c>
      <c r="D9" s="214">
        <v>6005</v>
      </c>
      <c r="E9" s="214">
        <v>9780</v>
      </c>
      <c r="F9" s="214">
        <v>18059</v>
      </c>
      <c r="G9" s="214">
        <v>69945</v>
      </c>
      <c r="H9" s="214">
        <v>90813.390399400101</v>
      </c>
      <c r="I9" s="215"/>
      <c r="J9" s="214">
        <v>1891</v>
      </c>
      <c r="K9" s="214">
        <v>2826</v>
      </c>
      <c r="L9" s="214">
        <v>2715</v>
      </c>
      <c r="M9" s="214">
        <v>2348</v>
      </c>
      <c r="N9" s="214">
        <v>5875</v>
      </c>
      <c r="O9" s="214">
        <v>5182</v>
      </c>
      <c r="P9" s="214">
        <v>3516</v>
      </c>
      <c r="Q9" s="214">
        <v>3486</v>
      </c>
      <c r="R9" s="214">
        <v>7279</v>
      </c>
      <c r="S9" s="214">
        <v>20925</v>
      </c>
      <c r="T9" s="214">
        <v>20957</v>
      </c>
      <c r="U9" s="214">
        <v>20784</v>
      </c>
      <c r="V9" s="214">
        <v>25279.820079759389</v>
      </c>
      <c r="W9" s="214">
        <v>17465.699248099983</v>
      </c>
      <c r="X9" s="214">
        <v>24324.045841900101</v>
      </c>
      <c r="Y9" s="214">
        <v>23743.825229640628</v>
      </c>
      <c r="Z9" s="214">
        <v>16560</v>
      </c>
      <c r="AA9" s="214">
        <v>14005</v>
      </c>
      <c r="AB9" s="214">
        <v>18101</v>
      </c>
      <c r="AC9" s="215"/>
      <c r="AD9" s="359">
        <f t="shared" si="2"/>
        <v>0.29246697607997141</v>
      </c>
      <c r="AE9" s="359">
        <f t="shared" si="3"/>
        <v>-0.25583925808840613</v>
      </c>
    </row>
    <row r="10" spans="2:35" ht="13" customHeight="1">
      <c r="B10" s="496" t="str">
        <f>IF('Summary | Sumário'!D$6=Names!B$3,Names!AC38,Names!AD38)</f>
        <v>Fund managament and investment fees</v>
      </c>
      <c r="C10" s="215">
        <v>19767</v>
      </c>
      <c r="D10" s="215">
        <v>22177</v>
      </c>
      <c r="E10" s="215">
        <v>49234</v>
      </c>
      <c r="F10" s="215">
        <v>67433</v>
      </c>
      <c r="G10" s="215">
        <v>90772</v>
      </c>
      <c r="H10" s="215">
        <v>124127.8705302</v>
      </c>
      <c r="I10" s="215"/>
      <c r="J10" s="215">
        <v>7894</v>
      </c>
      <c r="K10" s="215">
        <v>7159</v>
      </c>
      <c r="L10" s="215">
        <v>20258</v>
      </c>
      <c r="M10" s="215">
        <v>13923</v>
      </c>
      <c r="N10" s="215">
        <v>23514</v>
      </c>
      <c r="O10" s="215">
        <v>18922</v>
      </c>
      <c r="P10" s="215">
        <v>22407</v>
      </c>
      <c r="Q10" s="215">
        <v>2590</v>
      </c>
      <c r="R10" s="215">
        <v>20220</v>
      </c>
      <c r="S10" s="215">
        <v>18062</v>
      </c>
      <c r="T10" s="215">
        <v>20848</v>
      </c>
      <c r="U10" s="215">
        <v>31642</v>
      </c>
      <c r="V10" s="215">
        <v>28732</v>
      </c>
      <c r="W10" s="215">
        <v>27595.525853990002</v>
      </c>
      <c r="X10" s="215">
        <v>35583.665756010007</v>
      </c>
      <c r="Y10" s="215">
        <v>32216.678920199993</v>
      </c>
      <c r="Z10" s="215">
        <v>33601</v>
      </c>
      <c r="AA10" s="215">
        <v>40628</v>
      </c>
      <c r="AB10" s="215">
        <v>40576</v>
      </c>
      <c r="AC10" s="215"/>
      <c r="AD10" s="358">
        <f t="shared" si="2"/>
        <v>-1.2799054839027768E-3</v>
      </c>
      <c r="AE10" s="358">
        <f t="shared" si="3"/>
        <v>0.14029848071925533</v>
      </c>
    </row>
    <row r="11" spans="2:35" ht="13" customHeight="1">
      <c r="B11" s="100" t="str">
        <f>IF('Summary | Sumário'!D$6=Names!B$3,Names!AC10,Names!AD10)</f>
        <v>Cashback expenses</v>
      </c>
      <c r="C11" s="214">
        <v>0</v>
      </c>
      <c r="D11" s="214">
        <v>-59976</v>
      </c>
      <c r="E11" s="214">
        <v>-251363</v>
      </c>
      <c r="F11" s="214">
        <v>-321438</v>
      </c>
      <c r="G11" s="214">
        <v>-236482</v>
      </c>
      <c r="H11" s="214">
        <v>-360561.95250999997</v>
      </c>
      <c r="I11" s="215"/>
      <c r="J11" s="214">
        <v>-38482.660000000003</v>
      </c>
      <c r="K11" s="214">
        <v>-60184</v>
      </c>
      <c r="L11" s="214">
        <v>-65808</v>
      </c>
      <c r="M11" s="214">
        <v>-86888.34</v>
      </c>
      <c r="N11" s="214">
        <v>-82542</v>
      </c>
      <c r="O11" s="214">
        <v>-85250</v>
      </c>
      <c r="P11" s="214">
        <v>-76420</v>
      </c>
      <c r="Q11" s="214">
        <v>-77226</v>
      </c>
      <c r="R11" s="214">
        <v>-67268</v>
      </c>
      <c r="S11" s="214">
        <v>-58005</v>
      </c>
      <c r="T11" s="214">
        <v>-48391</v>
      </c>
      <c r="U11" s="214">
        <v>-62818</v>
      </c>
      <c r="V11" s="214">
        <v>-63381.686999999998</v>
      </c>
      <c r="W11" s="214">
        <v>-91044.550029999999</v>
      </c>
      <c r="X11" s="214">
        <v>-104280.54006</v>
      </c>
      <c r="Y11" s="214">
        <v>-101855.17541999999</v>
      </c>
      <c r="Z11" s="214">
        <v>-68120</v>
      </c>
      <c r="AA11" s="214">
        <v>-58376</v>
      </c>
      <c r="AB11" s="214">
        <v>-75042</v>
      </c>
      <c r="AC11" s="215"/>
      <c r="AD11" s="359">
        <f t="shared" si="2"/>
        <v>0.28549403864601897</v>
      </c>
      <c r="AE11" s="359">
        <f t="shared" si="3"/>
        <v>-0.28038347368719985</v>
      </c>
    </row>
    <row r="12" spans="2:35" ht="13" customHeight="1">
      <c r="B12" s="496" t="str">
        <f>IF('Summary | Sumário'!D$6=Names!B$3,Names!AC11,Names!AD11)</f>
        <v>Inter Loop</v>
      </c>
      <c r="C12" s="215">
        <v>0</v>
      </c>
      <c r="D12" s="215">
        <v>0</v>
      </c>
      <c r="E12" s="215">
        <v>0</v>
      </c>
      <c r="F12" s="215">
        <v>0</v>
      </c>
      <c r="G12" s="215">
        <v>-66571</v>
      </c>
      <c r="H12" s="215">
        <v>-126233.79137000001</v>
      </c>
      <c r="I12" s="215"/>
      <c r="J12" s="215">
        <v>0</v>
      </c>
      <c r="K12" s="215">
        <v>0</v>
      </c>
      <c r="L12" s="215">
        <v>0</v>
      </c>
      <c r="M12" s="215">
        <v>0</v>
      </c>
      <c r="N12" s="215">
        <v>0</v>
      </c>
      <c r="O12" s="215">
        <v>0</v>
      </c>
      <c r="P12" s="215">
        <v>0</v>
      </c>
      <c r="Q12" s="215">
        <v>0</v>
      </c>
      <c r="R12" s="215">
        <v>0</v>
      </c>
      <c r="S12" s="215">
        <v>-6574</v>
      </c>
      <c r="T12" s="215">
        <v>-26910</v>
      </c>
      <c r="U12" s="215">
        <v>-33087</v>
      </c>
      <c r="V12" s="215">
        <v>-30086.383590000005</v>
      </c>
      <c r="W12" s="215">
        <v>-28632.017450000003</v>
      </c>
      <c r="X12" s="215">
        <v>-30458.598399999999</v>
      </c>
      <c r="Y12" s="215">
        <v>-37056.791929999992</v>
      </c>
      <c r="Z12" s="215">
        <v>-35976</v>
      </c>
      <c r="AA12" s="215">
        <v>-38534</v>
      </c>
      <c r="AB12" s="215">
        <v>-38856</v>
      </c>
      <c r="AC12" s="215"/>
      <c r="AD12" s="358">
        <f t="shared" si="2"/>
        <v>8.3562568121657854E-3</v>
      </c>
      <c r="AE12" s="358">
        <f t="shared" si="3"/>
        <v>0.27569888442404489</v>
      </c>
    </row>
    <row r="13" spans="2:35" ht="13" customHeight="1">
      <c r="B13" s="100" t="str">
        <f>IF('Summary | Sumário'!D$6=Names!B$3,Names!AC12,Names!AD12)</f>
        <v>Expenses from services and commissions</v>
      </c>
      <c r="C13" s="214">
        <v>-56627.339</v>
      </c>
      <c r="D13" s="214">
        <v>-71611</v>
      </c>
      <c r="E13" s="214">
        <v>-100297</v>
      </c>
      <c r="F13" s="214">
        <v>-129233</v>
      </c>
      <c r="G13" s="214">
        <v>-135582</v>
      </c>
      <c r="H13" s="214">
        <v>-143430.21100000001</v>
      </c>
      <c r="I13" s="215"/>
      <c r="J13" s="214">
        <v>-23279</v>
      </c>
      <c r="K13" s="214">
        <v>-21841</v>
      </c>
      <c r="L13" s="214">
        <v>-26430</v>
      </c>
      <c r="M13" s="214">
        <v>-28747</v>
      </c>
      <c r="N13" s="214">
        <v>-28516</v>
      </c>
      <c r="O13" s="214">
        <v>-33954</v>
      </c>
      <c r="P13" s="214">
        <v>-33404</v>
      </c>
      <c r="Q13" s="214">
        <v>-33359</v>
      </c>
      <c r="R13" s="214">
        <v>-35678</v>
      </c>
      <c r="S13" s="214">
        <v>-31723</v>
      </c>
      <c r="T13" s="214">
        <v>-32271</v>
      </c>
      <c r="U13" s="214">
        <v>-35910</v>
      </c>
      <c r="V13" s="214">
        <v>-34021.773478642281</v>
      </c>
      <c r="W13" s="214">
        <v>-32942.008999999998</v>
      </c>
      <c r="X13" s="214">
        <v>-37676.508000000002</v>
      </c>
      <c r="Y13" s="214">
        <v>-38789.920521357737</v>
      </c>
      <c r="Z13" s="214">
        <v>-40810.6</v>
      </c>
      <c r="AA13" s="214">
        <v>-42997</v>
      </c>
      <c r="AB13" s="214">
        <v>-46809</v>
      </c>
      <c r="AC13" s="215"/>
      <c r="AD13" s="359">
        <f t="shared" si="2"/>
        <v>8.8657348187082929E-2</v>
      </c>
      <c r="AE13" s="359">
        <f t="shared" si="3"/>
        <v>0.24239220895949276</v>
      </c>
    </row>
    <row r="14" spans="2:35" ht="13" customHeight="1">
      <c r="B14" s="16" t="str">
        <f>IF('Summary | Sumário'!D$6=Names!B$3,Names!AC21,Names!AD21)</f>
        <v>Other revenues</v>
      </c>
      <c r="C14" s="215">
        <f t="shared" ref="C14:Z14" si="4">SUM(C15:C18)</f>
        <v>46867</v>
      </c>
      <c r="D14" s="215">
        <f t="shared" si="4"/>
        <v>92564</v>
      </c>
      <c r="E14" s="215">
        <f t="shared" si="4"/>
        <v>165415</v>
      </c>
      <c r="F14" s="215">
        <f t="shared" si="4"/>
        <v>288682</v>
      </c>
      <c r="G14" s="215">
        <f t="shared" si="4"/>
        <v>286980</v>
      </c>
      <c r="H14" s="215">
        <f t="shared" si="4"/>
        <v>333570.52926939994</v>
      </c>
      <c r="I14" s="215"/>
      <c r="J14" s="215">
        <f t="shared" si="4"/>
        <v>41623</v>
      </c>
      <c r="K14" s="215">
        <f t="shared" si="4"/>
        <v>69359</v>
      </c>
      <c r="L14" s="215">
        <f t="shared" si="4"/>
        <v>30496</v>
      </c>
      <c r="M14" s="215">
        <f t="shared" si="4"/>
        <v>23937</v>
      </c>
      <c r="N14" s="215">
        <f t="shared" si="4"/>
        <v>95374</v>
      </c>
      <c r="O14" s="215">
        <f t="shared" si="4"/>
        <v>85809</v>
      </c>
      <c r="P14" s="215">
        <f t="shared" si="4"/>
        <v>46550</v>
      </c>
      <c r="Q14" s="215">
        <f t="shared" si="4"/>
        <v>60949</v>
      </c>
      <c r="R14" s="215">
        <f t="shared" si="4"/>
        <v>50958</v>
      </c>
      <c r="S14" s="215">
        <f t="shared" si="4"/>
        <v>54967</v>
      </c>
      <c r="T14" s="215">
        <f t="shared" si="4"/>
        <v>104770.50028000001</v>
      </c>
      <c r="U14" s="215">
        <f t="shared" si="4"/>
        <v>76284.499719999993</v>
      </c>
      <c r="V14" s="215">
        <f t="shared" si="4"/>
        <v>68201</v>
      </c>
      <c r="W14" s="215">
        <f t="shared" si="4"/>
        <v>72531.218238679983</v>
      </c>
      <c r="X14" s="215">
        <f t="shared" si="4"/>
        <v>81802.620979938802</v>
      </c>
      <c r="Y14" s="215">
        <f t="shared" si="4"/>
        <v>111035.69005078121</v>
      </c>
      <c r="Z14" s="215">
        <f t="shared" si="4"/>
        <v>56093.4</v>
      </c>
      <c r="AA14" s="215">
        <f t="shared" ref="AA14:AB14" si="5">SUM(AA15:AA18)</f>
        <v>81444.399999999994</v>
      </c>
      <c r="AB14" s="215">
        <f t="shared" si="5"/>
        <v>72103</v>
      </c>
      <c r="AC14" s="215"/>
      <c r="AD14" s="358">
        <f t="shared" si="2"/>
        <v>-0.11469665194905965</v>
      </c>
      <c r="AE14" s="358">
        <f t="shared" si="3"/>
        <v>-0.11857347434280285</v>
      </c>
    </row>
    <row r="15" spans="2:35" ht="13" customHeight="1">
      <c r="B15" s="100" t="str">
        <f>IF('Summary | Sumário'!D$6=Names!B$3,Names!AC42,Names!AD42)</f>
        <v>Credits from payables with credit card networks</v>
      </c>
      <c r="C15" s="214">
        <v>0</v>
      </c>
      <c r="D15" s="214">
        <v>0</v>
      </c>
      <c r="E15" s="214">
        <v>0</v>
      </c>
      <c r="F15" s="214">
        <v>0</v>
      </c>
      <c r="G15" s="214">
        <v>52316.985379999998</v>
      </c>
      <c r="H15" s="214">
        <v>81740</v>
      </c>
      <c r="I15" s="215"/>
      <c r="J15" s="214">
        <v>0</v>
      </c>
      <c r="K15" s="214">
        <v>0</v>
      </c>
      <c r="L15" s="214">
        <v>0</v>
      </c>
      <c r="M15" s="214">
        <v>0</v>
      </c>
      <c r="N15" s="214">
        <v>0</v>
      </c>
      <c r="O15" s="214">
        <v>0</v>
      </c>
      <c r="P15" s="214">
        <v>0</v>
      </c>
      <c r="Q15" s="214">
        <v>0</v>
      </c>
      <c r="R15" s="214">
        <v>0</v>
      </c>
      <c r="S15" s="214">
        <v>13028.933999999999</v>
      </c>
      <c r="T15" s="214">
        <v>14002.33604</v>
      </c>
      <c r="U15" s="214">
        <v>25285.715339999995</v>
      </c>
      <c r="V15" s="214">
        <v>17461.62442</v>
      </c>
      <c r="W15" s="214">
        <v>25175.659950000001</v>
      </c>
      <c r="X15" s="214">
        <v>16552.843199999996</v>
      </c>
      <c r="Y15" s="214">
        <v>22549.872430000003</v>
      </c>
      <c r="Z15" s="214">
        <v>35257</v>
      </c>
      <c r="AA15" s="214">
        <v>35811</v>
      </c>
      <c r="AB15" s="214">
        <v>38581</v>
      </c>
      <c r="AC15" s="215"/>
      <c r="AD15" s="359">
        <f t="shared" si="2"/>
        <v>7.7350534751891908E-2</v>
      </c>
      <c r="AE15" s="359">
        <f t="shared" si="3"/>
        <v>1.3307778327773931</v>
      </c>
    </row>
    <row r="16" spans="2:35" ht="13" customHeight="1">
      <c r="B16" s="496" t="str">
        <f>IF('Summary | Sumário'!D$6=Names!B$3,Names!AC16,Names!AD16)</f>
        <v>Performance fees</v>
      </c>
      <c r="C16" s="215">
        <v>24610</v>
      </c>
      <c r="D16" s="215">
        <v>75230</v>
      </c>
      <c r="E16" s="215">
        <v>102863</v>
      </c>
      <c r="F16" s="215">
        <v>150401</v>
      </c>
      <c r="G16" s="215">
        <v>135260</v>
      </c>
      <c r="H16" s="215">
        <v>73649.78379999999</v>
      </c>
      <c r="I16" s="215"/>
      <c r="J16" s="215">
        <v>29089</v>
      </c>
      <c r="K16" s="215">
        <v>45719</v>
      </c>
      <c r="L16" s="215">
        <v>18654</v>
      </c>
      <c r="M16" s="215">
        <v>9401</v>
      </c>
      <c r="N16" s="215">
        <v>40734</v>
      </c>
      <c r="O16" s="215">
        <v>52204</v>
      </c>
      <c r="P16" s="215">
        <v>30764</v>
      </c>
      <c r="Q16" s="215">
        <v>26699</v>
      </c>
      <c r="R16" s="215">
        <v>28285</v>
      </c>
      <c r="S16" s="215">
        <v>27910</v>
      </c>
      <c r="T16" s="215">
        <v>48644.500280000007</v>
      </c>
      <c r="U16" s="215">
        <v>30420.499719999993</v>
      </c>
      <c r="V16" s="215">
        <v>24264</v>
      </c>
      <c r="W16" s="215">
        <v>16726.843239999995</v>
      </c>
      <c r="X16" s="215">
        <v>14306.74461</v>
      </c>
      <c r="Y16" s="215">
        <v>18352.195949999994</v>
      </c>
      <c r="Z16" s="215">
        <v>9130.4</v>
      </c>
      <c r="AA16" s="215">
        <v>11653.4</v>
      </c>
      <c r="AB16" s="215">
        <v>9962</v>
      </c>
      <c r="AC16" s="215"/>
      <c r="AD16" s="358">
        <f t="shared" si="2"/>
        <v>-0.14514219026206943</v>
      </c>
      <c r="AE16" s="358">
        <f t="shared" si="3"/>
        <v>-0.30368506102800974</v>
      </c>
    </row>
    <row r="17" spans="2:31" ht="13" customHeight="1">
      <c r="B17" s="100" t="str">
        <f>IF('Summary | Sumário'!D$6=Names!B$3,Names!AC17,Names!AD17)</f>
        <v>Capital gains (losses)</v>
      </c>
      <c r="C17" s="214">
        <v>0</v>
      </c>
      <c r="D17" s="214">
        <v>0</v>
      </c>
      <c r="E17" s="214">
        <v>29330</v>
      </c>
      <c r="F17" s="214">
        <v>66363</v>
      </c>
      <c r="G17" s="214">
        <v>41785</v>
      </c>
      <c r="H17" s="214">
        <v>55538.273229999999</v>
      </c>
      <c r="I17" s="215"/>
      <c r="J17" s="214">
        <v>6837</v>
      </c>
      <c r="K17" s="214">
        <v>13917</v>
      </c>
      <c r="L17" s="214">
        <v>4248</v>
      </c>
      <c r="M17" s="214">
        <v>4328</v>
      </c>
      <c r="N17" s="214">
        <v>38486</v>
      </c>
      <c r="O17" s="214">
        <v>22428</v>
      </c>
      <c r="P17" s="214">
        <v>2651</v>
      </c>
      <c r="Q17" s="214">
        <v>2798</v>
      </c>
      <c r="R17" s="214">
        <v>2938</v>
      </c>
      <c r="S17" s="214">
        <v>6149</v>
      </c>
      <c r="T17" s="214">
        <v>25341</v>
      </c>
      <c r="U17" s="214">
        <v>7357</v>
      </c>
      <c r="V17" s="214">
        <v>3255</v>
      </c>
      <c r="W17" s="214">
        <v>5533.7366399999992</v>
      </c>
      <c r="X17" s="214">
        <v>7716.9919500000005</v>
      </c>
      <c r="Y17" s="214">
        <v>39032.54464</v>
      </c>
      <c r="Z17" s="214">
        <v>-1952</v>
      </c>
      <c r="AA17" s="214">
        <v>1965</v>
      </c>
      <c r="AB17" s="214">
        <v>-15266</v>
      </c>
      <c r="AC17" s="215"/>
      <c r="AD17" s="359">
        <f t="shared" si="2"/>
        <v>-8.7689567430025441</v>
      </c>
      <c r="AE17" s="359">
        <f t="shared" si="3"/>
        <v>-2.9782319456741169</v>
      </c>
    </row>
    <row r="18" spans="2:31" ht="13" customHeight="1">
      <c r="B18" s="496" t="str">
        <f>IF('Summary | Sumário'!D$6=Names!B$3,Names!AC19,Names!AD19)</f>
        <v>Other revenue</v>
      </c>
      <c r="C18" s="215">
        <v>22257</v>
      </c>
      <c r="D18" s="215">
        <v>17334</v>
      </c>
      <c r="E18" s="215">
        <v>33222</v>
      </c>
      <c r="F18" s="215">
        <v>71918</v>
      </c>
      <c r="G18" s="215">
        <v>57618.014620000009</v>
      </c>
      <c r="H18" s="215">
        <v>122642.4722394</v>
      </c>
      <c r="I18" s="215"/>
      <c r="J18" s="215">
        <v>5697</v>
      </c>
      <c r="K18" s="215">
        <v>9723</v>
      </c>
      <c r="L18" s="215">
        <v>7594</v>
      </c>
      <c r="M18" s="215">
        <v>10208</v>
      </c>
      <c r="N18" s="215">
        <v>16154</v>
      </c>
      <c r="O18" s="215">
        <v>11177</v>
      </c>
      <c r="P18" s="215">
        <v>13135</v>
      </c>
      <c r="Q18" s="215">
        <v>31452</v>
      </c>
      <c r="R18" s="215">
        <v>19735</v>
      </c>
      <c r="S18" s="215">
        <v>7879.0659999999989</v>
      </c>
      <c r="T18" s="215">
        <v>16782.663960000005</v>
      </c>
      <c r="U18" s="215">
        <v>13221.284660000005</v>
      </c>
      <c r="V18" s="215">
        <v>23220.37558</v>
      </c>
      <c r="W18" s="215">
        <v>25094.978408679988</v>
      </c>
      <c r="X18" s="215">
        <v>43226.041219938801</v>
      </c>
      <c r="Y18" s="215">
        <v>31101.07703078122</v>
      </c>
      <c r="Z18" s="215">
        <v>13658</v>
      </c>
      <c r="AA18" s="215">
        <v>32015</v>
      </c>
      <c r="AB18" s="215">
        <v>38826</v>
      </c>
      <c r="AC18" s="215"/>
      <c r="AD18" s="358">
        <f t="shared" si="2"/>
        <v>0.21274402623770117</v>
      </c>
      <c r="AE18" s="358">
        <f t="shared" si="3"/>
        <v>-0.10179144552125219</v>
      </c>
    </row>
    <row r="19" spans="2:31" ht="13" customHeight="1">
      <c r="B19" s="298" t="str">
        <f>IF('Summary | Sumário'!D$6=Names!B$3,Names!AC26,Names!AD26)</f>
        <v>Net fee revenues</v>
      </c>
      <c r="C19" s="282">
        <f t="shared" ref="C19:H19" si="6">C5+C14</f>
        <v>120696.66099999999</v>
      </c>
      <c r="D19" s="282">
        <f t="shared" si="6"/>
        <v>278098</v>
      </c>
      <c r="E19" s="282">
        <f t="shared" si="6"/>
        <v>607687</v>
      </c>
      <c r="F19" s="282">
        <f t="shared" si="6"/>
        <v>1127488</v>
      </c>
      <c r="G19" s="282">
        <f t="shared" si="6"/>
        <v>1455780.6</v>
      </c>
      <c r="H19" s="282">
        <f t="shared" si="6"/>
        <v>1943420.8032693998</v>
      </c>
      <c r="I19" s="227"/>
      <c r="J19" s="282">
        <f t="shared" ref="J19:Z19" si="7">J5+J14</f>
        <v>119309</v>
      </c>
      <c r="K19" s="282">
        <f t="shared" si="7"/>
        <v>158429</v>
      </c>
      <c r="L19" s="282">
        <f t="shared" si="7"/>
        <v>153349</v>
      </c>
      <c r="M19" s="282">
        <f t="shared" si="7"/>
        <v>176600</v>
      </c>
      <c r="N19" s="282">
        <f t="shared" si="7"/>
        <v>273077</v>
      </c>
      <c r="O19" s="282">
        <f t="shared" si="7"/>
        <v>290370</v>
      </c>
      <c r="P19" s="282">
        <f t="shared" si="7"/>
        <v>263579</v>
      </c>
      <c r="Q19" s="282">
        <f t="shared" si="7"/>
        <v>300462</v>
      </c>
      <c r="R19" s="282">
        <f t="shared" si="7"/>
        <v>297633</v>
      </c>
      <c r="S19" s="282">
        <f t="shared" si="7"/>
        <v>321768</v>
      </c>
      <c r="T19" s="282">
        <f t="shared" si="7"/>
        <v>420279.50028000004</v>
      </c>
      <c r="U19" s="282">
        <f t="shared" si="7"/>
        <v>416100.09971999994</v>
      </c>
      <c r="V19" s="282">
        <f t="shared" si="7"/>
        <v>408518.39485153224</v>
      </c>
      <c r="W19" s="282">
        <f t="shared" si="7"/>
        <v>436732.08523867995</v>
      </c>
      <c r="X19" s="282">
        <f t="shared" si="7"/>
        <v>511793.11297993874</v>
      </c>
      <c r="Y19" s="282">
        <f t="shared" si="7"/>
        <v>586377.21019924898</v>
      </c>
      <c r="Z19" s="282">
        <f t="shared" si="7"/>
        <v>475206.80000000005</v>
      </c>
      <c r="AA19" s="282">
        <f t="shared" ref="AA19:AB19" si="8">AA5+AA14</f>
        <v>533575.4</v>
      </c>
      <c r="AB19" s="282">
        <f t="shared" si="8"/>
        <v>539473</v>
      </c>
      <c r="AC19" s="227"/>
      <c r="AD19" s="360">
        <f t="shared" si="2"/>
        <v>1.1052983327192401E-2</v>
      </c>
      <c r="AE19" s="360">
        <f t="shared" si="3"/>
        <v>5.408413344777907E-2</v>
      </c>
    </row>
    <row r="21" spans="2:31" ht="13" customHeight="1">
      <c r="H21" s="157"/>
    </row>
  </sheetData>
  <sheetProtection algorithmName="SHA-512" hashValue="m06FDciyUB8Pc6HZP4Vktt49nQEqfRGdia6uswIXrFgnCflY9E81ML4GeAtjzim0ElBCLzNljClGhOWibF7jPQ==" saltValue="OTd2gk+P7bk+6cmMXgg0lA=="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32387ac-e78b-4690-a915-72ca2ef0e251">
      <UserInfo>
        <DisplayName/>
        <AccountId xsi:nil="true"/>
        <AccountType/>
      </UserInfo>
    </SharedWithUsers>
    <lcf76f155ced4ddcb4097134ff3c332f xmlns="5d9f6fee-b6ef-4fa4-8eca-ab2ea167719e">
      <Terms xmlns="http://schemas.microsoft.com/office/infopath/2007/PartnerControls"/>
    </lcf76f155ced4ddcb4097134ff3c332f>
    <TaxCatchAll xmlns="732387ac-e78b-4690-a915-72ca2ef0e251" xsi:nil="true"/>
    <_Flow_SignoffStatus xmlns="5d9f6fee-b6ef-4fa4-8eca-ab2ea167719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BE818A26B56FC449FC3FC4B33B773FD" ma:contentTypeVersion="18" ma:contentTypeDescription="Create a new document." ma:contentTypeScope="" ma:versionID="a0ca8ea0f8491959fbf54d59d921fe37">
  <xsd:schema xmlns:xsd="http://www.w3.org/2001/XMLSchema" xmlns:xs="http://www.w3.org/2001/XMLSchema" xmlns:p="http://schemas.microsoft.com/office/2006/metadata/properties" xmlns:ns2="5d9f6fee-b6ef-4fa4-8eca-ab2ea167719e" xmlns:ns3="732387ac-e78b-4690-a915-72ca2ef0e251" targetNamespace="http://schemas.microsoft.com/office/2006/metadata/properties" ma:root="true" ma:fieldsID="f1d908c4c5bcf057f5be83c6c644188d" ns2:_="" ns3:_="">
    <xsd:import namespace="5d9f6fee-b6ef-4fa4-8eca-ab2ea167719e"/>
    <xsd:import namespace="732387ac-e78b-4690-a915-72ca2ef0e25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9f6fee-b6ef-4fa4-8eca-ab2ea16771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5be271f-47c9-4e56-9709-cda91bb8546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_Flow_SignoffStatus" ma:index="24" nillable="true" ma:displayName="Sign-off status" ma:internalName="_x0024_Resources_x003a_core_x002c_Signoff_Status">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2387ac-e78b-4690-a915-72ca2ef0e25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212c62a7-6304-4677-961b-98b31ee99232}" ma:internalName="TaxCatchAll" ma:showField="CatchAllData" ma:web="732387ac-e78b-4690-a915-72ca2ef0e2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2DE5B4-D031-4212-9547-CB6B5BD9375B}">
  <ds:schemaRefs>
    <ds:schemaRef ds:uri="5d9f6fee-b6ef-4fa4-8eca-ab2ea167719e"/>
    <ds:schemaRef ds:uri="http://purl.org/dc/elements/1.1/"/>
    <ds:schemaRef ds:uri="http://schemas.openxmlformats.org/package/2006/metadata/core-properties"/>
    <ds:schemaRef ds:uri="http://www.w3.org/XML/1998/namespace"/>
    <ds:schemaRef ds:uri="http://purl.org/dc/dcmitype/"/>
    <ds:schemaRef ds:uri="732387ac-e78b-4690-a915-72ca2ef0e251"/>
    <ds:schemaRef ds:uri="http://schemas.microsoft.com/office/2006/metadata/properties"/>
    <ds:schemaRef ds:uri="http://schemas.microsoft.com/office/2006/documentManagement/typ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C5CB1B1E-67E9-4AAD-855B-9AD70C9164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9f6fee-b6ef-4fa4-8eca-ab2ea167719e"/>
    <ds:schemaRef ds:uri="732387ac-e78b-4690-a915-72ca2ef0e2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3CD487-4B02-4B36-BF83-23F3D0CAFB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30</vt:i4>
      </vt:variant>
    </vt:vector>
  </HeadingPairs>
  <TitlesOfParts>
    <vt:vector size="30" baseType="lpstr">
      <vt:lpstr>Names</vt:lpstr>
      <vt:lpstr>Summary | Sumário</vt:lpstr>
      <vt:lpstr>1. Highlights</vt:lpstr>
      <vt:lpstr>2. BS | BP</vt:lpstr>
      <vt:lpstr>3. IS | DRE</vt:lpstr>
      <vt:lpstr>4. Funding</vt:lpstr>
      <vt:lpstr>5. IEP</vt:lpstr>
      <vt:lpstr>6. NII</vt:lpstr>
      <vt:lpstr>7. Fee Revenue | R. de Serv </vt:lpstr>
      <vt:lpstr>8. Expenses</vt:lpstr>
      <vt:lpstr>9. Financial KPIs | KPIs Fin.</vt:lpstr>
      <vt:lpstr>9.1 Asset Quality</vt:lpstr>
      <vt:lpstr>9.2 NIM &amp; Yields</vt:lpstr>
      <vt:lpstr>9.3 Fee Income Ratio</vt:lpstr>
      <vt:lpstr>9.4 Efficiency | Eficiência</vt:lpstr>
      <vt:lpstr>9.5 CTS | Custo de servir </vt:lpstr>
      <vt:lpstr>9.6 ARPAC</vt:lpstr>
      <vt:lpstr>9.7 Cost of Funding</vt:lpstr>
      <vt:lpstr>9.8 ROE</vt:lpstr>
      <vt:lpstr>9.9 Capital | Basileia</vt:lpstr>
      <vt:lpstr>9.10 Income Tax Rate</vt:lpstr>
      <vt:lpstr>1. Inter Invest</vt:lpstr>
      <vt:lpstr>2. Inter Seguros</vt:lpstr>
      <vt:lpstr>3. Inter Shop</vt:lpstr>
      <vt:lpstr>4. Digital Acou. | Conta Di</vt:lpstr>
      <vt:lpstr>5. Oper. KPIs | KPIs Oper.</vt:lpstr>
      <vt:lpstr>1. Market Data | Dado de Mer.</vt:lpstr>
      <vt:lpstr>2. Simulation | Simulação</vt:lpstr>
      <vt:lpstr>2. Disclaimer</vt:lpstr>
      <vt:lpstr>3. Glossary | Glossário</vt:lpstr>
    </vt:vector>
  </TitlesOfParts>
  <Manager/>
  <Company>Inter&amp;Co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Inter&amp;Co - Historical Data</dc:title>
  <dc:subject/>
  <dc:creator>Fernand Marinho Fernandes</dc:creator>
  <cp:keywords/>
  <dc:description/>
  <cp:lastModifiedBy>Thiago Totaro Lopes</cp:lastModifiedBy>
  <cp:revision/>
  <dcterms:created xsi:type="dcterms:W3CDTF">2016-08-05T17:50:49Z</dcterms:created>
  <dcterms:modified xsi:type="dcterms:W3CDTF">2025-11-25T16:31:30Z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d24d9c5-38c1-495b-ab07-d4fc08626d86_Enabled">
    <vt:lpwstr>true</vt:lpwstr>
  </property>
  <property fmtid="{D5CDD505-2E9C-101B-9397-08002B2CF9AE}" pid="3" name="MSIP_Label_5d24d9c5-38c1-495b-ab07-d4fc08626d86_SetDate">
    <vt:lpwstr>2022-02-22T04:35:44Z</vt:lpwstr>
  </property>
  <property fmtid="{D5CDD505-2E9C-101B-9397-08002B2CF9AE}" pid="4" name="MSIP_Label_5d24d9c5-38c1-495b-ab07-d4fc08626d86_Method">
    <vt:lpwstr>Privileged</vt:lpwstr>
  </property>
  <property fmtid="{D5CDD505-2E9C-101B-9397-08002B2CF9AE}" pid="5" name="MSIP_Label_5d24d9c5-38c1-495b-ab07-d4fc08626d86_Name">
    <vt:lpwstr>Público</vt:lpwstr>
  </property>
  <property fmtid="{D5CDD505-2E9C-101B-9397-08002B2CF9AE}" pid="6" name="MSIP_Label_5d24d9c5-38c1-495b-ab07-d4fc08626d86_SiteId">
    <vt:lpwstr>05e665c9-c502-4a19-98a5-a913a6f52be8</vt:lpwstr>
  </property>
  <property fmtid="{D5CDD505-2E9C-101B-9397-08002B2CF9AE}" pid="7" name="MSIP_Label_5d24d9c5-38c1-495b-ab07-d4fc08626d86_ActionId">
    <vt:lpwstr>5a590cc8-4202-46c6-9f11-08b8c9841dbb</vt:lpwstr>
  </property>
  <property fmtid="{D5CDD505-2E9C-101B-9397-08002B2CF9AE}" pid="8" name="MSIP_Label_5d24d9c5-38c1-495b-ab07-d4fc08626d86_ContentBits">
    <vt:lpwstr>0</vt:lpwstr>
  </property>
  <property fmtid="{D5CDD505-2E9C-101B-9397-08002B2CF9AE}" pid="9" name="ContentTypeId">
    <vt:lpwstr>0x0101003BE818A26B56FC449FC3FC4B33B773FD</vt:lpwstr>
  </property>
  <property fmtid="{D5CDD505-2E9C-101B-9397-08002B2CF9AE}" pid="10" name="Order">
    <vt:i4>174300</vt:i4>
  </property>
  <property fmtid="{D5CDD505-2E9C-101B-9397-08002B2CF9AE}" pid="11" name="SharedWithUsers">
    <vt:lpwstr>149;#Clara Andrade Santi;#18;#Felipe Lobo Rezende;#1109;#Pedro Henrique Leite Bontempo</vt:lpwstr>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_activity">
    <vt:lpwstr>{"FileActivityType":"9","FileActivityTimeStamp":"2022-11-08T17:41:21.233Z","FileActivityUsersOnPage":[{"DisplayName":"Maria Clara Loschi Ferreira","Id":"bi001615@bancointer.com.br"},{"DisplayName":"Pedro Henrique Leite Bontempo","Id":"bi005720@bancointer.com.br"}]}</vt:lpwstr>
  </property>
  <property fmtid="{D5CDD505-2E9C-101B-9397-08002B2CF9AE}" pid="16" name="_ExtendedDescription">
    <vt:lpwstr/>
  </property>
  <property fmtid="{D5CDD505-2E9C-101B-9397-08002B2CF9AE}" pid="17" name="TriggerFlowInfo">
    <vt:lpwstr/>
  </property>
  <property fmtid="{D5CDD505-2E9C-101B-9397-08002B2CF9AE}" pid="18" name="xd_ProgID">
    <vt:lpwstr/>
  </property>
  <property fmtid="{D5CDD505-2E9C-101B-9397-08002B2CF9AE}" pid="19" name="TemplateUrl">
    <vt:lpwstr/>
  </property>
  <property fmtid="{D5CDD505-2E9C-101B-9397-08002B2CF9AE}" pid="20" name="xd_Signature">
    <vt:bool>false</vt:bool>
  </property>
  <property fmtid="{D5CDD505-2E9C-101B-9397-08002B2CF9AE}" pid="21" name="MediaServiceImageTags">
    <vt:lpwstr/>
  </property>
</Properties>
</file>