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codeName="ThisWorkbook"/>
  <mc:AlternateContent xmlns:mc="http://schemas.openxmlformats.org/markup-compatibility/2006">
    <mc:Choice Requires="x15">
      <x15ac:absPath xmlns:x15ac="http://schemas.microsoft.com/office/spreadsheetml/2010/11/ac" url="/Users/bi010850/Documents/Historical data/"/>
    </mc:Choice>
  </mc:AlternateContent>
  <xr:revisionPtr revIDLastSave="0" documentId="13_ncr:1_{462144FB-909E-254A-A062-796C4069E09C}" xr6:coauthVersionLast="47" xr6:coauthVersionMax="47" xr10:uidLastSave="{00000000-0000-0000-0000-000000000000}"/>
  <bookViews>
    <workbookView xWindow="-4220" yWindow="-21000" windowWidth="38400" windowHeight="21000" tabRatio="502" activeTab="1" xr2:uid="{00000000-000D-0000-FFFF-FFFF00000000}"/>
  </bookViews>
  <sheets>
    <sheet name="Names" sheetId="40" state="hidden" r:id="rId1"/>
    <sheet name="Summary | Sumário" sheetId="13" r:id="rId2"/>
    <sheet name="1. Highlights" sheetId="48" r:id="rId3"/>
    <sheet name="2. BS | BP" sheetId="20" r:id="rId4"/>
    <sheet name="3. IS | DRE" sheetId="18" r:id="rId5"/>
    <sheet name="4. Funding" sheetId="76" r:id="rId6"/>
    <sheet name="5. IEP" sheetId="59" r:id="rId7"/>
    <sheet name="6. NII" sheetId="58" r:id="rId8"/>
    <sheet name="7. Fee Revenue | R. de Serv " sheetId="60" r:id="rId9"/>
    <sheet name="8. Expenses" sheetId="61" r:id="rId10"/>
    <sheet name="9. Financial KPIs | KPIs Fin." sheetId="74" r:id="rId11"/>
    <sheet name="9.1 Asset Quality" sheetId="62" r:id="rId12"/>
    <sheet name="9.2 NIM &amp; Yields" sheetId="63" r:id="rId13"/>
    <sheet name="9.3 Fee Income Ratio" sheetId="64" r:id="rId14"/>
    <sheet name="9.4 Efficiency | Eficiência" sheetId="65" r:id="rId15"/>
    <sheet name="9.5 CTS | Custo de servir " sheetId="66" r:id="rId16"/>
    <sheet name="9.6 ARPAC" sheetId="67" r:id="rId17"/>
    <sheet name="9.7 Cost of Funding" sheetId="68" r:id="rId18"/>
    <sheet name="9.8 ROE &amp; ROTE" sheetId="78" r:id="rId19"/>
    <sheet name="9.9 Capital | Basileia" sheetId="75" r:id="rId20"/>
    <sheet name="9.10 Income Tax Rate" sheetId="79" r:id="rId21"/>
    <sheet name="1. Oper. KPIs | KPIs Oper." sheetId="73" r:id="rId22"/>
    <sheet name="2. Market Data | Dado de Mer." sheetId="54" r:id="rId23"/>
    <sheet name="2. Simulation | Simulação" sheetId="52" state="hidden" r:id="rId24"/>
    <sheet name="3. Disclaimer" sheetId="46" r:id="rId25"/>
    <sheet name="4. Glossary | Glossário" sheetId="44" r:id="rId26"/>
    <sheet name="Credit | Crédito (old)" sheetId="19" state="hidden" r:id="rId27"/>
    <sheet name="Funding (old)" sheetId="41" state="hidden" r:id="rId28"/>
    <sheet name="Fee Revenue | R. de S. (old)" sheetId="35" state="hidden" r:id="rId29"/>
    <sheet name="NIMs (old)" sheetId="36" state="hidden" r:id="rId30"/>
    <sheet name="Eff. | Efic. (old)" sheetId="37" state="hidden" r:id="rId31"/>
    <sheet name="Cost of Risk (old)" sheetId="51" state="hidden" r:id="rId3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3" l="1"/>
  <c r="K14" i="13"/>
  <c r="K12" i="13"/>
  <c r="K10" i="13"/>
  <c r="B17" i="73"/>
  <c r="Y2" i="73"/>
  <c r="B18" i="73"/>
  <c r="B19" i="73"/>
  <c r="Y20" i="73"/>
  <c r="U2" i="73"/>
  <c r="U20" i="73"/>
  <c r="AB20" i="73"/>
  <c r="X2" i="73"/>
  <c r="X20" i="73"/>
  <c r="AA20" i="73"/>
  <c r="AB19" i="73"/>
  <c r="AA19" i="73"/>
  <c r="AB18" i="73"/>
  <c r="AA18" i="73"/>
  <c r="AB17" i="73"/>
  <c r="AA17" i="73"/>
  <c r="B14" i="73"/>
  <c r="AB14" i="73"/>
  <c r="AA14" i="73"/>
  <c r="B13" i="73"/>
  <c r="AB13" i="73"/>
  <c r="AA13" i="73"/>
  <c r="W2" i="73"/>
  <c r="W20" i="73"/>
  <c r="V2" i="73"/>
  <c r="V20" i="73"/>
  <c r="T2" i="73"/>
  <c r="T20" i="73"/>
  <c r="S2" i="73"/>
  <c r="S20" i="73"/>
  <c r="R2" i="73"/>
  <c r="R20" i="73"/>
  <c r="Q2" i="73"/>
  <c r="Q20" i="73"/>
  <c r="P2" i="73"/>
  <c r="P20" i="73"/>
  <c r="O2" i="73"/>
  <c r="O20" i="73"/>
  <c r="N2" i="73"/>
  <c r="N20" i="73"/>
  <c r="M2" i="73"/>
  <c r="M20" i="73"/>
  <c r="L2" i="73"/>
  <c r="L20" i="73"/>
  <c r="K2" i="73"/>
  <c r="K20" i="73"/>
  <c r="J2" i="73"/>
  <c r="J20" i="73"/>
  <c r="I2" i="73"/>
  <c r="I20" i="73"/>
  <c r="H2" i="73"/>
  <c r="H20" i="73"/>
  <c r="G2" i="73"/>
  <c r="G20" i="73"/>
  <c r="F2" i="73"/>
  <c r="F20" i="73"/>
  <c r="E2" i="73"/>
  <c r="E20" i="73"/>
  <c r="D2" i="73"/>
  <c r="D20" i="73"/>
  <c r="B20" i="73"/>
  <c r="B16" i="73"/>
  <c r="B12" i="73"/>
  <c r="C2" i="73"/>
  <c r="C20" i="73"/>
  <c r="W21" i="54"/>
  <c r="W19" i="54"/>
  <c r="V13" i="54"/>
  <c r="U13" i="54"/>
  <c r="B25" i="78"/>
  <c r="B6" i="62"/>
  <c r="AE2" i="62"/>
  <c r="B7" i="62"/>
  <c r="B8" i="62"/>
  <c r="B9" i="62"/>
  <c r="B10" i="62"/>
  <c r="AE5" i="62"/>
  <c r="AE47" i="62"/>
  <c r="AA2" i="62"/>
  <c r="AA5" i="62"/>
  <c r="AA47" i="62"/>
  <c r="AH47" i="62"/>
  <c r="AH46" i="62"/>
  <c r="B32" i="62"/>
  <c r="AH32" i="62"/>
  <c r="B25" i="62"/>
  <c r="Z2" i="62"/>
  <c r="H25" i="62"/>
  <c r="B11" i="62"/>
  <c r="H11" i="62"/>
  <c r="Z5" i="62"/>
  <c r="Z12" i="62"/>
  <c r="H12" i="62"/>
  <c r="H27" i="62"/>
  <c r="H6" i="74"/>
  <c r="V2" i="62"/>
  <c r="G25" i="62"/>
  <c r="G11" i="62"/>
  <c r="V5" i="62"/>
  <c r="V12" i="62"/>
  <c r="G12" i="62"/>
  <c r="G27" i="62"/>
  <c r="G6" i="74"/>
  <c r="R2" i="62"/>
  <c r="F25" i="62"/>
  <c r="F11" i="62"/>
  <c r="R5" i="62"/>
  <c r="R12" i="62"/>
  <c r="F12" i="62"/>
  <c r="F27" i="62"/>
  <c r="F6" i="74"/>
  <c r="N2" i="62"/>
  <c r="E25" i="62"/>
  <c r="E11" i="62"/>
  <c r="N5" i="62"/>
  <c r="N12" i="62"/>
  <c r="E12" i="62"/>
  <c r="E27" i="62"/>
  <c r="E6" i="74"/>
  <c r="D2" i="62"/>
  <c r="D5" i="62"/>
  <c r="D12" i="62"/>
  <c r="D27" i="62"/>
  <c r="D6" i="74"/>
  <c r="C2" i="62"/>
  <c r="C5" i="62"/>
  <c r="C12" i="62"/>
  <c r="C27" i="62"/>
  <c r="C6" i="74"/>
  <c r="B20" i="62"/>
  <c r="H20" i="62"/>
  <c r="H22" i="62"/>
  <c r="H5" i="74"/>
  <c r="G20" i="62"/>
  <c r="G22" i="62"/>
  <c r="G5" i="74"/>
  <c r="F20" i="62"/>
  <c r="F22" i="62"/>
  <c r="F5" i="74"/>
  <c r="E20" i="62"/>
  <c r="E22" i="62"/>
  <c r="E5" i="74"/>
  <c r="D22" i="62"/>
  <c r="D5" i="74"/>
  <c r="C22" i="62"/>
  <c r="C5" i="74"/>
  <c r="AD2" i="62"/>
  <c r="I25" i="62"/>
  <c r="I11" i="62"/>
  <c r="AD5" i="62"/>
  <c r="AD12" i="62"/>
  <c r="I12" i="62"/>
  <c r="I27" i="62"/>
  <c r="I6" i="74"/>
  <c r="I20" i="62"/>
  <c r="I22" i="62"/>
  <c r="I5" i="74"/>
  <c r="AD27" i="62"/>
  <c r="AD6" i="74"/>
  <c r="AC2" i="62"/>
  <c r="AC5" i="62"/>
  <c r="AC12" i="62"/>
  <c r="AC27" i="62"/>
  <c r="AC6" i="74"/>
  <c r="AB2" i="62"/>
  <c r="AB5" i="62"/>
  <c r="AB12" i="62"/>
  <c r="AB27" i="62"/>
  <c r="AB6" i="74"/>
  <c r="AA12" i="62"/>
  <c r="AA27" i="62"/>
  <c r="AA6" i="74"/>
  <c r="Z27" i="62"/>
  <c r="Z6" i="74"/>
  <c r="Y2" i="62"/>
  <c r="Y5" i="62"/>
  <c r="Y12" i="62"/>
  <c r="Y27" i="62"/>
  <c r="Y6" i="74"/>
  <c r="X2" i="62"/>
  <c r="X5" i="62"/>
  <c r="X12" i="62"/>
  <c r="X27" i="62"/>
  <c r="X6" i="74"/>
  <c r="W2" i="62"/>
  <c r="W5" i="62"/>
  <c r="W12" i="62"/>
  <c r="W27" i="62"/>
  <c r="W6" i="74"/>
  <c r="V27" i="62"/>
  <c r="V6" i="74"/>
  <c r="U2" i="62"/>
  <c r="U5" i="62"/>
  <c r="U12" i="62"/>
  <c r="U27" i="62"/>
  <c r="U6" i="74"/>
  <c r="T2" i="62"/>
  <c r="T5" i="62"/>
  <c r="T12" i="62"/>
  <c r="T27" i="62"/>
  <c r="T6" i="74"/>
  <c r="S2" i="62"/>
  <c r="S5" i="62"/>
  <c r="S12" i="62"/>
  <c r="S27" i="62"/>
  <c r="S6" i="74"/>
  <c r="R27" i="62"/>
  <c r="R6" i="74"/>
  <c r="Q2" i="62"/>
  <c r="Q5" i="62"/>
  <c r="Q12" i="62"/>
  <c r="Q27" i="62"/>
  <c r="Q6" i="74"/>
  <c r="P2" i="62"/>
  <c r="P5" i="62"/>
  <c r="P12" i="62"/>
  <c r="P27" i="62"/>
  <c r="P6" i="74"/>
  <c r="O2" i="62"/>
  <c r="O5" i="62"/>
  <c r="O12" i="62"/>
  <c r="O27" i="62"/>
  <c r="O6" i="74"/>
  <c r="N27" i="62"/>
  <c r="N6" i="74"/>
  <c r="M2" i="62"/>
  <c r="M5" i="62"/>
  <c r="M12" i="62"/>
  <c r="M27" i="62"/>
  <c r="M6" i="74"/>
  <c r="L2" i="62"/>
  <c r="L5" i="62"/>
  <c r="L12" i="62"/>
  <c r="L27" i="62"/>
  <c r="L6" i="74"/>
  <c r="K2" i="62"/>
  <c r="K5" i="62"/>
  <c r="K12" i="62"/>
  <c r="K27" i="62"/>
  <c r="K6" i="74"/>
  <c r="AD22" i="62"/>
  <c r="AD5" i="74"/>
  <c r="AC22" i="62"/>
  <c r="AC5" i="74"/>
  <c r="AB22" i="62"/>
  <c r="AB5" i="74"/>
  <c r="AA22" i="62"/>
  <c r="AA5" i="74"/>
  <c r="Z22" i="62"/>
  <c r="Z5" i="74"/>
  <c r="Y22" i="62"/>
  <c r="Y5" i="74"/>
  <c r="X22" i="62"/>
  <c r="X5" i="74"/>
  <c r="W22" i="62"/>
  <c r="W5" i="74"/>
  <c r="V22" i="62"/>
  <c r="V5" i="74"/>
  <c r="U22" i="62"/>
  <c r="U5" i="74"/>
  <c r="T22" i="62"/>
  <c r="T5" i="74"/>
  <c r="S22" i="62"/>
  <c r="S5" i="74"/>
  <c r="R22" i="62"/>
  <c r="R5" i="74"/>
  <c r="Q22" i="62"/>
  <c r="Q5" i="74"/>
  <c r="P22" i="62"/>
  <c r="P5" i="74"/>
  <c r="O22" i="62"/>
  <c r="O5" i="74"/>
  <c r="N22" i="62"/>
  <c r="N5" i="74"/>
  <c r="M22" i="62"/>
  <c r="M5" i="74"/>
  <c r="L22" i="62"/>
  <c r="L5" i="74"/>
  <c r="K22" i="62"/>
  <c r="K5" i="74"/>
  <c r="AE12" i="62"/>
  <c r="AE27" i="62"/>
  <c r="AE6" i="74"/>
  <c r="AE22" i="62"/>
  <c r="AE5" i="74"/>
  <c r="N23" i="48"/>
  <c r="M23" i="48"/>
  <c r="L23" i="48"/>
  <c r="K23" i="48"/>
  <c r="J23" i="48"/>
  <c r="I23" i="48"/>
  <c r="H23" i="48"/>
  <c r="G23" i="48"/>
  <c r="F23" i="48"/>
  <c r="E23" i="48"/>
  <c r="D23" i="48"/>
  <c r="C23" i="48"/>
  <c r="N22" i="48"/>
  <c r="M22" i="48"/>
  <c r="L22" i="48"/>
  <c r="K22" i="48"/>
  <c r="J22" i="48"/>
  <c r="I22" i="48"/>
  <c r="H22" i="48"/>
  <c r="G22" i="48"/>
  <c r="F22" i="48"/>
  <c r="E22" i="48"/>
  <c r="D22" i="48"/>
  <c r="C22" i="48"/>
  <c r="O23" i="48"/>
  <c r="O22" i="48"/>
  <c r="AE26" i="62"/>
  <c r="B31" i="20"/>
  <c r="AD2" i="20"/>
  <c r="B32" i="20"/>
  <c r="B33" i="20"/>
  <c r="B34" i="20"/>
  <c r="AD30" i="20"/>
  <c r="AD23" i="78"/>
  <c r="B12" i="20"/>
  <c r="AD24" i="78"/>
  <c r="AD22" i="78"/>
  <c r="AE2" i="20"/>
  <c r="AE30" i="20"/>
  <c r="AE23" i="78"/>
  <c r="AE24" i="78"/>
  <c r="AE22" i="78"/>
  <c r="AE21" i="78"/>
  <c r="B29" i="18"/>
  <c r="AE2" i="18"/>
  <c r="AE20" i="78"/>
  <c r="AE19" i="78"/>
  <c r="AE25" i="78"/>
  <c r="AG8" i="75"/>
  <c r="B11" i="58"/>
  <c r="Z2" i="58"/>
  <c r="Z48" i="63"/>
  <c r="Y66" i="63"/>
  <c r="Z66" i="63"/>
  <c r="Z89" i="63"/>
  <c r="C2" i="18"/>
  <c r="C20" i="78"/>
  <c r="C19" i="78"/>
  <c r="C2" i="20"/>
  <c r="C30" i="20"/>
  <c r="C23" i="78"/>
  <c r="C24" i="78"/>
  <c r="C22" i="78"/>
  <c r="B22" i="78"/>
  <c r="C21" i="78"/>
  <c r="C25" i="78"/>
  <c r="C19" i="74"/>
  <c r="D2" i="18"/>
  <c r="D20" i="78"/>
  <c r="D19" i="78"/>
  <c r="D2" i="20"/>
  <c r="D30" i="20"/>
  <c r="D23" i="78"/>
  <c r="D24" i="78"/>
  <c r="D22" i="78"/>
  <c r="D21" i="78"/>
  <c r="D25" i="78"/>
  <c r="D19" i="74"/>
  <c r="E2" i="18"/>
  <c r="E20" i="78"/>
  <c r="E19" i="78"/>
  <c r="N2" i="20"/>
  <c r="E31" i="20"/>
  <c r="E32" i="20"/>
  <c r="E33" i="20"/>
  <c r="E34" i="20"/>
  <c r="E30" i="20"/>
  <c r="E23" i="78"/>
  <c r="E12" i="20"/>
  <c r="E24" i="78"/>
  <c r="E22" i="78"/>
  <c r="E21" i="78"/>
  <c r="E25" i="78"/>
  <c r="E19" i="74"/>
  <c r="F2" i="18"/>
  <c r="F20" i="78"/>
  <c r="F19" i="78"/>
  <c r="R2" i="20"/>
  <c r="F31" i="20"/>
  <c r="F32" i="20"/>
  <c r="F33" i="20"/>
  <c r="F34" i="20"/>
  <c r="F30" i="20"/>
  <c r="F23" i="78"/>
  <c r="F12" i="20"/>
  <c r="F24" i="78"/>
  <c r="F22" i="78"/>
  <c r="F21" i="78"/>
  <c r="F25" i="78"/>
  <c r="F19" i="74"/>
  <c r="G2" i="18"/>
  <c r="G20" i="78"/>
  <c r="G19" i="78"/>
  <c r="V2" i="20"/>
  <c r="V30" i="20"/>
  <c r="G30" i="20"/>
  <c r="G23" i="78"/>
  <c r="G12" i="20"/>
  <c r="G24" i="78"/>
  <c r="G22" i="78"/>
  <c r="G21" i="78"/>
  <c r="G25" i="78"/>
  <c r="G19" i="74"/>
  <c r="H2" i="18"/>
  <c r="H20" i="78"/>
  <c r="H19" i="78"/>
  <c r="Z2" i="20"/>
  <c r="Z30" i="20"/>
  <c r="H30" i="20"/>
  <c r="H23" i="78"/>
  <c r="H12" i="20"/>
  <c r="H24" i="78"/>
  <c r="H22" i="78"/>
  <c r="H21" i="78"/>
  <c r="H25" i="78"/>
  <c r="H19" i="74"/>
  <c r="I20" i="78"/>
  <c r="I19" i="78"/>
  <c r="I30" i="20"/>
  <c r="I23" i="78"/>
  <c r="I12" i="20"/>
  <c r="I24" i="78"/>
  <c r="I22" i="78"/>
  <c r="I21" i="78"/>
  <c r="I25" i="78"/>
  <c r="I19" i="74"/>
  <c r="AD2" i="18"/>
  <c r="AD20" i="78"/>
  <c r="AD19" i="78"/>
  <c r="AC2" i="20"/>
  <c r="AC30" i="20"/>
  <c r="AC23" i="78"/>
  <c r="AC24" i="78"/>
  <c r="AC22" i="78"/>
  <c r="AD21" i="78"/>
  <c r="AD25" i="78"/>
  <c r="AD19" i="74"/>
  <c r="AC2" i="18"/>
  <c r="AC20" i="78"/>
  <c r="AC19" i="78"/>
  <c r="AB2" i="20"/>
  <c r="AB30" i="20"/>
  <c r="AB23" i="78"/>
  <c r="AB24" i="78"/>
  <c r="AB22" i="78"/>
  <c r="AC21" i="78"/>
  <c r="AC25" i="78"/>
  <c r="AC19" i="74"/>
  <c r="AB2" i="18"/>
  <c r="AB20" i="78"/>
  <c r="AB19" i="78"/>
  <c r="AA2" i="20"/>
  <c r="AA30" i="20"/>
  <c r="AA23" i="78"/>
  <c r="AA24" i="78"/>
  <c r="AA22" i="78"/>
  <c r="AB21" i="78"/>
  <c r="AB25" i="78"/>
  <c r="AB19" i="74"/>
  <c r="AA2" i="18"/>
  <c r="AA20" i="78"/>
  <c r="AA19" i="78"/>
  <c r="Z23" i="78"/>
  <c r="Z24" i="78"/>
  <c r="Z22" i="78"/>
  <c r="AA21" i="78"/>
  <c r="AA25" i="78"/>
  <c r="AA19" i="74"/>
  <c r="Z2" i="18"/>
  <c r="Z20" i="78"/>
  <c r="Z19" i="78"/>
  <c r="Y2" i="20"/>
  <c r="Y30" i="20"/>
  <c r="Y23" i="78"/>
  <c r="Y24" i="78"/>
  <c r="Y22" i="78"/>
  <c r="Z21" i="78"/>
  <c r="Z25" i="78"/>
  <c r="Z19" i="74"/>
  <c r="Y2" i="18"/>
  <c r="Y20" i="78"/>
  <c r="Y19" i="78"/>
  <c r="X2" i="20"/>
  <c r="X30" i="20"/>
  <c r="X23" i="78"/>
  <c r="X24" i="78"/>
  <c r="X22" i="78"/>
  <c r="Y21" i="78"/>
  <c r="Y25" i="78"/>
  <c r="Y19" i="74"/>
  <c r="X2" i="18"/>
  <c r="X20" i="78"/>
  <c r="X19" i="78"/>
  <c r="W2" i="20"/>
  <c r="W30" i="20"/>
  <c r="W23" i="78"/>
  <c r="W24" i="78"/>
  <c r="W22" i="78"/>
  <c r="X21" i="78"/>
  <c r="X25" i="78"/>
  <c r="X19" i="74"/>
  <c r="W2" i="18"/>
  <c r="W20" i="78"/>
  <c r="W19" i="78"/>
  <c r="V23" i="78"/>
  <c r="V24" i="78"/>
  <c r="V22" i="78"/>
  <c r="W21" i="78"/>
  <c r="W25" i="78"/>
  <c r="W19" i="74"/>
  <c r="V2" i="18"/>
  <c r="V20" i="78"/>
  <c r="V19" i="78"/>
  <c r="U2" i="20"/>
  <c r="U30" i="20"/>
  <c r="U23" i="78"/>
  <c r="U24" i="78"/>
  <c r="U22" i="78"/>
  <c r="V21" i="78"/>
  <c r="V25" i="78"/>
  <c r="V19" i="74"/>
  <c r="U2" i="18"/>
  <c r="U20" i="78"/>
  <c r="U19" i="78"/>
  <c r="T2" i="20"/>
  <c r="T30" i="20"/>
  <c r="T23" i="78"/>
  <c r="T24" i="78"/>
  <c r="T22" i="78"/>
  <c r="U21" i="78"/>
  <c r="U25" i="78"/>
  <c r="U19" i="74"/>
  <c r="T2" i="18"/>
  <c r="T20" i="78"/>
  <c r="T19" i="78"/>
  <c r="S2" i="20"/>
  <c r="S30" i="20"/>
  <c r="S23" i="78"/>
  <c r="S24" i="78"/>
  <c r="S22" i="78"/>
  <c r="T21" i="78"/>
  <c r="T25" i="78"/>
  <c r="T19" i="74"/>
  <c r="S2" i="18"/>
  <c r="S20" i="78"/>
  <c r="S19" i="78"/>
  <c r="R30" i="20"/>
  <c r="R23" i="78"/>
  <c r="R24" i="78"/>
  <c r="R22" i="78"/>
  <c r="S21" i="78"/>
  <c r="S25" i="78"/>
  <c r="S19" i="74"/>
  <c r="R2" i="18"/>
  <c r="R20" i="78"/>
  <c r="R19" i="78"/>
  <c r="Q2" i="20"/>
  <c r="Q30" i="20"/>
  <c r="Q23" i="78"/>
  <c r="Q24" i="78"/>
  <c r="Q22" i="78"/>
  <c r="R21" i="78"/>
  <c r="R25" i="78"/>
  <c r="R19" i="74"/>
  <c r="Q2" i="18"/>
  <c r="Q20" i="78"/>
  <c r="Q19" i="78"/>
  <c r="P2" i="20"/>
  <c r="P30" i="20"/>
  <c r="P23" i="78"/>
  <c r="P24" i="78"/>
  <c r="P22" i="78"/>
  <c r="Q21" i="78"/>
  <c r="Q25" i="78"/>
  <c r="Q19" i="74"/>
  <c r="P2" i="18"/>
  <c r="P20" i="78"/>
  <c r="P19" i="78"/>
  <c r="O2" i="20"/>
  <c r="O30" i="20"/>
  <c r="O23" i="78"/>
  <c r="O24" i="78"/>
  <c r="O22" i="78"/>
  <c r="P21" i="78"/>
  <c r="P25" i="78"/>
  <c r="P19" i="74"/>
  <c r="O2" i="18"/>
  <c r="O20" i="78"/>
  <c r="O19" i="78"/>
  <c r="N30" i="20"/>
  <c r="N23" i="78"/>
  <c r="N24" i="78"/>
  <c r="N22" i="78"/>
  <c r="O21" i="78"/>
  <c r="O25" i="78"/>
  <c r="O19" i="74"/>
  <c r="N2" i="18"/>
  <c r="N20" i="78"/>
  <c r="N19" i="78"/>
  <c r="M2" i="20"/>
  <c r="M30" i="20"/>
  <c r="M23" i="78"/>
  <c r="M24" i="78"/>
  <c r="M22" i="78"/>
  <c r="N21" i="78"/>
  <c r="N25" i="78"/>
  <c r="N19" i="74"/>
  <c r="M2" i="18"/>
  <c r="M20" i="78"/>
  <c r="M19" i="78"/>
  <c r="L2" i="20"/>
  <c r="L30" i="20"/>
  <c r="L23" i="78"/>
  <c r="L24" i="78"/>
  <c r="L22" i="78"/>
  <c r="M21" i="78"/>
  <c r="M25" i="78"/>
  <c r="M19" i="74"/>
  <c r="L2" i="18"/>
  <c r="L20" i="78"/>
  <c r="L19" i="78"/>
  <c r="K2" i="20"/>
  <c r="K30" i="20"/>
  <c r="K23" i="78"/>
  <c r="K24" i="78"/>
  <c r="K22" i="78"/>
  <c r="L21" i="78"/>
  <c r="L25" i="78"/>
  <c r="L19" i="74"/>
  <c r="K2" i="18"/>
  <c r="K20" i="78"/>
  <c r="K19" i="78"/>
  <c r="K21" i="78"/>
  <c r="K25" i="78"/>
  <c r="K19" i="74"/>
  <c r="AE19" i="74"/>
  <c r="AH19" i="74"/>
  <c r="B23" i="78"/>
  <c r="B24" i="78"/>
  <c r="B21" i="78"/>
  <c r="B20" i="78"/>
  <c r="B19" i="78"/>
  <c r="B18" i="78"/>
  <c r="AG19" i="74"/>
  <c r="Z20" i="54"/>
  <c r="Z18" i="54"/>
  <c r="Z6" i="54"/>
  <c r="Z5" i="54"/>
  <c r="Y22" i="54"/>
  <c r="Y20" i="54"/>
  <c r="Y18" i="54"/>
  <c r="Y11" i="54"/>
  <c r="Y10" i="54"/>
  <c r="Y6" i="54"/>
  <c r="Y5" i="54"/>
  <c r="AH23" i="75"/>
  <c r="AH22" i="75"/>
  <c r="AH21" i="75"/>
  <c r="AH20" i="75"/>
  <c r="AH19" i="75"/>
  <c r="AH17" i="75"/>
  <c r="AH16" i="75"/>
  <c r="AH15" i="75"/>
  <c r="AH13" i="75"/>
  <c r="AH12" i="75"/>
  <c r="AH11" i="75"/>
  <c r="AH10" i="75"/>
  <c r="AH9" i="75"/>
  <c r="AH7" i="75"/>
  <c r="AH6" i="75"/>
  <c r="AH5" i="75"/>
  <c r="AG23" i="75"/>
  <c r="AG22" i="75"/>
  <c r="AG21" i="75"/>
  <c r="AG20" i="75"/>
  <c r="AG19" i="75"/>
  <c r="AG17" i="75"/>
  <c r="AG16" i="75"/>
  <c r="AG15" i="75"/>
  <c r="AG13" i="75"/>
  <c r="AG12" i="75"/>
  <c r="AG11" i="75"/>
  <c r="AG10" i="75"/>
  <c r="AG9" i="75"/>
  <c r="AG7" i="75"/>
  <c r="AG6" i="75"/>
  <c r="AG5" i="75"/>
  <c r="AG17" i="68"/>
  <c r="AH17" i="68"/>
  <c r="AG46" i="62"/>
  <c r="Q2" i="48"/>
  <c r="O2" i="48"/>
  <c r="N2" i="48"/>
  <c r="AE2" i="74"/>
  <c r="AE17" i="74"/>
  <c r="AH17" i="74"/>
  <c r="W23" i="54"/>
  <c r="W2" i="54"/>
  <c r="AE2" i="79"/>
  <c r="AD2" i="79"/>
  <c r="AE2" i="75"/>
  <c r="AD2" i="75"/>
  <c r="AE2" i="78"/>
  <c r="AD2" i="78"/>
  <c r="AE2" i="68"/>
  <c r="AE2" i="67"/>
  <c r="AD2" i="67"/>
  <c r="AE2" i="66"/>
  <c r="AD2" i="66"/>
  <c r="AE2" i="65"/>
  <c r="AD2" i="65"/>
  <c r="AE2" i="64"/>
  <c r="AD2" i="64"/>
  <c r="AE2" i="63"/>
  <c r="AD2" i="63"/>
  <c r="AE2" i="61"/>
  <c r="AD2" i="61"/>
  <c r="AE2" i="60"/>
  <c r="AD2" i="60"/>
  <c r="AE2" i="58"/>
  <c r="AD2" i="58"/>
  <c r="AE2" i="59"/>
  <c r="AD2" i="59"/>
  <c r="AE2" i="76"/>
  <c r="AD2" i="76"/>
  <c r="B12" i="60"/>
  <c r="AC2" i="60"/>
  <c r="AB2" i="60"/>
  <c r="AA2" i="60"/>
  <c r="Z2" i="60"/>
  <c r="Y2" i="60"/>
  <c r="X2" i="60"/>
  <c r="W2" i="60"/>
  <c r="V2" i="60"/>
  <c r="U2" i="60"/>
  <c r="T2" i="60"/>
  <c r="S2" i="60"/>
  <c r="R2" i="60"/>
  <c r="Q2" i="60"/>
  <c r="P2" i="60"/>
  <c r="O2" i="60"/>
  <c r="N2" i="60"/>
  <c r="M2" i="60"/>
  <c r="L2" i="60"/>
  <c r="K2" i="60"/>
  <c r="B6" i="58"/>
  <c r="Y2" i="58"/>
  <c r="B12" i="58"/>
  <c r="B13" i="58"/>
  <c r="Y57" i="63"/>
  <c r="B18" i="58"/>
  <c r="B9" i="18"/>
  <c r="B11" i="18"/>
  <c r="B11" i="60"/>
  <c r="B14" i="67"/>
  <c r="AC2" i="67"/>
  <c r="U2" i="54"/>
  <c r="AC2" i="75"/>
  <c r="AD2" i="68"/>
  <c r="AC2" i="68"/>
  <c r="AC2" i="66"/>
  <c r="AC2" i="65"/>
  <c r="AC2" i="64"/>
  <c r="AC2" i="63"/>
  <c r="AC2" i="61"/>
  <c r="AC2" i="59"/>
  <c r="B11" i="66"/>
  <c r="V17" i="74"/>
  <c r="G17" i="74"/>
  <c r="Z17" i="74"/>
  <c r="H17" i="74"/>
  <c r="AD17" i="74"/>
  <c r="I17" i="74"/>
  <c r="AD2" i="74"/>
  <c r="B22" i="59"/>
  <c r="B21" i="59"/>
  <c r="Y2" i="59"/>
  <c r="Y77" i="63"/>
  <c r="B19" i="59"/>
  <c r="B17" i="59"/>
  <c r="B16" i="59"/>
  <c r="B15" i="59"/>
  <c r="B6" i="20"/>
  <c r="B20" i="59"/>
  <c r="B5" i="20"/>
  <c r="B7" i="20"/>
  <c r="B8" i="20"/>
  <c r="B9" i="20"/>
  <c r="F9" i="20"/>
  <c r="F13" i="59"/>
  <c r="F76" i="63"/>
  <c r="AC2" i="76"/>
  <c r="B29" i="58"/>
  <c r="B7" i="58"/>
  <c r="Y41" i="63"/>
  <c r="AC2" i="58"/>
  <c r="B26" i="58"/>
  <c r="AB2" i="59"/>
  <c r="B23" i="58"/>
  <c r="B27" i="58"/>
  <c r="B17" i="58"/>
  <c r="B69" i="63"/>
  <c r="AB2" i="63"/>
  <c r="AA2" i="58"/>
  <c r="AB2" i="58"/>
  <c r="W2" i="58"/>
  <c r="X2" i="58"/>
  <c r="S2" i="58"/>
  <c r="T2" i="58"/>
  <c r="B19" i="58"/>
  <c r="T35" i="58"/>
  <c r="U2" i="58"/>
  <c r="U36" i="58"/>
  <c r="V2" i="58"/>
  <c r="O2" i="58"/>
  <c r="P2" i="58"/>
  <c r="Q2" i="58"/>
  <c r="R2" i="58"/>
  <c r="K2" i="58"/>
  <c r="L2" i="58"/>
  <c r="M2" i="58"/>
  <c r="N2" i="58"/>
  <c r="D2" i="58"/>
  <c r="B14" i="58"/>
  <c r="C2" i="58"/>
  <c r="B10" i="58"/>
  <c r="B9" i="58"/>
  <c r="B8" i="58"/>
  <c r="AB2" i="67"/>
  <c r="B9" i="60"/>
  <c r="B5" i="76"/>
  <c r="Z2" i="76"/>
  <c r="B6" i="76"/>
  <c r="B7" i="61"/>
  <c r="B8" i="61"/>
  <c r="W2" i="61"/>
  <c r="W20" i="65"/>
  <c r="Z2" i="61"/>
  <c r="B9" i="61"/>
  <c r="T2" i="61"/>
  <c r="T21" i="65"/>
  <c r="T8" i="65"/>
  <c r="B5" i="60"/>
  <c r="B15" i="60"/>
  <c r="B16" i="60"/>
  <c r="B17" i="60"/>
  <c r="B18" i="60"/>
  <c r="B20" i="18"/>
  <c r="B6" i="68"/>
  <c r="B10" i="76"/>
  <c r="B12" i="76"/>
  <c r="B13" i="76"/>
  <c r="B14" i="76"/>
  <c r="B11" i="68"/>
  <c r="Z2" i="68"/>
  <c r="Y2" i="76"/>
  <c r="B15" i="63"/>
  <c r="Z2" i="63"/>
  <c r="Z2" i="59"/>
  <c r="B36" i="20"/>
  <c r="P8" i="78"/>
  <c r="B23" i="18"/>
  <c r="B12" i="18"/>
  <c r="B7" i="66"/>
  <c r="B8" i="66"/>
  <c r="B9" i="66"/>
  <c r="Z2" i="66"/>
  <c r="Y2" i="66"/>
  <c r="Z2" i="67"/>
  <c r="Y2" i="67"/>
  <c r="B6" i="73"/>
  <c r="B5" i="73"/>
  <c r="AB2" i="76"/>
  <c r="AB2" i="66"/>
  <c r="V19" i="54"/>
  <c r="Y19" i="54"/>
  <c r="V21" i="54"/>
  <c r="Y21" i="54"/>
  <c r="B14" i="18"/>
  <c r="B12" i="59"/>
  <c r="B21" i="67"/>
  <c r="E2" i="67"/>
  <c r="B22" i="67"/>
  <c r="B23" i="67"/>
  <c r="B24" i="67"/>
  <c r="B27" i="67"/>
  <c r="I2" i="74"/>
  <c r="AA2" i="59"/>
  <c r="H2" i="59"/>
  <c r="AA2" i="66"/>
  <c r="H2" i="67"/>
  <c r="R19" i="54"/>
  <c r="R23" i="54"/>
  <c r="R21" i="54"/>
  <c r="R22" i="54"/>
  <c r="U19" i="54"/>
  <c r="U21" i="54"/>
  <c r="U22" i="54"/>
  <c r="U11" i="54"/>
  <c r="U10" i="54"/>
  <c r="V2" i="54"/>
  <c r="B10" i="73"/>
  <c r="B8" i="73"/>
  <c r="B7" i="73"/>
  <c r="B25" i="18"/>
  <c r="I2" i="79"/>
  <c r="I23" i="75"/>
  <c r="I22" i="75"/>
  <c r="I21" i="75"/>
  <c r="I20" i="75"/>
  <c r="I19" i="75"/>
  <c r="I17" i="75"/>
  <c r="I16" i="75"/>
  <c r="I15" i="75"/>
  <c r="I13" i="75"/>
  <c r="I12" i="75"/>
  <c r="I11" i="75"/>
  <c r="I10" i="75"/>
  <c r="I9" i="75"/>
  <c r="I7" i="75"/>
  <c r="I6" i="75"/>
  <c r="I5" i="75"/>
  <c r="I2" i="75"/>
  <c r="B28" i="18"/>
  <c r="I2" i="78"/>
  <c r="I2" i="68"/>
  <c r="I2" i="67"/>
  <c r="I2" i="66"/>
  <c r="I2" i="65"/>
  <c r="I2" i="64"/>
  <c r="B80" i="63"/>
  <c r="W2" i="63"/>
  <c r="B68" i="63"/>
  <c r="Y2" i="63"/>
  <c r="Y74" i="63"/>
  <c r="I2" i="63"/>
  <c r="AA2" i="63"/>
  <c r="U17" i="74"/>
  <c r="I46" i="62"/>
  <c r="I2" i="62"/>
  <c r="B15" i="20"/>
  <c r="AC17" i="74"/>
  <c r="B10" i="61"/>
  <c r="B22" i="18"/>
  <c r="AE11" i="61"/>
  <c r="I2" i="61"/>
  <c r="B13" i="60"/>
  <c r="B10" i="60"/>
  <c r="B8" i="60"/>
  <c r="B7" i="60"/>
  <c r="B6" i="60"/>
  <c r="B28" i="58"/>
  <c r="B25" i="58"/>
  <c r="B24" i="58"/>
  <c r="B22" i="58"/>
  <c r="B21" i="58"/>
  <c r="B20" i="58"/>
  <c r="B16" i="58"/>
  <c r="B15" i="58"/>
  <c r="I2" i="60"/>
  <c r="I2" i="58"/>
  <c r="B5" i="58"/>
  <c r="X57" i="63"/>
  <c r="X35" i="58"/>
  <c r="I2" i="59"/>
  <c r="B8" i="59"/>
  <c r="B9" i="76"/>
  <c r="B8" i="76"/>
  <c r="B7" i="76"/>
  <c r="I2" i="76"/>
  <c r="AA2" i="76"/>
  <c r="B21" i="18"/>
  <c r="B19" i="18"/>
  <c r="B18" i="18"/>
  <c r="B15" i="18"/>
  <c r="B10" i="18"/>
  <c r="B7" i="18"/>
  <c r="B6" i="18"/>
  <c r="B5" i="18"/>
  <c r="B4" i="18"/>
  <c r="B17" i="18"/>
  <c r="I2" i="18"/>
  <c r="AH2" i="20"/>
  <c r="B39" i="20"/>
  <c r="B35" i="20"/>
  <c r="B27" i="20"/>
  <c r="B26" i="20"/>
  <c r="B25" i="20"/>
  <c r="B24" i="20"/>
  <c r="G24" i="20"/>
  <c r="B23" i="20"/>
  <c r="B22" i="20"/>
  <c r="B21" i="20"/>
  <c r="B20" i="20"/>
  <c r="B19" i="20"/>
  <c r="B18" i="20"/>
  <c r="B14" i="20"/>
  <c r="B13" i="20"/>
  <c r="B11" i="20"/>
  <c r="B10" i="20"/>
  <c r="I2" i="20"/>
  <c r="H2" i="60"/>
  <c r="G2" i="60"/>
  <c r="F2" i="60"/>
  <c r="E2" i="60"/>
  <c r="D2" i="60"/>
  <c r="C2" i="60"/>
  <c r="H2" i="58"/>
  <c r="G2" i="58"/>
  <c r="F2" i="58"/>
  <c r="E2" i="58"/>
  <c r="T25" i="65"/>
  <c r="T13" i="65"/>
  <c r="T7" i="79"/>
  <c r="T10" i="79"/>
  <c r="U2" i="61"/>
  <c r="V2" i="61"/>
  <c r="V25" i="65"/>
  <c r="V13" i="65"/>
  <c r="V7" i="79"/>
  <c r="V10" i="79"/>
  <c r="W35" i="58"/>
  <c r="W25" i="65"/>
  <c r="W13" i="65"/>
  <c r="X2" i="61"/>
  <c r="X25" i="65"/>
  <c r="X13" i="65"/>
  <c r="Y2" i="61"/>
  <c r="AA2" i="61"/>
  <c r="AB2" i="61"/>
  <c r="S2" i="61"/>
  <c r="S36" i="58"/>
  <c r="S7" i="79"/>
  <c r="B26" i="65"/>
  <c r="B17" i="65"/>
  <c r="B15" i="65"/>
  <c r="B12" i="74"/>
  <c r="B4" i="65"/>
  <c r="Q11" i="61"/>
  <c r="P6" i="79"/>
  <c r="N9" i="67"/>
  <c r="L9" i="67"/>
  <c r="G9" i="67"/>
  <c r="P9" i="67"/>
  <c r="B52" i="62"/>
  <c r="B26" i="18"/>
  <c r="B12" i="78"/>
  <c r="M2" i="48"/>
  <c r="T22" i="54"/>
  <c r="P22" i="54"/>
  <c r="Q22" i="54"/>
  <c r="T21" i="54"/>
  <c r="T19" i="54"/>
  <c r="AB18" i="54"/>
  <c r="T13" i="54"/>
  <c r="AC2" i="79"/>
  <c r="AC2" i="78"/>
  <c r="AB2" i="68"/>
  <c r="AC2" i="74"/>
  <c r="H46" i="13"/>
  <c r="B4" i="79"/>
  <c r="B13" i="79"/>
  <c r="B15" i="79"/>
  <c r="B8" i="79"/>
  <c r="B16" i="79"/>
  <c r="B11" i="79"/>
  <c r="B2" i="79"/>
  <c r="B10" i="79"/>
  <c r="B5" i="79"/>
  <c r="B7" i="79"/>
  <c r="AH2" i="79"/>
  <c r="AG2" i="79"/>
  <c r="AB2" i="79"/>
  <c r="AA2" i="79"/>
  <c r="Z2" i="79"/>
  <c r="Y2" i="79"/>
  <c r="X2" i="79"/>
  <c r="W2" i="79"/>
  <c r="V2" i="79"/>
  <c r="U2" i="79"/>
  <c r="T2" i="79"/>
  <c r="S2" i="79"/>
  <c r="R2" i="79"/>
  <c r="Q2" i="79"/>
  <c r="P2" i="79"/>
  <c r="O2" i="79"/>
  <c r="N2" i="79"/>
  <c r="M2" i="79"/>
  <c r="L2" i="79"/>
  <c r="K2" i="79"/>
  <c r="H2" i="79"/>
  <c r="G2" i="79"/>
  <c r="F2" i="79"/>
  <c r="E2" i="79"/>
  <c r="D2" i="79"/>
  <c r="C2" i="79"/>
  <c r="R7" i="79"/>
  <c r="R10" i="79"/>
  <c r="Q7" i="79"/>
  <c r="Q10" i="79"/>
  <c r="P7" i="79"/>
  <c r="P10" i="79"/>
  <c r="O7" i="79"/>
  <c r="O10" i="79"/>
  <c r="N7" i="79"/>
  <c r="N10" i="79"/>
  <c r="M7" i="79"/>
  <c r="M10" i="79"/>
  <c r="L7" i="79"/>
  <c r="K7" i="79"/>
  <c r="K10" i="79"/>
  <c r="B2" i="48"/>
  <c r="C5" i="52"/>
  <c r="C3" i="52"/>
  <c r="T6" i="54"/>
  <c r="T5" i="54"/>
  <c r="D7" i="79"/>
  <c r="D10" i="79"/>
  <c r="E7" i="79"/>
  <c r="E10" i="79"/>
  <c r="F7" i="79"/>
  <c r="F10" i="79"/>
  <c r="C7" i="79"/>
  <c r="C10" i="79"/>
  <c r="B12" i="65"/>
  <c r="B14" i="65"/>
  <c r="B13" i="65"/>
  <c r="B11" i="65"/>
  <c r="B10" i="65"/>
  <c r="B9" i="65"/>
  <c r="B8" i="65"/>
  <c r="B7" i="65"/>
  <c r="B6" i="65"/>
  <c r="B5" i="65"/>
  <c r="B27" i="62"/>
  <c r="B22" i="62"/>
  <c r="B21" i="62"/>
  <c r="B8" i="75"/>
  <c r="B6" i="75"/>
  <c r="L2" i="48"/>
  <c r="AB17" i="74"/>
  <c r="E24" i="52"/>
  <c r="O9" i="52"/>
  <c r="O32" i="52"/>
  <c r="N9" i="52"/>
  <c r="N32" i="52"/>
  <c r="T11" i="54"/>
  <c r="T10" i="54"/>
  <c r="S13" i="54"/>
  <c r="S22" i="54"/>
  <c r="Z22" i="54"/>
  <c r="S21" i="54"/>
  <c r="S19" i="54"/>
  <c r="Z19" i="54"/>
  <c r="AB2" i="75"/>
  <c r="T2" i="54"/>
  <c r="AB2" i="78"/>
  <c r="AB2" i="65"/>
  <c r="AB2" i="64"/>
  <c r="X2" i="67"/>
  <c r="W2" i="67"/>
  <c r="AA2" i="67"/>
  <c r="X2" i="66"/>
  <c r="W2" i="66"/>
  <c r="X17" i="74"/>
  <c r="AA17" i="74"/>
  <c r="X2" i="68"/>
  <c r="X15" i="68"/>
  <c r="AA2" i="68"/>
  <c r="X2" i="63"/>
  <c r="AB2" i="74"/>
  <c r="B36" i="63"/>
  <c r="B28" i="63"/>
  <c r="B26" i="63"/>
  <c r="B23" i="63"/>
  <c r="B33" i="63"/>
  <c r="B25" i="63"/>
  <c r="B35" i="63"/>
  <c r="B20" i="63"/>
  <c r="B4" i="63"/>
  <c r="B37" i="58"/>
  <c r="B31" i="48"/>
  <c r="B14" i="48"/>
  <c r="O13" i="54"/>
  <c r="R13" i="54"/>
  <c r="B6" i="74"/>
  <c r="B5" i="74"/>
  <c r="B26" i="62"/>
  <c r="I35" i="52"/>
  <c r="C12" i="52"/>
  <c r="J9" i="52"/>
  <c r="K9" i="52"/>
  <c r="L9" i="52"/>
  <c r="L32" i="52"/>
  <c r="M9" i="52"/>
  <c r="B18" i="74"/>
  <c r="B15" i="78"/>
  <c r="B16" i="78"/>
  <c r="B14" i="78"/>
  <c r="B13" i="78"/>
  <c r="B11" i="78"/>
  <c r="B9" i="78"/>
  <c r="B8" i="78"/>
  <c r="B7" i="78"/>
  <c r="B6" i="78"/>
  <c r="B5" i="78"/>
  <c r="B4" i="78"/>
  <c r="B2" i="78"/>
  <c r="T17" i="74"/>
  <c r="W17" i="74"/>
  <c r="Y17" i="74"/>
  <c r="AH2" i="78"/>
  <c r="AG2" i="78"/>
  <c r="AA2" i="78"/>
  <c r="Z2" i="78"/>
  <c r="Y2" i="78"/>
  <c r="X2" i="78"/>
  <c r="W2" i="78"/>
  <c r="V2" i="78"/>
  <c r="U2" i="78"/>
  <c r="T2" i="78"/>
  <c r="S2" i="78"/>
  <c r="R2" i="78"/>
  <c r="Q2" i="78"/>
  <c r="P2" i="78"/>
  <c r="O2" i="78"/>
  <c r="N2" i="78"/>
  <c r="M2" i="78"/>
  <c r="L2" i="78"/>
  <c r="K2" i="78"/>
  <c r="H2" i="78"/>
  <c r="G2" i="78"/>
  <c r="F2" i="78"/>
  <c r="E2" i="78"/>
  <c r="D2" i="78"/>
  <c r="C2" i="78"/>
  <c r="B16" i="74"/>
  <c r="B15" i="74"/>
  <c r="B14" i="74"/>
  <c r="B13" i="74"/>
  <c r="B13" i="66"/>
  <c r="B11" i="74"/>
  <c r="B9" i="74"/>
  <c r="B10" i="74"/>
  <c r="B8" i="74"/>
  <c r="B7" i="74"/>
  <c r="B28" i="48"/>
  <c r="B29" i="48"/>
  <c r="B27" i="48"/>
  <c r="I53" i="40"/>
  <c r="I52" i="40"/>
  <c r="I51" i="40"/>
  <c r="H44" i="13"/>
  <c r="H40" i="13"/>
  <c r="H38" i="13"/>
  <c r="H36" i="13"/>
  <c r="H34" i="13"/>
  <c r="H32" i="13"/>
  <c r="H30" i="13"/>
  <c r="H28" i="13"/>
  <c r="H12" i="13"/>
  <c r="H26" i="13"/>
  <c r="H24" i="13"/>
  <c r="H22" i="13"/>
  <c r="H20" i="13"/>
  <c r="H18" i="13"/>
  <c r="H16" i="13"/>
  <c r="H14" i="13"/>
  <c r="H10" i="13"/>
  <c r="B15" i="76"/>
  <c r="B11" i="76"/>
  <c r="B4" i="76"/>
  <c r="AH2" i="76"/>
  <c r="AG2" i="76"/>
  <c r="X2" i="76"/>
  <c r="W2" i="76"/>
  <c r="V2" i="76"/>
  <c r="U2" i="76"/>
  <c r="T2" i="76"/>
  <c r="S2" i="76"/>
  <c r="R2" i="76"/>
  <c r="F6" i="76"/>
  <c r="Q2" i="76"/>
  <c r="P2" i="76"/>
  <c r="O2" i="76"/>
  <c r="N2" i="76"/>
  <c r="E12" i="76"/>
  <c r="M2" i="76"/>
  <c r="L2" i="76"/>
  <c r="K2" i="76"/>
  <c r="H2" i="76"/>
  <c r="G2" i="76"/>
  <c r="F2" i="76"/>
  <c r="E2" i="76"/>
  <c r="D2" i="76"/>
  <c r="C2" i="76"/>
  <c r="B2" i="76"/>
  <c r="H23" i="75"/>
  <c r="G23" i="75"/>
  <c r="F23" i="75"/>
  <c r="E23" i="75"/>
  <c r="B23" i="75"/>
  <c r="H22" i="75"/>
  <c r="G22" i="75"/>
  <c r="F22" i="75"/>
  <c r="E22" i="75"/>
  <c r="B22" i="75"/>
  <c r="H21" i="75"/>
  <c r="G21" i="75"/>
  <c r="F21" i="75"/>
  <c r="E21" i="75"/>
  <c r="B21" i="75"/>
  <c r="H20" i="75"/>
  <c r="G20" i="75"/>
  <c r="B20" i="75"/>
  <c r="H19" i="75"/>
  <c r="G19" i="75"/>
  <c r="B19" i="75"/>
  <c r="B18" i="75"/>
  <c r="H17" i="75"/>
  <c r="G17" i="75"/>
  <c r="B17" i="75"/>
  <c r="H16" i="75"/>
  <c r="G16" i="75"/>
  <c r="B16" i="75"/>
  <c r="H15" i="75"/>
  <c r="G15" i="75"/>
  <c r="B15" i="75"/>
  <c r="B14" i="75"/>
  <c r="H13" i="75"/>
  <c r="B13" i="75"/>
  <c r="H12" i="75"/>
  <c r="G12" i="75"/>
  <c r="B12" i="75"/>
  <c r="H11" i="75"/>
  <c r="G11" i="75"/>
  <c r="B11" i="75"/>
  <c r="H10" i="75"/>
  <c r="G10" i="75"/>
  <c r="B10" i="75"/>
  <c r="H9" i="75"/>
  <c r="G9" i="75"/>
  <c r="E9" i="75"/>
  <c r="B9" i="75"/>
  <c r="H7" i="75"/>
  <c r="G7" i="75"/>
  <c r="F7" i="75"/>
  <c r="E7" i="75"/>
  <c r="B7" i="75"/>
  <c r="H6" i="75"/>
  <c r="G6" i="75"/>
  <c r="F6" i="75"/>
  <c r="E6" i="75"/>
  <c r="H5" i="75"/>
  <c r="G5" i="75"/>
  <c r="F5" i="75"/>
  <c r="E5" i="75"/>
  <c r="B5" i="75"/>
  <c r="B4" i="75"/>
  <c r="AH2" i="75"/>
  <c r="AG2" i="75"/>
  <c r="AA2" i="75"/>
  <c r="Z2" i="75"/>
  <c r="Y2" i="75"/>
  <c r="X2" i="75"/>
  <c r="W2" i="75"/>
  <c r="V2" i="75"/>
  <c r="U2" i="75"/>
  <c r="T2" i="75"/>
  <c r="S2" i="75"/>
  <c r="R2" i="75"/>
  <c r="Q2" i="75"/>
  <c r="P2" i="75"/>
  <c r="O2" i="75"/>
  <c r="N2" i="75"/>
  <c r="M2" i="75"/>
  <c r="L2" i="75"/>
  <c r="K2" i="75"/>
  <c r="H2" i="75"/>
  <c r="G2" i="75"/>
  <c r="F2" i="75"/>
  <c r="E2" i="75"/>
  <c r="D2" i="75"/>
  <c r="C2" i="75"/>
  <c r="B2" i="75"/>
  <c r="E17" i="74"/>
  <c r="B17" i="74"/>
  <c r="B4" i="74"/>
  <c r="AH2" i="74"/>
  <c r="AG2" i="74"/>
  <c r="AA2" i="74"/>
  <c r="Z2" i="74"/>
  <c r="Y2" i="74"/>
  <c r="X2" i="74"/>
  <c r="W2" i="74"/>
  <c r="V2" i="74"/>
  <c r="U2" i="74"/>
  <c r="T2" i="74"/>
  <c r="S2" i="74"/>
  <c r="R2" i="74"/>
  <c r="Q2" i="74"/>
  <c r="P2" i="74"/>
  <c r="O2" i="74"/>
  <c r="N2" i="74"/>
  <c r="M2" i="74"/>
  <c r="L2" i="74"/>
  <c r="K2" i="74"/>
  <c r="H2" i="74"/>
  <c r="G2" i="74"/>
  <c r="F2" i="74"/>
  <c r="E2" i="74"/>
  <c r="D2" i="74"/>
  <c r="C2" i="74"/>
  <c r="B2" i="74"/>
  <c r="B9" i="73"/>
  <c r="B4" i="73"/>
  <c r="AB2" i="73"/>
  <c r="AA2" i="73"/>
  <c r="K6" i="48"/>
  <c r="B2" i="73"/>
  <c r="B12" i="68"/>
  <c r="B10" i="68"/>
  <c r="B9" i="68"/>
  <c r="B8" i="68"/>
  <c r="B7" i="68"/>
  <c r="B5" i="68"/>
  <c r="B4" i="68"/>
  <c r="AH2" i="68"/>
  <c r="AG2" i="68"/>
  <c r="Y2" i="68"/>
  <c r="Y15" i="68"/>
  <c r="W2" i="68"/>
  <c r="V2" i="68"/>
  <c r="U2" i="68"/>
  <c r="T2" i="68"/>
  <c r="T15" i="68"/>
  <c r="S2" i="68"/>
  <c r="S15" i="68"/>
  <c r="R2" i="68"/>
  <c r="Q2" i="68"/>
  <c r="Q5" i="68"/>
  <c r="P2" i="68"/>
  <c r="P15" i="68"/>
  <c r="O2" i="68"/>
  <c r="O15" i="68"/>
  <c r="N2" i="68"/>
  <c r="N15" i="68"/>
  <c r="M2" i="68"/>
  <c r="L2" i="68"/>
  <c r="L15" i="68"/>
  <c r="K2" i="68"/>
  <c r="H2" i="68"/>
  <c r="G2" i="68"/>
  <c r="G15" i="68"/>
  <c r="F2" i="68"/>
  <c r="F15" i="68"/>
  <c r="E2" i="68"/>
  <c r="E5" i="68"/>
  <c r="D2" i="68"/>
  <c r="D15" i="68"/>
  <c r="C2" i="68"/>
  <c r="C15" i="68"/>
  <c r="B2" i="68"/>
  <c r="B31" i="67"/>
  <c r="B30" i="67"/>
  <c r="B29" i="67"/>
  <c r="B28" i="67"/>
  <c r="B26" i="67"/>
  <c r="B25" i="67"/>
  <c r="B20" i="67"/>
  <c r="B19" i="67"/>
  <c r="B18" i="67"/>
  <c r="B16" i="67"/>
  <c r="B15" i="67"/>
  <c r="B13" i="67"/>
  <c r="B12" i="67"/>
  <c r="B11" i="67"/>
  <c r="B10" i="67"/>
  <c r="B9" i="67"/>
  <c r="B8" i="67"/>
  <c r="A8" i="67"/>
  <c r="B7" i="67"/>
  <c r="B6" i="67"/>
  <c r="B5" i="67"/>
  <c r="B4" i="67"/>
  <c r="AH2" i="67"/>
  <c r="AG2" i="67"/>
  <c r="V2" i="67"/>
  <c r="U2" i="67"/>
  <c r="T2" i="67"/>
  <c r="S2" i="67"/>
  <c r="R2" i="67"/>
  <c r="Q2" i="67"/>
  <c r="P2" i="67"/>
  <c r="O2" i="67"/>
  <c r="N2" i="67"/>
  <c r="M2" i="67"/>
  <c r="L2" i="67"/>
  <c r="K2" i="67"/>
  <c r="G2" i="67"/>
  <c r="F2" i="67"/>
  <c r="D2" i="67"/>
  <c r="C2" i="67"/>
  <c r="C29" i="67"/>
  <c r="B2" i="67"/>
  <c r="B12" i="66"/>
  <c r="B10" i="66"/>
  <c r="B6" i="66"/>
  <c r="B5" i="66"/>
  <c r="B4" i="66"/>
  <c r="AH2" i="66"/>
  <c r="AG2" i="66"/>
  <c r="V2" i="66"/>
  <c r="U2" i="66"/>
  <c r="T2" i="66"/>
  <c r="S2" i="66"/>
  <c r="R2" i="66"/>
  <c r="Q2" i="66"/>
  <c r="R12" i="66"/>
  <c r="P2" i="66"/>
  <c r="O2" i="66"/>
  <c r="N2" i="66"/>
  <c r="M2" i="66"/>
  <c r="L2" i="66"/>
  <c r="K2" i="66"/>
  <c r="H2" i="66"/>
  <c r="G2" i="66"/>
  <c r="F2" i="66"/>
  <c r="E2" i="66"/>
  <c r="D2" i="66"/>
  <c r="C2" i="66"/>
  <c r="B2" i="66"/>
  <c r="B25" i="65"/>
  <c r="B23" i="65"/>
  <c r="B24" i="65"/>
  <c r="B22" i="65"/>
  <c r="B21" i="65"/>
  <c r="B20" i="65"/>
  <c r="B19" i="65"/>
  <c r="B18" i="65"/>
  <c r="AH2" i="65"/>
  <c r="AG2" i="65"/>
  <c r="AA2" i="65"/>
  <c r="Z2" i="65"/>
  <c r="Y2" i="65"/>
  <c r="X2" i="65"/>
  <c r="W2" i="65"/>
  <c r="V2" i="65"/>
  <c r="U2" i="65"/>
  <c r="T2" i="65"/>
  <c r="S2" i="65"/>
  <c r="R2" i="65"/>
  <c r="Q2" i="65"/>
  <c r="P2" i="65"/>
  <c r="O2" i="65"/>
  <c r="N2" i="65"/>
  <c r="M2" i="65"/>
  <c r="L2" i="65"/>
  <c r="K2" i="65"/>
  <c r="H2" i="65"/>
  <c r="G2" i="65"/>
  <c r="F2" i="65"/>
  <c r="E2" i="65"/>
  <c r="D2" i="65"/>
  <c r="C2" i="65"/>
  <c r="B2" i="65"/>
  <c r="B9" i="64"/>
  <c r="B8" i="64"/>
  <c r="B7" i="64"/>
  <c r="B6" i="64"/>
  <c r="B5" i="64"/>
  <c r="B4" i="64"/>
  <c r="AH2" i="64"/>
  <c r="AG2" i="64"/>
  <c r="AA2" i="64"/>
  <c r="Z2" i="64"/>
  <c r="Y2" i="64"/>
  <c r="X2" i="64"/>
  <c r="W2" i="64"/>
  <c r="V2" i="64"/>
  <c r="U2" i="64"/>
  <c r="T2" i="64"/>
  <c r="S2" i="64"/>
  <c r="R2" i="64"/>
  <c r="Q2" i="64"/>
  <c r="P2" i="64"/>
  <c r="O2" i="64"/>
  <c r="N2" i="64"/>
  <c r="M2" i="64"/>
  <c r="L2" i="64"/>
  <c r="K2" i="64"/>
  <c r="H2" i="64"/>
  <c r="G2" i="64"/>
  <c r="F2" i="64"/>
  <c r="E2" i="64"/>
  <c r="D2" i="64"/>
  <c r="C2" i="64"/>
  <c r="B2" i="64"/>
  <c r="B18" i="63"/>
  <c r="B11" i="63"/>
  <c r="B9" i="63"/>
  <c r="B81" i="63"/>
  <c r="B79" i="63"/>
  <c r="B78" i="63"/>
  <c r="B71" i="63"/>
  <c r="B61" i="63"/>
  <c r="B77" i="63"/>
  <c r="B76" i="63"/>
  <c r="B75" i="63"/>
  <c r="B72" i="63"/>
  <c r="B74" i="63"/>
  <c r="B73" i="63"/>
  <c r="B70" i="63"/>
  <c r="B67" i="63"/>
  <c r="R2" i="63"/>
  <c r="B62" i="63"/>
  <c r="B66" i="63"/>
  <c r="B60" i="63"/>
  <c r="B65" i="63"/>
  <c r="B64" i="63"/>
  <c r="B63" i="63"/>
  <c r="B7" i="59"/>
  <c r="B6" i="59"/>
  <c r="B92" i="63"/>
  <c r="B51" i="63"/>
  <c r="B58" i="63"/>
  <c r="B52" i="63"/>
  <c r="B55" i="63"/>
  <c r="B54" i="63"/>
  <c r="B2" i="63"/>
  <c r="B56" i="63"/>
  <c r="B57" i="63"/>
  <c r="B53" i="63"/>
  <c r="B50" i="63"/>
  <c r="E10" i="76"/>
  <c r="F17" i="74"/>
  <c r="G6" i="48"/>
  <c r="B91" i="63"/>
  <c r="B90" i="63"/>
  <c r="B89" i="63"/>
  <c r="B88" i="63"/>
  <c r="B87" i="63"/>
  <c r="B86" i="63"/>
  <c r="B85" i="63"/>
  <c r="B84" i="63"/>
  <c r="B83" i="63"/>
  <c r="C42" i="63"/>
  <c r="C54" i="63"/>
  <c r="B49" i="63"/>
  <c r="B48" i="63"/>
  <c r="B47" i="63"/>
  <c r="B46" i="63"/>
  <c r="B45" i="63"/>
  <c r="B44" i="63"/>
  <c r="B43" i="63"/>
  <c r="B42" i="63"/>
  <c r="B41" i="63"/>
  <c r="B40" i="63"/>
  <c r="B39" i="63"/>
  <c r="B38" i="63"/>
  <c r="B17" i="63"/>
  <c r="B16" i="63"/>
  <c r="B14" i="63"/>
  <c r="B13" i="63"/>
  <c r="B30" i="63"/>
  <c r="B12" i="63"/>
  <c r="B29" i="63"/>
  <c r="B8" i="63"/>
  <c r="B24" i="63"/>
  <c r="B34" i="63"/>
  <c r="B7" i="63"/>
  <c r="B6" i="63"/>
  <c r="B22" i="63"/>
  <c r="B31" i="63"/>
  <c r="B5" i="63"/>
  <c r="B21" i="63"/>
  <c r="AH2" i="63"/>
  <c r="AG2" i="63"/>
  <c r="V2" i="63"/>
  <c r="U2" i="63"/>
  <c r="T2" i="63"/>
  <c r="S2" i="63"/>
  <c r="Q2" i="63"/>
  <c r="P2" i="63"/>
  <c r="P74" i="63"/>
  <c r="O2" i="63"/>
  <c r="N2" i="63"/>
  <c r="M2" i="63"/>
  <c r="L2" i="63"/>
  <c r="K2" i="63"/>
  <c r="H2" i="63"/>
  <c r="G2" i="63"/>
  <c r="F2" i="63"/>
  <c r="E2" i="63"/>
  <c r="D2" i="63"/>
  <c r="C2" i="63"/>
  <c r="C74" i="63"/>
  <c r="B43" i="62"/>
  <c r="B36" i="62"/>
  <c r="B42" i="62"/>
  <c r="B41" i="62"/>
  <c r="B39" i="62"/>
  <c r="B40" i="62"/>
  <c r="B38" i="62"/>
  <c r="B5" i="51"/>
  <c r="B37" i="62"/>
  <c r="B17" i="62"/>
  <c r="B16" i="62"/>
  <c r="B15" i="62"/>
  <c r="B14" i="62"/>
  <c r="B2" i="62"/>
  <c r="B4" i="62"/>
  <c r="B5" i="62"/>
  <c r="B12" i="62"/>
  <c r="B47" i="62"/>
  <c r="B46" i="62"/>
  <c r="B45" i="62"/>
  <c r="B19" i="62"/>
  <c r="B34" i="62"/>
  <c r="B33" i="62"/>
  <c r="B31" i="62"/>
  <c r="B30" i="62"/>
  <c r="B29" i="62"/>
  <c r="B24" i="62"/>
  <c r="AH2" i="62"/>
  <c r="AG2" i="62"/>
  <c r="H2" i="62"/>
  <c r="G2" i="62"/>
  <c r="F2" i="62"/>
  <c r="E2" i="62"/>
  <c r="B13" i="61"/>
  <c r="B4" i="61"/>
  <c r="B2" i="61"/>
  <c r="B12" i="61"/>
  <c r="B11" i="61"/>
  <c r="B5" i="61"/>
  <c r="B2" i="59"/>
  <c r="B6" i="61"/>
  <c r="AH2" i="61"/>
  <c r="AG2" i="61"/>
  <c r="R2" i="61"/>
  <c r="Q2" i="61"/>
  <c r="P2" i="61"/>
  <c r="O2" i="61"/>
  <c r="N2" i="61"/>
  <c r="M2" i="61"/>
  <c r="L2" i="61"/>
  <c r="K2" i="61"/>
  <c r="H2" i="61"/>
  <c r="G2" i="61"/>
  <c r="F2" i="61"/>
  <c r="E2" i="61"/>
  <c r="D2" i="61"/>
  <c r="C2" i="61"/>
  <c r="B14" i="60"/>
  <c r="B19" i="60"/>
  <c r="B4" i="60"/>
  <c r="AH2" i="60"/>
  <c r="AG2" i="60"/>
  <c r="B2" i="60"/>
  <c r="B23" i="59"/>
  <c r="B14" i="59"/>
  <c r="B18" i="59"/>
  <c r="B13" i="59"/>
  <c r="B11" i="59"/>
  <c r="B10" i="59"/>
  <c r="B9" i="59"/>
  <c r="B4" i="59"/>
  <c r="B5" i="59"/>
  <c r="AH2" i="59"/>
  <c r="AG2" i="59"/>
  <c r="X2" i="59"/>
  <c r="W2" i="59"/>
  <c r="V2" i="59"/>
  <c r="U2" i="59"/>
  <c r="T2" i="59"/>
  <c r="S2" i="59"/>
  <c r="R2" i="59"/>
  <c r="Q2" i="59"/>
  <c r="P2" i="59"/>
  <c r="O2" i="59"/>
  <c r="N2" i="59"/>
  <c r="M2" i="59"/>
  <c r="L2" i="59"/>
  <c r="K2" i="59"/>
  <c r="G2" i="59"/>
  <c r="F2" i="59"/>
  <c r="E2" i="59"/>
  <c r="D2" i="59"/>
  <c r="C2" i="59"/>
  <c r="B2" i="58"/>
  <c r="B38" i="58"/>
  <c r="B36" i="58"/>
  <c r="B35" i="58"/>
  <c r="B34" i="58"/>
  <c r="B33" i="58"/>
  <c r="B4" i="58"/>
  <c r="AH2" i="58"/>
  <c r="AG2" i="58"/>
  <c r="S46" i="63"/>
  <c r="K2" i="48"/>
  <c r="O22" i="54"/>
  <c r="O21" i="54"/>
  <c r="P21" i="54"/>
  <c r="Q21" i="54"/>
  <c r="O19" i="54"/>
  <c r="P19" i="54"/>
  <c r="Q19" i="54"/>
  <c r="S11" i="54"/>
  <c r="Z11" i="54"/>
  <c r="S10" i="54"/>
  <c r="Z10" i="54"/>
  <c r="S2" i="54"/>
  <c r="Z2" i="51"/>
  <c r="Z2" i="37"/>
  <c r="Z2" i="36"/>
  <c r="Z2" i="35"/>
  <c r="Z2" i="41"/>
  <c r="Z2" i="19"/>
  <c r="B28" i="19"/>
  <c r="B25" i="19"/>
  <c r="B29" i="19"/>
  <c r="B27" i="19"/>
  <c r="V2" i="19"/>
  <c r="B26" i="19"/>
  <c r="B24" i="19"/>
  <c r="B40" i="35"/>
  <c r="B120" i="19"/>
  <c r="B36" i="18"/>
  <c r="AB22" i="54"/>
  <c r="Q13" i="54"/>
  <c r="B15" i="54"/>
  <c r="B4" i="36"/>
  <c r="B44" i="36"/>
  <c r="B31" i="36"/>
  <c r="B77" i="19"/>
  <c r="B76" i="19"/>
  <c r="B75" i="19"/>
  <c r="B74" i="19"/>
  <c r="B73" i="19"/>
  <c r="B72" i="19"/>
  <c r="B17" i="35"/>
  <c r="B36" i="35"/>
  <c r="B35" i="35"/>
  <c r="B34" i="35"/>
  <c r="B33" i="35"/>
  <c r="B26" i="35"/>
  <c r="B22" i="35"/>
  <c r="B16" i="35"/>
  <c r="B21" i="35"/>
  <c r="B91" i="19"/>
  <c r="B90" i="19"/>
  <c r="B113" i="19"/>
  <c r="B107" i="19"/>
  <c r="B69" i="19"/>
  <c r="B57" i="19"/>
  <c r="H2" i="51"/>
  <c r="H2" i="36"/>
  <c r="H2" i="37"/>
  <c r="H2" i="35"/>
  <c r="H2" i="41"/>
  <c r="H2" i="19"/>
  <c r="H2" i="20"/>
  <c r="R2" i="54"/>
  <c r="Y2" i="51"/>
  <c r="Y2" i="37"/>
  <c r="Y2" i="36"/>
  <c r="Y2" i="35"/>
  <c r="Y2" i="41"/>
  <c r="Y2" i="19"/>
  <c r="J2" i="48"/>
  <c r="B37" i="19"/>
  <c r="G2" i="19"/>
  <c r="F2" i="19"/>
  <c r="E2" i="19"/>
  <c r="E38" i="19"/>
  <c r="AB19" i="54"/>
  <c r="P13" i="54"/>
  <c r="Q10" i="54"/>
  <c r="Q11" i="54"/>
  <c r="M32" i="52"/>
  <c r="Q2" i="54"/>
  <c r="X2" i="51"/>
  <c r="Y17" i="51"/>
  <c r="X2" i="37"/>
  <c r="X2" i="36"/>
  <c r="B45" i="36"/>
  <c r="X2" i="35"/>
  <c r="X2" i="41"/>
  <c r="X2" i="19"/>
  <c r="I2" i="48"/>
  <c r="B27" i="54"/>
  <c r="B26" i="54"/>
  <c r="D13" i="54"/>
  <c r="E13" i="54"/>
  <c r="F13" i="54"/>
  <c r="G13" i="54"/>
  <c r="H13" i="54"/>
  <c r="I13" i="54"/>
  <c r="J13" i="54"/>
  <c r="K13" i="54"/>
  <c r="L13" i="54"/>
  <c r="M13" i="54"/>
  <c r="N13" i="54"/>
  <c r="C13" i="54"/>
  <c r="AB4" i="54"/>
  <c r="AB5" i="54"/>
  <c r="AB6" i="54"/>
  <c r="AB9" i="54"/>
  <c r="AB13" i="54"/>
  <c r="AB20" i="54"/>
  <c r="AB21" i="54"/>
  <c r="B23" i="54"/>
  <c r="B22" i="54"/>
  <c r="B21" i="54"/>
  <c r="B20" i="54"/>
  <c r="B19" i="54"/>
  <c r="B18" i="54"/>
  <c r="B17" i="54"/>
  <c r="B14" i="54"/>
  <c r="B13" i="54"/>
  <c r="B11" i="54"/>
  <c r="B10" i="54"/>
  <c r="B9" i="54"/>
  <c r="B8" i="54"/>
  <c r="B6" i="54"/>
  <c r="B5" i="54"/>
  <c r="B4" i="54"/>
  <c r="B2" i="54"/>
  <c r="Z2" i="54"/>
  <c r="Y2" i="54"/>
  <c r="AC2" i="51"/>
  <c r="AB2" i="51"/>
  <c r="AC2" i="37"/>
  <c r="AB2" i="37"/>
  <c r="AC2" i="36"/>
  <c r="AB2" i="36"/>
  <c r="AC2" i="35"/>
  <c r="AB2" i="35"/>
  <c r="AC2" i="41"/>
  <c r="AB2" i="41"/>
  <c r="AH2" i="18"/>
  <c r="AC2" i="19"/>
  <c r="AB2" i="19"/>
  <c r="AG2" i="18"/>
  <c r="AG2" i="20"/>
  <c r="R2" i="48"/>
  <c r="P2" i="54"/>
  <c r="O2" i="54"/>
  <c r="N2" i="54"/>
  <c r="M2" i="54"/>
  <c r="L2" i="54"/>
  <c r="K2" i="54"/>
  <c r="J2" i="54"/>
  <c r="I2" i="54"/>
  <c r="H2" i="54"/>
  <c r="G2" i="54"/>
  <c r="F2" i="54"/>
  <c r="E2" i="54"/>
  <c r="D2" i="54"/>
  <c r="C2" i="54"/>
  <c r="I22" i="52"/>
  <c r="W2" i="51"/>
  <c r="X17" i="51"/>
  <c r="W2" i="37"/>
  <c r="W2" i="36"/>
  <c r="W2" i="35"/>
  <c r="W2" i="41"/>
  <c r="H2" i="48"/>
  <c r="W2" i="19"/>
  <c r="B9" i="35"/>
  <c r="B7" i="35"/>
  <c r="B6" i="35"/>
  <c r="V2" i="35"/>
  <c r="V2" i="51"/>
  <c r="V2" i="37"/>
  <c r="V2" i="36"/>
  <c r="B12" i="36"/>
  <c r="V25" i="36"/>
  <c r="V2" i="41"/>
  <c r="B10" i="41"/>
  <c r="B52" i="19"/>
  <c r="W5" i="59"/>
  <c r="W73" i="63"/>
  <c r="G2" i="48"/>
  <c r="B54" i="36"/>
  <c r="B53" i="36"/>
  <c r="B52" i="36"/>
  <c r="B51" i="36"/>
  <c r="B50" i="36"/>
  <c r="B49" i="36"/>
  <c r="B48" i="36"/>
  <c r="B47" i="36"/>
  <c r="B46" i="36"/>
  <c r="B43" i="36"/>
  <c r="B42" i="36"/>
  <c r="B41" i="36"/>
  <c r="B39" i="36"/>
  <c r="B38" i="36"/>
  <c r="U2" i="36"/>
  <c r="G53" i="36"/>
  <c r="B37" i="36"/>
  <c r="W51" i="36"/>
  <c r="B36" i="36"/>
  <c r="X49" i="36"/>
  <c r="B35" i="36"/>
  <c r="B34" i="36"/>
  <c r="B33" i="36"/>
  <c r="B32" i="36"/>
  <c r="B30" i="36"/>
  <c r="B29" i="36"/>
  <c r="B28" i="36"/>
  <c r="B117" i="19"/>
  <c r="B116" i="19"/>
  <c r="B115" i="19"/>
  <c r="E9" i="52"/>
  <c r="G2" i="51"/>
  <c r="U2" i="51"/>
  <c r="G2" i="37"/>
  <c r="U2" i="37"/>
  <c r="G2" i="36"/>
  <c r="G2" i="35"/>
  <c r="U2" i="35"/>
  <c r="G2" i="41"/>
  <c r="U2" i="41"/>
  <c r="B12" i="41"/>
  <c r="G12" i="41"/>
  <c r="G2" i="20"/>
  <c r="F2" i="20"/>
  <c r="G19" i="20"/>
  <c r="F2" i="48"/>
  <c r="U2" i="19"/>
  <c r="C18" i="52"/>
  <c r="C13" i="52"/>
  <c r="B38" i="35"/>
  <c r="B17" i="41"/>
  <c r="B23" i="41"/>
  <c r="B25" i="41"/>
  <c r="B104" i="19"/>
  <c r="B87" i="19"/>
  <c r="B85" i="19"/>
  <c r="B112" i="19"/>
  <c r="D86" i="19"/>
  <c r="J86" i="19"/>
  <c r="K86" i="19"/>
  <c r="L86" i="19"/>
  <c r="M86" i="19"/>
  <c r="E86" i="19"/>
  <c r="C86" i="19"/>
  <c r="B80" i="19"/>
  <c r="B88" i="19"/>
  <c r="B86" i="19"/>
  <c r="B84" i="19"/>
  <c r="B83" i="19"/>
  <c r="B82" i="19"/>
  <c r="B81" i="19"/>
  <c r="B79" i="19"/>
  <c r="B102" i="19"/>
  <c r="B10" i="51"/>
  <c r="B9" i="51"/>
  <c r="B8" i="51"/>
  <c r="B7" i="51"/>
  <c r="B6" i="51"/>
  <c r="B4" i="51"/>
  <c r="B53" i="19"/>
  <c r="B54" i="19"/>
  <c r="B55" i="19"/>
  <c r="B56" i="19"/>
  <c r="D2" i="19"/>
  <c r="B59" i="19"/>
  <c r="B60" i="19"/>
  <c r="B61" i="19"/>
  <c r="B111" i="19"/>
  <c r="B110" i="19"/>
  <c r="B109" i="19"/>
  <c r="B108" i="19"/>
  <c r="B106" i="19"/>
  <c r="B103" i="19"/>
  <c r="B101" i="19"/>
  <c r="B100" i="19"/>
  <c r="B99" i="19"/>
  <c r="B98" i="19"/>
  <c r="B97" i="19"/>
  <c r="B96" i="19"/>
  <c r="B95" i="19"/>
  <c r="B94" i="19"/>
  <c r="B93" i="19"/>
  <c r="B67" i="19"/>
  <c r="B68" i="19"/>
  <c r="B64" i="19"/>
  <c r="B65" i="19"/>
  <c r="B66" i="19"/>
  <c r="B62" i="19"/>
  <c r="R2" i="19"/>
  <c r="R76" i="19"/>
  <c r="B63" i="19"/>
  <c r="B58" i="19"/>
  <c r="T2" i="51"/>
  <c r="T2" i="37"/>
  <c r="T2" i="36"/>
  <c r="T51" i="36"/>
  <c r="T2" i="35"/>
  <c r="B36" i="41"/>
  <c r="B27" i="41"/>
  <c r="B24" i="41"/>
  <c r="B22" i="41"/>
  <c r="B21" i="41"/>
  <c r="B20" i="41"/>
  <c r="B19" i="41"/>
  <c r="L2" i="41"/>
  <c r="L18" i="41"/>
  <c r="B18" i="41"/>
  <c r="B9" i="41"/>
  <c r="B14" i="41"/>
  <c r="B13" i="41"/>
  <c r="B11" i="41"/>
  <c r="B15" i="41"/>
  <c r="B8" i="41"/>
  <c r="Q2" i="41"/>
  <c r="F8" i="41"/>
  <c r="B7" i="41"/>
  <c r="G7" i="41"/>
  <c r="B6" i="41"/>
  <c r="M2" i="41"/>
  <c r="E6" i="41"/>
  <c r="B5" i="41"/>
  <c r="B4" i="41"/>
  <c r="B46" i="41"/>
  <c r="T2" i="41"/>
  <c r="T2" i="19"/>
  <c r="E2" i="48"/>
  <c r="B28" i="37"/>
  <c r="B26" i="37"/>
  <c r="B27" i="37"/>
  <c r="B12" i="48"/>
  <c r="B30" i="48"/>
  <c r="B26" i="48"/>
  <c r="B24" i="48"/>
  <c r="B23" i="48"/>
  <c r="B22" i="48"/>
  <c r="B21" i="48"/>
  <c r="B19" i="48"/>
  <c r="B18" i="48"/>
  <c r="B17" i="48"/>
  <c r="B16" i="48"/>
  <c r="B13" i="48"/>
  <c r="B11" i="48"/>
  <c r="B10" i="48"/>
  <c r="B8" i="48"/>
  <c r="B7" i="48"/>
  <c r="B6" i="48"/>
  <c r="B5" i="48"/>
  <c r="B4" i="48"/>
  <c r="D2" i="48"/>
  <c r="C2" i="48"/>
  <c r="B32" i="37"/>
  <c r="B33" i="37"/>
  <c r="B34" i="37"/>
  <c r="B29" i="37"/>
  <c r="B31" i="37"/>
  <c r="B25" i="37"/>
  <c r="B23" i="37"/>
  <c r="B17" i="37"/>
  <c r="B18" i="37"/>
  <c r="B20" i="37"/>
  <c r="B21" i="37"/>
  <c r="B22" i="37"/>
  <c r="B16" i="37"/>
  <c r="D9" i="52"/>
  <c r="B10" i="37"/>
  <c r="B19" i="37"/>
  <c r="C47" i="52"/>
  <c r="T9" i="52"/>
  <c r="T32" i="52"/>
  <c r="S9" i="52"/>
  <c r="S32" i="52"/>
  <c r="R9" i="52"/>
  <c r="R32" i="52"/>
  <c r="Q9" i="52"/>
  <c r="Q32" i="52"/>
  <c r="Q8" i="52"/>
  <c r="Q31" i="52"/>
  <c r="I33" i="52"/>
  <c r="I34" i="52"/>
  <c r="I36" i="52"/>
  <c r="I37" i="52"/>
  <c r="I39" i="52"/>
  <c r="I40" i="52"/>
  <c r="I41" i="52"/>
  <c r="I42" i="52"/>
  <c r="I43" i="52"/>
  <c r="I32" i="52"/>
  <c r="I12" i="52"/>
  <c r="I14" i="52"/>
  <c r="I15" i="52"/>
  <c r="I17" i="52"/>
  <c r="I18" i="52"/>
  <c r="I20" i="52"/>
  <c r="I21" i="52"/>
  <c r="I23" i="52"/>
  <c r="I25" i="52"/>
  <c r="I26" i="52"/>
  <c r="I10" i="52"/>
  <c r="I11" i="52"/>
  <c r="I9" i="52"/>
  <c r="D24" i="52"/>
  <c r="C24" i="52"/>
  <c r="C25" i="52"/>
  <c r="C26" i="52"/>
  <c r="C27" i="52"/>
  <c r="C9" i="52"/>
  <c r="C10" i="52"/>
  <c r="C11" i="52"/>
  <c r="C14" i="52"/>
  <c r="C15" i="52"/>
  <c r="C16" i="52"/>
  <c r="C17" i="52"/>
  <c r="C19" i="52"/>
  <c r="K32" i="52"/>
  <c r="J32" i="52"/>
  <c r="BS2" i="40"/>
  <c r="BS1" i="40"/>
  <c r="BQ1" i="40"/>
  <c r="BQ2" i="40"/>
  <c r="B20" i="51"/>
  <c r="B48" i="19"/>
  <c r="B18" i="51"/>
  <c r="B17" i="51"/>
  <c r="B16" i="51"/>
  <c r="B15" i="51"/>
  <c r="B14" i="51"/>
  <c r="B13" i="51"/>
  <c r="B12" i="51"/>
  <c r="B2" i="51"/>
  <c r="W5" i="61"/>
  <c r="S2" i="51"/>
  <c r="R2" i="51"/>
  <c r="S17" i="51"/>
  <c r="Q2" i="51"/>
  <c r="F16" i="51"/>
  <c r="G17" i="51"/>
  <c r="P2" i="51"/>
  <c r="Q17" i="51"/>
  <c r="O2" i="51"/>
  <c r="N2" i="51"/>
  <c r="M2" i="51"/>
  <c r="L2" i="51"/>
  <c r="K2" i="51"/>
  <c r="J2" i="51"/>
  <c r="F2" i="51"/>
  <c r="E2" i="51"/>
  <c r="D2" i="51"/>
  <c r="C2" i="51"/>
  <c r="B7" i="37"/>
  <c r="L10" i="67"/>
  <c r="S2" i="37"/>
  <c r="S2" i="36"/>
  <c r="S2" i="35"/>
  <c r="S2" i="41"/>
  <c r="S2" i="19"/>
  <c r="F6" i="13"/>
  <c r="B14" i="37"/>
  <c r="B13" i="37"/>
  <c r="S22" i="37"/>
  <c r="B12" i="37"/>
  <c r="W21" i="37"/>
  <c r="B11" i="37"/>
  <c r="B9" i="37"/>
  <c r="B8" i="37"/>
  <c r="M2" i="37"/>
  <c r="M28" i="37"/>
  <c r="B6" i="37"/>
  <c r="N2" i="37"/>
  <c r="N33" i="37"/>
  <c r="B5" i="37"/>
  <c r="B4" i="37"/>
  <c r="B2" i="37"/>
  <c r="B2" i="18"/>
  <c r="R2" i="37"/>
  <c r="Q2" i="37"/>
  <c r="Q20" i="37"/>
  <c r="P2" i="37"/>
  <c r="O2" i="37"/>
  <c r="L2" i="37"/>
  <c r="L17" i="37"/>
  <c r="K2" i="37"/>
  <c r="J2" i="37"/>
  <c r="J31" i="37"/>
  <c r="F2" i="37"/>
  <c r="E2" i="37"/>
  <c r="D2" i="37"/>
  <c r="C2" i="37"/>
  <c r="B26" i="36"/>
  <c r="B25" i="36"/>
  <c r="B24" i="36"/>
  <c r="K2" i="36"/>
  <c r="B23" i="36"/>
  <c r="B22" i="36"/>
  <c r="B21" i="36"/>
  <c r="B20" i="36"/>
  <c r="B19" i="36"/>
  <c r="B18" i="36"/>
  <c r="B17" i="36"/>
  <c r="B16" i="36"/>
  <c r="B15" i="36"/>
  <c r="B13" i="36"/>
  <c r="B11" i="36"/>
  <c r="B10" i="36"/>
  <c r="B9" i="36"/>
  <c r="K20" i="36"/>
  <c r="B8" i="36"/>
  <c r="B7" i="36"/>
  <c r="B6" i="36"/>
  <c r="B5" i="36"/>
  <c r="B2" i="36"/>
  <c r="R2" i="36"/>
  <c r="Q2" i="36"/>
  <c r="P2" i="36"/>
  <c r="P51" i="36"/>
  <c r="O2" i="36"/>
  <c r="N2" i="36"/>
  <c r="M2" i="36"/>
  <c r="M53" i="36"/>
  <c r="L2" i="36"/>
  <c r="J2" i="36"/>
  <c r="J53" i="36"/>
  <c r="F2" i="36"/>
  <c r="E2" i="36"/>
  <c r="D2" i="36"/>
  <c r="C2" i="36"/>
  <c r="B37" i="35"/>
  <c r="B32" i="35"/>
  <c r="B31" i="35"/>
  <c r="B30" i="35"/>
  <c r="B29" i="35"/>
  <c r="B27" i="35"/>
  <c r="B25" i="35"/>
  <c r="P2" i="35"/>
  <c r="M2" i="35"/>
  <c r="B24" i="35"/>
  <c r="B20" i="35"/>
  <c r="B19" i="35"/>
  <c r="K2" i="35"/>
  <c r="B18" i="35"/>
  <c r="B15" i="35"/>
  <c r="B13" i="35"/>
  <c r="B12" i="35"/>
  <c r="F2" i="35"/>
  <c r="B11" i="35"/>
  <c r="B10" i="35"/>
  <c r="C2" i="35"/>
  <c r="B8" i="35"/>
  <c r="B5" i="35"/>
  <c r="O2" i="35"/>
  <c r="B4" i="35"/>
  <c r="B2" i="35"/>
  <c r="R2" i="35"/>
  <c r="Q2" i="35"/>
  <c r="N2" i="35"/>
  <c r="L2" i="35"/>
  <c r="J2" i="35"/>
  <c r="E2" i="35"/>
  <c r="D2" i="35"/>
  <c r="B44" i="41"/>
  <c r="B43" i="41"/>
  <c r="B42" i="41"/>
  <c r="B41" i="41"/>
  <c r="B40" i="41"/>
  <c r="B39" i="41"/>
  <c r="B38" i="41"/>
  <c r="B37" i="41"/>
  <c r="B34" i="41"/>
  <c r="B33" i="41"/>
  <c r="B32" i="41"/>
  <c r="G32" i="41"/>
  <c r="B31" i="41"/>
  <c r="B30" i="41"/>
  <c r="B29" i="41"/>
  <c r="B28" i="41"/>
  <c r="B2" i="41"/>
  <c r="R2" i="41"/>
  <c r="P2" i="41"/>
  <c r="O2" i="41"/>
  <c r="N2" i="41"/>
  <c r="N37" i="41"/>
  <c r="K2" i="41"/>
  <c r="J2" i="41"/>
  <c r="F2" i="41"/>
  <c r="E2" i="41"/>
  <c r="D2" i="41"/>
  <c r="C2" i="41"/>
  <c r="B70" i="19"/>
  <c r="B51" i="19"/>
  <c r="Q2" i="19"/>
  <c r="B50" i="19"/>
  <c r="B49" i="19"/>
  <c r="O2" i="19"/>
  <c r="B47" i="19"/>
  <c r="O102" i="19"/>
  <c r="C2" i="19"/>
  <c r="B46" i="19"/>
  <c r="B45" i="19"/>
  <c r="B44" i="19"/>
  <c r="B43" i="19"/>
  <c r="B42" i="19"/>
  <c r="B41" i="19"/>
  <c r="B39" i="19"/>
  <c r="B38" i="19"/>
  <c r="G38" i="19"/>
  <c r="B36" i="19"/>
  <c r="B34" i="19"/>
  <c r="B33" i="19"/>
  <c r="B32" i="19"/>
  <c r="B31" i="19"/>
  <c r="B22" i="19"/>
  <c r="B21" i="19"/>
  <c r="B20" i="19"/>
  <c r="C28" i="19"/>
  <c r="B19" i="19"/>
  <c r="B17" i="19"/>
  <c r="B16" i="19"/>
  <c r="B15" i="19"/>
  <c r="B14" i="19"/>
  <c r="B12" i="19"/>
  <c r="B11" i="19"/>
  <c r="B10" i="19"/>
  <c r="O87" i="19"/>
  <c r="B9" i="19"/>
  <c r="N2" i="19"/>
  <c r="N85" i="19"/>
  <c r="B8" i="19"/>
  <c r="P2" i="19"/>
  <c r="B7" i="19"/>
  <c r="G7" i="19"/>
  <c r="B6" i="19"/>
  <c r="B5" i="19"/>
  <c r="B4" i="19"/>
  <c r="B2" i="19"/>
  <c r="N26" i="19"/>
  <c r="M2" i="19"/>
  <c r="L2" i="19"/>
  <c r="K2" i="19"/>
  <c r="J2" i="19"/>
  <c r="J26" i="19"/>
  <c r="B38" i="20"/>
  <c r="B30" i="20"/>
  <c r="B29" i="20"/>
  <c r="B17" i="20"/>
  <c r="Q5" i="59"/>
  <c r="Q73" i="63"/>
  <c r="B4" i="20"/>
  <c r="B2" i="20"/>
  <c r="E2" i="20"/>
  <c r="C97" i="19"/>
  <c r="U10" i="67"/>
  <c r="W76" i="19"/>
  <c r="Q33" i="37"/>
  <c r="J51" i="36"/>
  <c r="K21" i="36"/>
  <c r="V48" i="36"/>
  <c r="O49" i="36"/>
  <c r="F12" i="41"/>
  <c r="J101" i="19"/>
  <c r="O99" i="19"/>
  <c r="C25" i="19"/>
  <c r="W34" i="35"/>
  <c r="X75" i="19"/>
  <c r="X26" i="19"/>
  <c r="U26" i="19"/>
  <c r="G26" i="19"/>
  <c r="R39" i="19"/>
  <c r="R101" i="19"/>
  <c r="P10" i="67"/>
  <c r="E10" i="67"/>
  <c r="T10" i="67"/>
  <c r="Y38" i="62"/>
  <c r="Y37" i="62"/>
  <c r="V10" i="67"/>
  <c r="N25" i="65"/>
  <c r="N13" i="65"/>
  <c r="N21" i="37"/>
  <c r="N53" i="36"/>
  <c r="O35" i="35"/>
  <c r="S48" i="36"/>
  <c r="S21" i="36"/>
  <c r="R17" i="37"/>
  <c r="C104" i="19"/>
  <c r="U102" i="19"/>
  <c r="V82" i="19"/>
  <c r="V99" i="19"/>
  <c r="B30" i="37"/>
  <c r="M35" i="35"/>
  <c r="J97" i="19"/>
  <c r="T87" i="19"/>
  <c r="R51" i="36"/>
  <c r="M23" i="36"/>
  <c r="J23" i="36"/>
  <c r="D23" i="36"/>
  <c r="U23" i="36"/>
  <c r="D27" i="37"/>
  <c r="J32" i="37"/>
  <c r="Q21" i="37"/>
  <c r="E13" i="41"/>
  <c r="U51" i="36"/>
  <c r="G49" i="36"/>
  <c r="U48" i="36"/>
  <c r="C75" i="19"/>
  <c r="X37" i="41"/>
  <c r="L23" i="36"/>
  <c r="O23" i="36"/>
  <c r="K104" i="19"/>
  <c r="X104" i="19"/>
  <c r="K18" i="41"/>
  <c r="L53" i="36"/>
  <c r="L25" i="36"/>
  <c r="F31" i="37"/>
  <c r="F33" i="37"/>
  <c r="O27" i="37"/>
  <c r="M103" i="19"/>
  <c r="U103" i="19"/>
  <c r="G23" i="36"/>
  <c r="X27" i="37"/>
  <c r="J73" i="19"/>
  <c r="C34" i="35"/>
  <c r="W37" i="41"/>
  <c r="J37" i="41"/>
  <c r="J48" i="36"/>
  <c r="V21" i="37"/>
  <c r="N15" i="67"/>
  <c r="F80" i="63"/>
  <c r="M19" i="37"/>
  <c r="S74" i="63"/>
  <c r="E15" i="67"/>
  <c r="E30" i="67"/>
  <c r="M101" i="19"/>
  <c r="P37" i="41"/>
  <c r="N27" i="37"/>
  <c r="G6" i="41"/>
  <c r="Y11" i="67"/>
  <c r="Y25" i="67"/>
  <c r="F25" i="36"/>
  <c r="T79" i="63"/>
  <c r="P21" i="65"/>
  <c r="P8" i="65"/>
  <c r="D21" i="65"/>
  <c r="D8" i="65"/>
  <c r="Q21" i="36"/>
  <c r="J21" i="36"/>
  <c r="V21" i="36"/>
  <c r="W25" i="36"/>
  <c r="J33" i="37"/>
  <c r="R82" i="19"/>
  <c r="V39" i="19"/>
  <c r="M36" i="35"/>
  <c r="F7" i="41"/>
  <c r="E10" i="41"/>
  <c r="N51" i="36"/>
  <c r="E48" i="36"/>
  <c r="O21" i="36"/>
  <c r="F21" i="36"/>
  <c r="L20" i="37"/>
  <c r="E27" i="37"/>
  <c r="K75" i="19"/>
  <c r="V101" i="19"/>
  <c r="K82" i="19"/>
  <c r="M85" i="19"/>
  <c r="E85" i="19"/>
  <c r="R75" i="19"/>
  <c r="Q53" i="36"/>
  <c r="G25" i="36"/>
  <c r="L21" i="36"/>
  <c r="G31" i="37"/>
  <c r="E20" i="20"/>
  <c r="L51" i="36"/>
  <c r="O49" i="63"/>
  <c r="D33" i="58"/>
  <c r="D57" i="63"/>
  <c r="S25" i="36"/>
  <c r="R25" i="36"/>
  <c r="T33" i="37"/>
  <c r="D102" i="19"/>
  <c r="C39" i="19"/>
  <c r="W39" i="19"/>
  <c r="S101" i="19"/>
  <c r="N75" i="19"/>
  <c r="N86" i="19"/>
  <c r="W101" i="19"/>
  <c r="E31" i="41"/>
  <c r="U21" i="36"/>
  <c r="G21" i="36"/>
  <c r="N49" i="36"/>
  <c r="V27" i="37"/>
  <c r="K31" i="37"/>
  <c r="P85" i="19"/>
  <c r="K76" i="19"/>
  <c r="X39" i="19"/>
  <c r="K87" i="19"/>
  <c r="O9" i="67"/>
  <c r="R22" i="37"/>
  <c r="K17" i="37"/>
  <c r="V17" i="37"/>
  <c r="D101" i="19"/>
  <c r="K51" i="36"/>
  <c r="W21" i="36"/>
  <c r="K53" i="36"/>
  <c r="N34" i="35"/>
  <c r="R86" i="19"/>
  <c r="N101" i="19"/>
  <c r="F53" i="19"/>
  <c r="D25" i="36"/>
  <c r="Q25" i="36"/>
  <c r="N21" i="36"/>
  <c r="E17" i="37"/>
  <c r="J17" i="37"/>
  <c r="O33" i="37"/>
  <c r="C37" i="41"/>
  <c r="L27" i="37"/>
  <c r="L21" i="37"/>
  <c r="O10" i="67"/>
  <c r="R41" i="63"/>
  <c r="V44" i="63"/>
  <c r="Q44" i="63"/>
  <c r="S44" i="63"/>
  <c r="X101" i="19"/>
  <c r="K99" i="19"/>
  <c r="E30" i="41"/>
  <c r="J25" i="36"/>
  <c r="G17" i="37"/>
  <c r="D31" i="37"/>
  <c r="M37" i="41"/>
  <c r="K47" i="63"/>
  <c r="S47" i="63"/>
  <c r="L46" i="63"/>
  <c r="K46" i="63"/>
  <c r="L36" i="58"/>
  <c r="N36" i="58"/>
  <c r="K20" i="65"/>
  <c r="K7" i="65"/>
  <c r="D20" i="65"/>
  <c r="D7" i="65"/>
  <c r="F32" i="41"/>
  <c r="F10" i="41"/>
  <c r="G10" i="41"/>
  <c r="G31" i="41"/>
  <c r="K50" i="63"/>
  <c r="O47" i="63"/>
  <c r="M42" i="63"/>
  <c r="M54" i="63"/>
  <c r="O63" i="63"/>
  <c r="T11" i="76"/>
  <c r="K23" i="36"/>
  <c r="O17" i="37"/>
  <c r="L47" i="63"/>
  <c r="U49" i="63"/>
  <c r="L48" i="63"/>
  <c r="D77" i="63"/>
  <c r="O23" i="54"/>
  <c r="X74" i="63"/>
  <c r="X32" i="63"/>
  <c r="E29" i="67"/>
  <c r="M48" i="63"/>
  <c r="D63" i="63"/>
  <c r="K45" i="63"/>
  <c r="K55" i="63"/>
  <c r="L11" i="67"/>
  <c r="L25" i="67"/>
  <c r="C21" i="65"/>
  <c r="D42" i="63"/>
  <c r="N48" i="63"/>
  <c r="U48" i="63"/>
  <c r="N77" i="63"/>
  <c r="G19" i="59"/>
  <c r="P23" i="54"/>
  <c r="T41" i="63"/>
  <c r="R31" i="62"/>
  <c r="L57" i="63"/>
  <c r="D47" i="63"/>
  <c r="N62" i="63"/>
  <c r="D38" i="62"/>
  <c r="D37" i="62"/>
  <c r="F25" i="65"/>
  <c r="F13" i="65"/>
  <c r="F12" i="65"/>
  <c r="K11" i="52"/>
  <c r="P25" i="65"/>
  <c r="P13" i="65"/>
  <c r="P12" i="65"/>
  <c r="K9" i="79"/>
  <c r="C10" i="67"/>
  <c r="C25" i="65"/>
  <c r="C13" i="65"/>
  <c r="U9" i="67"/>
  <c r="E25" i="65"/>
  <c r="E13" i="65"/>
  <c r="G25" i="65"/>
  <c r="G13" i="65"/>
  <c r="W10" i="67"/>
  <c r="M25" i="65"/>
  <c r="M13" i="65"/>
  <c r="M12" i="65"/>
  <c r="G5" i="68"/>
  <c r="T5" i="68"/>
  <c r="X5" i="68"/>
  <c r="M15" i="67"/>
  <c r="Q12" i="66"/>
  <c r="V32" i="63"/>
  <c r="B32" i="63"/>
  <c r="F32" i="63"/>
  <c r="K32" i="63"/>
  <c r="E32" i="63"/>
  <c r="W32" i="63"/>
  <c r="K74" i="63"/>
  <c r="G32" i="63"/>
  <c r="G7" i="62"/>
  <c r="O19" i="65"/>
  <c r="O6" i="65"/>
  <c r="G21" i="65"/>
  <c r="N45" i="63"/>
  <c r="N55" i="63"/>
  <c r="P48" i="63"/>
  <c r="R46" i="63"/>
  <c r="M37" i="58"/>
  <c r="R44" i="63"/>
  <c r="K53" i="63"/>
  <c r="T44" i="63"/>
  <c r="T46" i="63"/>
  <c r="W46" i="63"/>
  <c r="C44" i="63"/>
  <c r="V41" i="63"/>
  <c r="M44" i="63"/>
  <c r="L44" i="63"/>
  <c r="L41" i="63"/>
  <c r="M77" i="63"/>
  <c r="K79" i="63"/>
  <c r="V77" i="63"/>
  <c r="C64" i="63"/>
  <c r="F19" i="59"/>
  <c r="V62" i="63"/>
  <c r="S63" i="63"/>
  <c r="G7" i="76"/>
  <c r="E7" i="76"/>
  <c r="F7" i="76"/>
  <c r="E8" i="76"/>
  <c r="R10" i="67"/>
  <c r="M10" i="67"/>
  <c r="O5" i="61"/>
  <c r="G38" i="62"/>
  <c r="G37" i="62"/>
  <c r="P5" i="61"/>
  <c r="Q5" i="61"/>
  <c r="E10" i="20"/>
  <c r="F10" i="20"/>
  <c r="G20" i="20"/>
  <c r="F26" i="20"/>
  <c r="G9" i="20"/>
  <c r="G13" i="59"/>
  <c r="G76" i="63"/>
  <c r="G23" i="20"/>
  <c r="G35" i="20"/>
  <c r="G21" i="20"/>
  <c r="F20" i="20"/>
  <c r="E11" i="20"/>
  <c r="F35" i="20"/>
  <c r="K25" i="36"/>
  <c r="M33" i="37"/>
  <c r="B6" i="79"/>
  <c r="B14" i="79"/>
  <c r="U33" i="37"/>
  <c r="D49" i="36"/>
  <c r="M49" i="36"/>
  <c r="G37" i="41"/>
  <c r="C7" i="78"/>
  <c r="F53" i="36"/>
  <c r="D37" i="41"/>
  <c r="L20" i="36"/>
  <c r="Q23" i="36"/>
  <c r="K49" i="36"/>
  <c r="R5" i="61"/>
  <c r="D19" i="37"/>
  <c r="E37" i="41"/>
  <c r="U27" i="37"/>
  <c r="C20" i="37"/>
  <c r="P28" i="37"/>
  <c r="R37" i="41"/>
  <c r="N18" i="41"/>
  <c r="L25" i="65"/>
  <c r="L13" i="65"/>
  <c r="L12" i="65"/>
  <c r="D10" i="67"/>
  <c r="C23" i="36"/>
  <c r="E9" i="67"/>
  <c r="O31" i="37"/>
  <c r="L7" i="67"/>
  <c r="M35" i="58"/>
  <c r="N35" i="58"/>
  <c r="L42" i="63"/>
  <c r="S32" i="63"/>
  <c r="K11" i="67"/>
  <c r="K25" i="67"/>
  <c r="Q11" i="67"/>
  <c r="Q25" i="67"/>
  <c r="L74" i="63"/>
  <c r="Q77" i="63"/>
  <c r="R11" i="67"/>
  <c r="R25" i="67"/>
  <c r="K48" i="63"/>
  <c r="X46" i="63"/>
  <c r="P46" i="63"/>
  <c r="M46" i="63"/>
  <c r="C77" i="63"/>
  <c r="U77" i="63"/>
  <c r="F21" i="65"/>
  <c r="F8" i="65"/>
  <c r="M20" i="65"/>
  <c r="M7" i="65"/>
  <c r="F20" i="65"/>
  <c r="F7" i="65"/>
  <c r="C20" i="65"/>
  <c r="C7" i="65"/>
  <c r="O32" i="63"/>
  <c r="O74" i="63"/>
  <c r="C53" i="36"/>
  <c r="V11" i="67"/>
  <c r="V25" i="67"/>
  <c r="C25" i="63"/>
  <c r="C35" i="63"/>
  <c r="T48" i="63"/>
  <c r="C47" i="63"/>
  <c r="M47" i="63"/>
  <c r="Q62" i="63"/>
  <c r="U62" i="63"/>
  <c r="Y32" i="63"/>
  <c r="S11" i="67"/>
  <c r="S25" i="67"/>
  <c r="L32" i="63"/>
  <c r="C34" i="58"/>
  <c r="S77" i="63"/>
  <c r="G11" i="67"/>
  <c r="G25" i="67"/>
  <c r="T32" i="63"/>
  <c r="P77" i="63"/>
  <c r="O44" i="63"/>
  <c r="C35" i="58"/>
  <c r="U47" i="63"/>
  <c r="Q48" i="63"/>
  <c r="O77" i="63"/>
  <c r="K63" i="63"/>
  <c r="R29" i="67"/>
  <c r="S62" i="63"/>
  <c r="E11" i="67"/>
  <c r="E25" i="67"/>
  <c r="W11" i="67"/>
  <c r="W25" i="67"/>
  <c r="N21" i="65"/>
  <c r="N8" i="65"/>
  <c r="X44" i="63"/>
  <c r="L62" i="63"/>
  <c r="E21" i="65"/>
  <c r="E8" i="65"/>
  <c r="H46" i="62"/>
  <c r="L37" i="41"/>
  <c r="M25" i="36"/>
  <c r="P20" i="37"/>
  <c r="P27" i="37"/>
  <c r="D32" i="37"/>
  <c r="Q25" i="65"/>
  <c r="Q13" i="65"/>
  <c r="Q12" i="65"/>
  <c r="S10" i="67"/>
  <c r="Q10" i="67"/>
  <c r="M102" i="19"/>
  <c r="F9" i="67"/>
  <c r="V9" i="67"/>
  <c r="B9" i="79"/>
  <c r="V31" i="37"/>
  <c r="O25" i="36"/>
  <c r="N25" i="36"/>
  <c r="U25" i="36"/>
  <c r="C25" i="36"/>
  <c r="Z86" i="19"/>
  <c r="E13" i="48"/>
  <c r="U9" i="79"/>
  <c r="U15" i="79"/>
  <c r="E7" i="41"/>
  <c r="M48" i="36"/>
  <c r="V33" i="37"/>
  <c r="G8" i="41"/>
  <c r="P12" i="61"/>
  <c r="E25" i="36"/>
  <c r="K32" i="37"/>
  <c r="S9" i="67"/>
  <c r="F9" i="41"/>
  <c r="L9" i="59"/>
  <c r="L75" i="63"/>
  <c r="C5" i="61"/>
  <c r="F33" i="41"/>
  <c r="G33" i="41"/>
  <c r="O25" i="65"/>
  <c r="O13" i="65"/>
  <c r="O12" i="65"/>
  <c r="F28" i="37"/>
  <c r="Q28" i="37"/>
  <c r="D28" i="37"/>
  <c r="F27" i="19"/>
  <c r="N42" i="63"/>
  <c r="N54" i="63"/>
  <c r="V47" i="63"/>
  <c r="S49" i="63"/>
  <c r="P49" i="63"/>
  <c r="K49" i="63"/>
  <c r="N49" i="63"/>
  <c r="Q49" i="63"/>
  <c r="D49" i="63"/>
  <c r="N20" i="37"/>
  <c r="N41" i="63"/>
  <c r="E18" i="41"/>
  <c r="E8" i="41"/>
  <c r="D45" i="63"/>
  <c r="D55" i="63"/>
  <c r="D48" i="63"/>
  <c r="L49" i="63"/>
  <c r="D66" i="63"/>
  <c r="U74" i="63"/>
  <c r="U32" i="63"/>
  <c r="C45" i="63"/>
  <c r="C55" i="63"/>
  <c r="C46" i="63"/>
  <c r="Q47" i="63"/>
  <c r="U41" i="63"/>
  <c r="D41" i="63"/>
  <c r="P41" i="63"/>
  <c r="D44" i="63"/>
  <c r="K57" i="63"/>
  <c r="C8" i="67"/>
  <c r="S41" i="63"/>
  <c r="M41" i="63"/>
  <c r="N20" i="65"/>
  <c r="N7" i="65"/>
  <c r="N19" i="65"/>
  <c r="N6" i="65"/>
  <c r="G6" i="62"/>
  <c r="T11" i="67"/>
  <c r="T25" i="67"/>
  <c r="G80" i="63"/>
  <c r="L5" i="68"/>
  <c r="E37" i="58"/>
  <c r="R47" i="63"/>
  <c r="Q41" i="63"/>
  <c r="N44" i="63"/>
  <c r="O46" i="63"/>
  <c r="C62" i="63"/>
  <c r="E22" i="59"/>
  <c r="Q20" i="65"/>
  <c r="Q7" i="65"/>
  <c r="L20" i="65"/>
  <c r="L7" i="65"/>
  <c r="Q32" i="63"/>
  <c r="Q74" i="63"/>
  <c r="P29" i="67"/>
  <c r="D37" i="58"/>
  <c r="C37" i="58"/>
  <c r="U46" i="63"/>
  <c r="W44" i="63"/>
  <c r="L56" i="63"/>
  <c r="K42" i="63"/>
  <c r="K54" i="63"/>
  <c r="P36" i="58"/>
  <c r="Q36" i="58"/>
  <c r="P20" i="65"/>
  <c r="P7" i="65"/>
  <c r="N11" i="67"/>
  <c r="N25" i="67"/>
  <c r="D11" i="67"/>
  <c r="D25" i="67"/>
  <c r="W7" i="65"/>
  <c r="K29" i="67"/>
  <c r="G20" i="65"/>
  <c r="G7" i="65"/>
  <c r="G68" i="63"/>
  <c r="E5" i="48"/>
  <c r="C10" i="66"/>
  <c r="I5" i="48"/>
  <c r="G5" i="48"/>
  <c r="D5" i="48"/>
  <c r="F8" i="76"/>
  <c r="T23" i="54"/>
  <c r="Q9" i="73"/>
  <c r="H5" i="48"/>
  <c r="X38" i="62"/>
  <c r="X37" i="62"/>
  <c r="U38" i="62"/>
  <c r="U37" i="62"/>
  <c r="T5" i="61"/>
  <c r="V5" i="61"/>
  <c r="G9" i="41"/>
  <c r="C27" i="37"/>
  <c r="E29" i="41"/>
  <c r="J37" i="52"/>
  <c r="J43" i="52"/>
  <c r="J11" i="52"/>
  <c r="J21" i="52"/>
  <c r="R25" i="65"/>
  <c r="R13" i="65"/>
  <c r="R12" i="65"/>
  <c r="K25" i="65"/>
  <c r="K13" i="65"/>
  <c r="K12" i="65"/>
  <c r="D25" i="65"/>
  <c r="D13" i="65"/>
  <c r="D12" i="65"/>
  <c r="S28" i="37"/>
  <c r="S27" i="37"/>
  <c r="T9" i="67"/>
  <c r="X10" i="67"/>
  <c r="Y10" i="67"/>
  <c r="N10" i="67"/>
  <c r="G29" i="41"/>
  <c r="F29" i="41"/>
  <c r="G5" i="41"/>
  <c r="F13" i="41"/>
  <c r="M5" i="61"/>
  <c r="G14" i="41"/>
  <c r="T62" i="63"/>
  <c r="C19" i="65"/>
  <c r="C6" i="65"/>
  <c r="O20" i="65"/>
  <c r="O7" i="65"/>
  <c r="L31" i="62"/>
  <c r="O79" i="63"/>
  <c r="M32" i="63"/>
  <c r="N25" i="63"/>
  <c r="N35" i="63"/>
  <c r="K25" i="63"/>
  <c r="K35" i="63"/>
  <c r="F19" i="65"/>
  <c r="F6" i="65"/>
  <c r="P19" i="65"/>
  <c r="P6" i="65"/>
  <c r="L19" i="65"/>
  <c r="L6" i="65"/>
  <c r="K19" i="65"/>
  <c r="K6" i="65"/>
  <c r="F10" i="62"/>
  <c r="N74" i="63"/>
  <c r="N32" i="63"/>
  <c r="M25" i="63"/>
  <c r="M35" i="63"/>
  <c r="E19" i="65"/>
  <c r="E6" i="65"/>
  <c r="E80" i="63"/>
  <c r="Q19" i="65"/>
  <c r="Q6" i="65"/>
  <c r="F11" i="67"/>
  <c r="F25" i="67"/>
  <c r="D74" i="63"/>
  <c r="X48" i="63"/>
  <c r="C48" i="63"/>
  <c r="R48" i="63"/>
  <c r="G8" i="59"/>
  <c r="E8" i="59"/>
  <c r="F8" i="59"/>
  <c r="W63" i="63"/>
  <c r="X63" i="63"/>
  <c r="F9" i="62"/>
  <c r="P44" i="63"/>
  <c r="V48" i="63"/>
  <c r="C63" i="63"/>
  <c r="Q63" i="63"/>
  <c r="L77" i="63"/>
  <c r="O62" i="63"/>
  <c r="G19" i="65"/>
  <c r="G6" i="65"/>
  <c r="L25" i="63"/>
  <c r="L35" i="63"/>
  <c r="D34" i="58"/>
  <c r="D46" i="63"/>
  <c r="M8" i="67"/>
  <c r="T77" i="63"/>
  <c r="P63" i="63"/>
  <c r="R19" i="65"/>
  <c r="R6" i="65"/>
  <c r="P32" i="63"/>
  <c r="K7" i="67"/>
  <c r="Q35" i="58"/>
  <c r="C11" i="67"/>
  <c r="C25" i="67"/>
  <c r="U11" i="67"/>
  <c r="U25" i="67"/>
  <c r="E7" i="62"/>
  <c r="O48" i="63"/>
  <c r="T63" i="63"/>
  <c r="M63" i="63"/>
  <c r="P11" i="67"/>
  <c r="P25" i="67"/>
  <c r="E20" i="65"/>
  <c r="E7" i="65"/>
  <c r="D32" i="63"/>
  <c r="M74" i="63"/>
  <c r="G10" i="62"/>
  <c r="W62" i="63"/>
  <c r="X62" i="63"/>
  <c r="M21" i="65"/>
  <c r="M8" i="65"/>
  <c r="R21" i="65"/>
  <c r="D33" i="62"/>
  <c r="X77" i="63"/>
  <c r="M11" i="67"/>
  <c r="M25" i="67"/>
  <c r="R32" i="63"/>
  <c r="G22" i="59"/>
  <c r="G31" i="62"/>
  <c r="S79" i="63"/>
  <c r="C32" i="63"/>
  <c r="H6" i="48"/>
  <c r="O12" i="66"/>
  <c r="W74" i="63"/>
  <c r="X11" i="67"/>
  <c r="X25" i="67"/>
  <c r="L5" i="48"/>
  <c r="U9" i="73"/>
  <c r="W77" i="63"/>
  <c r="G32" i="62"/>
  <c r="C66" i="63"/>
  <c r="C33" i="62"/>
  <c r="E9" i="62"/>
  <c r="F6" i="62"/>
  <c r="G9" i="62"/>
  <c r="F32" i="62"/>
  <c r="F7" i="62"/>
  <c r="E10" i="62"/>
  <c r="E32" i="62"/>
  <c r="K37" i="58"/>
  <c r="K56" i="63"/>
  <c r="P5" i="59"/>
  <c r="P73" i="63"/>
  <c r="P72" i="63"/>
  <c r="D5" i="59"/>
  <c r="D73" i="63"/>
  <c r="U82" i="19"/>
  <c r="G82" i="19"/>
  <c r="C6" i="48"/>
  <c r="G6" i="78"/>
  <c r="G5" i="78"/>
  <c r="O26" i="19"/>
  <c r="T82" i="19"/>
  <c r="O34" i="35"/>
  <c r="W17" i="37"/>
  <c r="P82" i="19"/>
  <c r="P26" i="19"/>
  <c r="S86" i="19"/>
  <c r="W82" i="19"/>
  <c r="E31" i="37"/>
  <c r="F5" i="48"/>
  <c r="N9" i="79"/>
  <c r="N15" i="79"/>
  <c r="W26" i="19"/>
  <c r="K26" i="19"/>
  <c r="R102" i="19"/>
  <c r="O36" i="35"/>
  <c r="K33" i="37"/>
  <c r="R96" i="19"/>
  <c r="S26" i="19"/>
  <c r="C88" i="19"/>
  <c r="E49" i="36"/>
  <c r="J49" i="36"/>
  <c r="L49" i="36"/>
  <c r="T21" i="36"/>
  <c r="X99" i="19"/>
  <c r="L81" i="19"/>
  <c r="D100" i="19"/>
  <c r="D21" i="36"/>
  <c r="V49" i="36"/>
  <c r="T28" i="37"/>
  <c r="K100" i="19"/>
  <c r="M34" i="35"/>
  <c r="X103" i="19"/>
  <c r="N99" i="19"/>
  <c r="J82" i="19"/>
  <c r="X82" i="19"/>
  <c r="G28" i="37"/>
  <c r="U28" i="37"/>
  <c r="N38" i="62"/>
  <c r="N37" i="62"/>
  <c r="F5" i="61"/>
  <c r="T103" i="19"/>
  <c r="D96" i="19"/>
  <c r="N81" i="19"/>
  <c r="J100" i="19"/>
  <c r="K48" i="36"/>
  <c r="G34" i="36"/>
  <c r="T86" i="19"/>
  <c r="U85" i="19"/>
  <c r="S18" i="41"/>
  <c r="F14" i="41"/>
  <c r="T49" i="36"/>
  <c r="U96" i="19"/>
  <c r="P101" i="19"/>
  <c r="U101" i="19"/>
  <c r="P49" i="36"/>
  <c r="T20" i="36"/>
  <c r="X21" i="37"/>
  <c r="V103" i="19"/>
  <c r="C103" i="19"/>
  <c r="P103" i="19"/>
  <c r="K103" i="19"/>
  <c r="X51" i="36"/>
  <c r="V46" i="63"/>
  <c r="P62" i="63"/>
  <c r="X48" i="36"/>
  <c r="X23" i="36"/>
  <c r="X96" i="19"/>
  <c r="P21" i="36"/>
  <c r="X21" i="36"/>
  <c r="C28" i="37"/>
  <c r="C18" i="41"/>
  <c r="X18" i="41"/>
  <c r="U99" i="19"/>
  <c r="R18" i="41"/>
  <c r="X25" i="36"/>
  <c r="T11" i="41"/>
  <c r="X17" i="37"/>
  <c r="C34" i="36"/>
  <c r="C33" i="36"/>
  <c r="S103" i="19"/>
  <c r="M57" i="63"/>
  <c r="F10" i="76"/>
  <c r="O11" i="67"/>
  <c r="O25" i="67"/>
  <c r="R49" i="36"/>
  <c r="O28" i="37"/>
  <c r="W28" i="37"/>
  <c r="Q86" i="19"/>
  <c r="N20" i="36"/>
  <c r="W20" i="36"/>
  <c r="T31" i="37"/>
  <c r="T99" i="19"/>
  <c r="F18" i="41"/>
  <c r="G18" i="41"/>
  <c r="W18" i="41"/>
  <c r="P18" i="41"/>
  <c r="G53" i="19"/>
  <c r="F48" i="36"/>
  <c r="Q48" i="36"/>
  <c r="M21" i="37"/>
  <c r="C32" i="37"/>
  <c r="S21" i="37"/>
  <c r="W102" i="19"/>
  <c r="J99" i="19"/>
  <c r="Q75" i="19"/>
  <c r="Q102" i="19"/>
  <c r="J87" i="19"/>
  <c r="N87" i="19"/>
  <c r="D87" i="19"/>
  <c r="O37" i="41"/>
  <c r="G30" i="41"/>
  <c r="N23" i="36"/>
  <c r="P23" i="36"/>
  <c r="W23" i="36"/>
  <c r="R23" i="36"/>
  <c r="E33" i="37"/>
  <c r="X33" i="37"/>
  <c r="R27" i="37"/>
  <c r="K27" i="37"/>
  <c r="T27" i="37"/>
  <c r="Q27" i="37"/>
  <c r="D8" i="67"/>
  <c r="N8" i="67"/>
  <c r="R34" i="36"/>
  <c r="R33" i="36"/>
  <c r="W87" i="19"/>
  <c r="L103" i="19"/>
  <c r="J39" i="19"/>
  <c r="J37" i="19"/>
  <c r="T102" i="19"/>
  <c r="O101" i="19"/>
  <c r="E32" i="41"/>
  <c r="X8" i="36"/>
  <c r="X7" i="36"/>
  <c r="X31" i="37"/>
  <c r="W103" i="19"/>
  <c r="F30" i="41"/>
  <c r="C21" i="36"/>
  <c r="E23" i="36"/>
  <c r="F6" i="41"/>
  <c r="E14" i="41"/>
  <c r="U36" i="35"/>
  <c r="J76" i="19"/>
  <c r="Q76" i="19"/>
  <c r="C49" i="36"/>
  <c r="S49" i="36"/>
  <c r="U49" i="36"/>
  <c r="Q49" i="36"/>
  <c r="N103" i="19"/>
  <c r="D33" i="35"/>
  <c r="P34" i="35"/>
  <c r="K74" i="19"/>
  <c r="D74" i="19"/>
  <c r="E33" i="41"/>
  <c r="E9" i="41"/>
  <c r="M97" i="19"/>
  <c r="D97" i="19"/>
  <c r="O51" i="36"/>
  <c r="G51" i="36"/>
  <c r="C51" i="36"/>
  <c r="C50" i="36"/>
  <c r="Q51" i="36"/>
  <c r="O20" i="36"/>
  <c r="O103" i="19"/>
  <c r="O82" i="19"/>
  <c r="L26" i="19"/>
  <c r="R26" i="19"/>
  <c r="V26" i="19"/>
  <c r="S99" i="19"/>
  <c r="T53" i="36"/>
  <c r="X53" i="36"/>
  <c r="W53" i="36"/>
  <c r="U53" i="36"/>
  <c r="P12" i="66"/>
  <c r="K77" i="63"/>
  <c r="T74" i="63"/>
  <c r="E9" i="76"/>
  <c r="P96" i="19"/>
  <c r="E9" i="79"/>
  <c r="E15" i="79"/>
  <c r="M9" i="79"/>
  <c r="M8" i="79"/>
  <c r="V102" i="19"/>
  <c r="K28" i="37"/>
  <c r="T17" i="37"/>
  <c r="D62" i="63"/>
  <c r="F13" i="76"/>
  <c r="M11" i="76"/>
  <c r="G14" i="76"/>
  <c r="N7" i="67"/>
  <c r="C7" i="67"/>
  <c r="C21" i="67"/>
  <c r="J30" i="37"/>
  <c r="K19" i="37"/>
  <c r="M51" i="36"/>
  <c r="L35" i="58"/>
  <c r="M15" i="68"/>
  <c r="M5" i="68"/>
  <c r="F31" i="41"/>
  <c r="D51" i="36"/>
  <c r="O18" i="41"/>
  <c r="R8" i="36"/>
  <c r="R7" i="36"/>
  <c r="P53" i="36"/>
  <c r="T47" i="63"/>
  <c r="N47" i="63"/>
  <c r="F116" i="19"/>
  <c r="G8" i="76"/>
  <c r="U63" i="63"/>
  <c r="C9" i="79"/>
  <c r="C15" i="79"/>
  <c r="Y5" i="68"/>
  <c r="G12" i="76"/>
  <c r="K8" i="67"/>
  <c r="C36" i="58"/>
  <c r="C5" i="48"/>
  <c r="G13" i="76"/>
  <c r="O11" i="76"/>
  <c r="S11" i="76"/>
  <c r="G10" i="76"/>
  <c r="F9" i="76"/>
  <c r="S12" i="66"/>
  <c r="C57" i="63"/>
  <c r="C51" i="63"/>
  <c r="G6" i="76"/>
  <c r="D9" i="79"/>
  <c r="D15" i="79"/>
  <c r="L9" i="79"/>
  <c r="D13" i="48"/>
  <c r="G13" i="48"/>
  <c r="K15" i="68"/>
  <c r="T49" i="63"/>
  <c r="E6" i="76"/>
  <c r="G9" i="76"/>
  <c r="V49" i="63"/>
  <c r="M49" i="63"/>
  <c r="C41" i="63"/>
  <c r="C40" i="63"/>
  <c r="Q15" i="68"/>
  <c r="Y46" i="63"/>
  <c r="S53" i="63"/>
  <c r="U34" i="36"/>
  <c r="U33" i="36"/>
  <c r="T50" i="63"/>
  <c r="S33" i="37"/>
  <c r="Q31" i="37"/>
  <c r="Y48" i="63"/>
  <c r="S10" i="79"/>
  <c r="X50" i="63"/>
  <c r="L10" i="79"/>
  <c r="Q15" i="51"/>
  <c r="X47" i="63"/>
  <c r="X15" i="51"/>
  <c r="P5" i="68"/>
  <c r="F5" i="68"/>
  <c r="O5" i="68"/>
  <c r="E21" i="68"/>
  <c r="S5" i="68"/>
  <c r="D21" i="68"/>
  <c r="K5" i="68"/>
  <c r="H21" i="68"/>
  <c r="G21" i="68"/>
  <c r="F21" i="68"/>
  <c r="D5" i="68"/>
  <c r="C5" i="68"/>
  <c r="N5" i="68"/>
  <c r="F12" i="61"/>
  <c r="F6" i="79"/>
  <c r="F14" i="79"/>
  <c r="U53" i="63"/>
  <c r="R12" i="61"/>
  <c r="R6" i="79"/>
  <c r="R5" i="79"/>
  <c r="W50" i="63"/>
  <c r="V12" i="61"/>
  <c r="V6" i="79"/>
  <c r="V14" i="79"/>
  <c r="S23" i="36"/>
  <c r="S51" i="36"/>
  <c r="T23" i="36"/>
  <c r="V23" i="36"/>
  <c r="V51" i="36"/>
  <c r="H21" i="36"/>
  <c r="Y21" i="36"/>
  <c r="H49" i="36"/>
  <c r="Y49" i="36"/>
  <c r="Y20" i="36"/>
  <c r="Y34" i="36"/>
  <c r="Y33" i="36"/>
  <c r="Y23" i="36"/>
  <c r="H23" i="36"/>
  <c r="H51" i="36"/>
  <c r="Y51" i="36"/>
  <c r="Z11" i="61"/>
  <c r="L22" i="52"/>
  <c r="Z51" i="36"/>
  <c r="O36" i="58"/>
  <c r="T12" i="65"/>
  <c r="F37" i="41"/>
  <c r="D28" i="19"/>
  <c r="J18" i="41"/>
  <c r="P99" i="19"/>
  <c r="E27" i="19"/>
  <c r="S37" i="41"/>
  <c r="E51" i="36"/>
  <c r="F49" i="36"/>
  <c r="M18" i="41"/>
  <c r="D82" i="19"/>
  <c r="R103" i="19"/>
  <c r="F51" i="36"/>
  <c r="M100" i="19"/>
  <c r="F23" i="36"/>
  <c r="W104" i="19"/>
  <c r="O86" i="19"/>
  <c r="P86" i="19"/>
  <c r="M21" i="36"/>
  <c r="N102" i="19"/>
  <c r="P87" i="19"/>
  <c r="Q87" i="19"/>
  <c r="F87" i="19"/>
  <c r="D99" i="19"/>
  <c r="D20" i="36"/>
  <c r="L104" i="19"/>
  <c r="N28" i="37"/>
  <c r="T21" i="37"/>
  <c r="O21" i="37"/>
  <c r="M104" i="19"/>
  <c r="P35" i="35"/>
  <c r="K96" i="19"/>
  <c r="K102" i="19"/>
  <c r="G11" i="20"/>
  <c r="G25" i="20"/>
  <c r="W27" i="37"/>
  <c r="C9" i="67"/>
  <c r="C6" i="79"/>
  <c r="S19" i="65"/>
  <c r="S6" i="65"/>
  <c r="S20" i="65"/>
  <c r="S7" i="65"/>
  <c r="S53" i="36"/>
  <c r="L12" i="61"/>
  <c r="S11" i="61"/>
  <c r="R11" i="61"/>
  <c r="U25" i="65"/>
  <c r="U13" i="65"/>
  <c r="U12" i="61"/>
  <c r="U20" i="65"/>
  <c r="U7" i="65"/>
  <c r="U21" i="65"/>
  <c r="U8" i="65"/>
  <c r="P102" i="19"/>
  <c r="G6" i="19"/>
  <c r="T26" i="19"/>
  <c r="S17" i="37"/>
  <c r="F14" i="76"/>
  <c r="S25" i="65"/>
  <c r="S13" i="65"/>
  <c r="S12" i="65"/>
  <c r="X20" i="65"/>
  <c r="X7" i="65"/>
  <c r="X21" i="65"/>
  <c r="X8" i="65"/>
  <c r="Q9" i="67"/>
  <c r="J25" i="52"/>
  <c r="G11" i="61"/>
  <c r="O11" i="61"/>
  <c r="R9" i="67"/>
  <c r="Y62" i="63"/>
  <c r="M11" i="61"/>
  <c r="E53" i="36"/>
  <c r="Y9" i="67"/>
  <c r="C11" i="61"/>
  <c r="N11" i="61"/>
  <c r="K21" i="52"/>
  <c r="AC11" i="61"/>
  <c r="I11" i="61"/>
  <c r="U11" i="61"/>
  <c r="P11" i="61"/>
  <c r="L11" i="61"/>
  <c r="F11" i="61"/>
  <c r="R53" i="36"/>
  <c r="E21" i="36"/>
  <c r="J28" i="37"/>
  <c r="V12" i="65"/>
  <c r="K97" i="19"/>
  <c r="C73" i="19"/>
  <c r="D25" i="19"/>
  <c r="D53" i="36"/>
  <c r="M12" i="61"/>
  <c r="Y21" i="65"/>
  <c r="Y33" i="58"/>
  <c r="X33" i="58"/>
  <c r="C100" i="19"/>
  <c r="Q9" i="59"/>
  <c r="Q75" i="63"/>
  <c r="O53" i="36"/>
  <c r="M9" i="67"/>
  <c r="N12" i="61"/>
  <c r="W12" i="61"/>
  <c r="W11" i="61"/>
  <c r="C99" i="19"/>
  <c r="O12" i="61"/>
  <c r="J22" i="52"/>
  <c r="T20" i="65"/>
  <c r="T7" i="65"/>
  <c r="R28" i="37"/>
  <c r="W9" i="67"/>
  <c r="Y11" i="61"/>
  <c r="S21" i="65"/>
  <c r="S8" i="65"/>
  <c r="T19" i="65"/>
  <c r="T6" i="65"/>
  <c r="M5" i="48"/>
  <c r="J6" i="48"/>
  <c r="Y63" i="63"/>
  <c r="I21" i="68"/>
  <c r="S34" i="58"/>
  <c r="Q34" i="58"/>
  <c r="P34" i="58"/>
  <c r="N34" i="58"/>
  <c r="O34" i="58"/>
  <c r="M34" i="58"/>
  <c r="Y13" i="59"/>
  <c r="Y76" i="63"/>
  <c r="Y34" i="58"/>
  <c r="K34" i="58"/>
  <c r="E30" i="58"/>
  <c r="O13" i="59"/>
  <c r="O76" i="63"/>
  <c r="M5" i="59"/>
  <c r="M73" i="63"/>
  <c r="G31" i="20"/>
  <c r="E24" i="20"/>
  <c r="K5" i="59"/>
  <c r="K73" i="63"/>
  <c r="U9" i="59"/>
  <c r="U75" i="63"/>
  <c r="T91" i="19"/>
  <c r="O5" i="59"/>
  <c r="O73" i="63"/>
  <c r="C9" i="59"/>
  <c r="C75" i="63"/>
  <c r="F23" i="20"/>
  <c r="O9" i="59"/>
  <c r="O75" i="63"/>
  <c r="G13" i="20"/>
  <c r="P13" i="59"/>
  <c r="P76" i="63"/>
  <c r="G18" i="20"/>
  <c r="G26" i="20"/>
  <c r="F15" i="20"/>
  <c r="X13" i="59"/>
  <c r="X76" i="63"/>
  <c r="N5" i="59"/>
  <c r="N73" i="63"/>
  <c r="P9" i="59"/>
  <c r="P75" i="63"/>
  <c r="L6" i="59"/>
  <c r="L7" i="59"/>
  <c r="C5" i="59"/>
  <c r="C73" i="63"/>
  <c r="C72" i="63"/>
  <c r="F11" i="20"/>
  <c r="M13" i="59"/>
  <c r="M76" i="63"/>
  <c r="G22" i="20"/>
  <c r="X8" i="78"/>
  <c r="E39" i="20"/>
  <c r="E26" i="20"/>
  <c r="E25" i="20"/>
  <c r="Y9" i="59"/>
  <c r="Y75" i="63"/>
  <c r="O17" i="62"/>
  <c r="T5" i="59"/>
  <c r="T73" i="63"/>
  <c r="W9" i="59"/>
  <c r="W75" i="63"/>
  <c r="M9" i="59"/>
  <c r="M75" i="63"/>
  <c r="E21" i="20"/>
  <c r="U5" i="59"/>
  <c r="U73" i="63"/>
  <c r="K9" i="59"/>
  <c r="K75" i="63"/>
  <c r="E27" i="20"/>
  <c r="K8" i="78"/>
  <c r="E35" i="20"/>
  <c r="G15" i="20"/>
  <c r="T9" i="59"/>
  <c r="T75" i="63"/>
  <c r="E6" i="20"/>
  <c r="X9" i="59"/>
  <c r="X75" i="63"/>
  <c r="F39" i="20"/>
  <c r="J91" i="19"/>
  <c r="R17" i="62"/>
  <c r="N17" i="62"/>
  <c r="F22" i="20"/>
  <c r="F21" i="20"/>
  <c r="N8" i="78"/>
  <c r="K37" i="52"/>
  <c r="K43" i="52"/>
  <c r="T8" i="78"/>
  <c r="I34" i="20"/>
  <c r="G14" i="20"/>
  <c r="F14" i="20"/>
  <c r="E14" i="20"/>
  <c r="L5" i="59"/>
  <c r="L73" i="63"/>
  <c r="E7" i="20"/>
  <c r="E9" i="59"/>
  <c r="E75" i="63"/>
  <c r="W10" i="59"/>
  <c r="W70" i="63"/>
  <c r="W13" i="59"/>
  <c r="W76" i="63"/>
  <c r="F27" i="20"/>
  <c r="K13" i="59"/>
  <c r="K76" i="63"/>
  <c r="E18" i="20"/>
  <c r="F25" i="20"/>
  <c r="D13" i="59"/>
  <c r="D76" i="63"/>
  <c r="T17" i="62"/>
  <c r="P10" i="59"/>
  <c r="P70" i="63"/>
  <c r="L8" i="78"/>
  <c r="L7" i="78"/>
  <c r="P6" i="59"/>
  <c r="P7" i="59"/>
  <c r="K91" i="19"/>
  <c r="W91" i="19"/>
  <c r="E23" i="20"/>
  <c r="Q8" i="78"/>
  <c r="F13" i="20"/>
  <c r="R8" i="78"/>
  <c r="R7" i="78"/>
  <c r="F18" i="20"/>
  <c r="D9" i="59"/>
  <c r="D75" i="63"/>
  <c r="L13" i="59"/>
  <c r="L76" i="63"/>
  <c r="G33" i="20"/>
  <c r="D17" i="62"/>
  <c r="Y5" i="59"/>
  <c r="Y73" i="63"/>
  <c r="Y72" i="63"/>
  <c r="X5" i="59"/>
  <c r="X73" i="63"/>
  <c r="F24" i="20"/>
  <c r="U13" i="78"/>
  <c r="U12" i="78"/>
  <c r="K13" i="78"/>
  <c r="K12" i="78"/>
  <c r="T13" i="78"/>
  <c r="T12" i="78"/>
  <c r="C13" i="78"/>
  <c r="C12" i="78"/>
  <c r="E13" i="78"/>
  <c r="E12" i="78"/>
  <c r="S13" i="78"/>
  <c r="S12" i="78"/>
  <c r="O13" i="78"/>
  <c r="O12" i="78"/>
  <c r="G14" i="48"/>
  <c r="L13" i="78"/>
  <c r="L12" i="78"/>
  <c r="P13" i="78"/>
  <c r="P12" i="78"/>
  <c r="Q13" i="78"/>
  <c r="Q12" i="78"/>
  <c r="G13" i="78"/>
  <c r="G12" i="78"/>
  <c r="Q101" i="19"/>
  <c r="Q99" i="19"/>
  <c r="K37" i="41"/>
  <c r="C96" i="19"/>
  <c r="C95" i="19"/>
  <c r="T96" i="19"/>
  <c r="N96" i="19"/>
  <c r="S96" i="19"/>
  <c r="Q96" i="19"/>
  <c r="J96" i="19"/>
  <c r="Q103" i="19"/>
  <c r="P25" i="36"/>
  <c r="X81" i="19"/>
  <c r="D81" i="19"/>
  <c r="P81" i="19"/>
  <c r="V81" i="19"/>
  <c r="E6" i="19"/>
  <c r="O81" i="19"/>
  <c r="J81" i="19"/>
  <c r="R81" i="19"/>
  <c r="S81" i="19"/>
  <c r="L100" i="19"/>
  <c r="L35" i="35"/>
  <c r="L74" i="19"/>
  <c r="L102" i="19"/>
  <c r="L99" i="19"/>
  <c r="Q10" i="59"/>
  <c r="Q13" i="59"/>
  <c r="Q76" i="63"/>
  <c r="U13" i="35"/>
  <c r="F18" i="35"/>
  <c r="L82" i="19"/>
  <c r="L34" i="41"/>
  <c r="L40" i="41"/>
  <c r="M41" i="41"/>
  <c r="AC9" i="36"/>
  <c r="R99" i="19"/>
  <c r="R34" i="35"/>
  <c r="J74" i="19"/>
  <c r="D18" i="41"/>
  <c r="E15" i="20"/>
  <c r="X102" i="19"/>
  <c r="N82" i="19"/>
  <c r="L101" i="19"/>
  <c r="R21" i="36"/>
  <c r="M27" i="37"/>
  <c r="J27" i="37"/>
  <c r="S102" i="19"/>
  <c r="C102" i="19"/>
  <c r="D103" i="19"/>
  <c r="N48" i="36"/>
  <c r="S13" i="59"/>
  <c r="S76" i="63"/>
  <c r="S20" i="36"/>
  <c r="S11" i="41"/>
  <c r="V9" i="59"/>
  <c r="V75" i="63"/>
  <c r="G10" i="20"/>
  <c r="W49" i="36"/>
  <c r="L36" i="35"/>
  <c r="T25" i="36"/>
  <c r="C87" i="19"/>
  <c r="S87" i="19"/>
  <c r="E10" i="19"/>
  <c r="F43" i="19"/>
  <c r="D11" i="61"/>
  <c r="D9" i="67"/>
  <c r="P20" i="36"/>
  <c r="M8" i="36"/>
  <c r="M7" i="36"/>
  <c r="C20" i="36"/>
  <c r="S5" i="59"/>
  <c r="S73" i="63"/>
  <c r="S9" i="59"/>
  <c r="S75" i="63"/>
  <c r="T13" i="59"/>
  <c r="T76" i="63"/>
  <c r="G32" i="20"/>
  <c r="G5" i="20"/>
  <c r="G5" i="59"/>
  <c r="G73" i="63"/>
  <c r="L87" i="19"/>
  <c r="V75" i="19"/>
  <c r="D104" i="19"/>
  <c r="V53" i="36"/>
  <c r="C10" i="59"/>
  <c r="C70" i="63"/>
  <c r="D88" i="19"/>
  <c r="J104" i="19"/>
  <c r="N17" i="37"/>
  <c r="F17" i="37"/>
  <c r="Y20" i="65"/>
  <c r="Y7" i="65"/>
  <c r="O6" i="48"/>
  <c r="U35" i="58"/>
  <c r="X49" i="63"/>
  <c r="D35" i="35"/>
  <c r="Q23" i="54"/>
  <c r="D26" i="18"/>
  <c r="X19" i="65"/>
  <c r="X6" i="65"/>
  <c r="S23" i="54"/>
  <c r="Z23" i="54"/>
  <c r="X9" i="67"/>
  <c r="V19" i="65"/>
  <c r="V6" i="65"/>
  <c r="U23" i="54"/>
  <c r="U35" i="35"/>
  <c r="K10" i="67"/>
  <c r="M8" i="78"/>
  <c r="W73" i="19"/>
  <c r="J16" i="35"/>
  <c r="J22" i="35"/>
  <c r="J26" i="35"/>
  <c r="J27" i="35"/>
  <c r="L45" i="63"/>
  <c r="L55" i="63"/>
  <c r="Q21" i="65"/>
  <c r="Q8" i="65"/>
  <c r="M12" i="66"/>
  <c r="I6" i="48"/>
  <c r="V11" i="61"/>
  <c r="X41" i="63"/>
  <c r="V23" i="54"/>
  <c r="Y23" i="54"/>
  <c r="R17" i="51"/>
  <c r="R15" i="51"/>
  <c r="K11" i="61"/>
  <c r="V21" i="65"/>
  <c r="V8" i="65"/>
  <c r="U19" i="65"/>
  <c r="U6" i="65"/>
  <c r="AG17" i="74"/>
  <c r="U13" i="59"/>
  <c r="U76" i="63"/>
  <c r="D8" i="78"/>
  <c r="K7" i="78"/>
  <c r="S17" i="62"/>
  <c r="E54" i="19"/>
  <c r="L96" i="19"/>
  <c r="E53" i="19"/>
  <c r="S39" i="19"/>
  <c r="S13" i="35"/>
  <c r="W48" i="36"/>
  <c r="H116" i="19"/>
  <c r="C101" i="19"/>
  <c r="F20" i="36"/>
  <c r="G58" i="19"/>
  <c r="G75" i="19"/>
  <c r="G116" i="19"/>
  <c r="F9" i="73"/>
  <c r="K9" i="67"/>
  <c r="E11" i="61"/>
  <c r="W21" i="65"/>
  <c r="W8" i="65"/>
  <c r="Y47" i="63"/>
  <c r="Z21" i="54"/>
  <c r="S34" i="35"/>
  <c r="H53" i="19"/>
  <c r="C21" i="68"/>
  <c r="J5" i="48"/>
  <c r="N5" i="48"/>
  <c r="E61" i="19"/>
  <c r="K5" i="48"/>
  <c r="G18" i="35"/>
  <c r="O6" i="59"/>
  <c r="O7" i="59"/>
  <c r="V36" i="35"/>
  <c r="M16" i="35"/>
  <c r="M22" i="35"/>
  <c r="M26" i="35"/>
  <c r="M27" i="35"/>
  <c r="P36" i="35"/>
  <c r="L97" i="19"/>
  <c r="Y49" i="63"/>
  <c r="Y44" i="63"/>
  <c r="N6" i="48"/>
  <c r="C67" i="63"/>
  <c r="X87" i="19"/>
  <c r="E13" i="20"/>
  <c r="E22" i="20"/>
  <c r="C13" i="59"/>
  <c r="C76" i="63"/>
  <c r="C71" i="63"/>
  <c r="O8" i="78"/>
  <c r="O7" i="78"/>
  <c r="P48" i="36"/>
  <c r="N13" i="35"/>
  <c r="E15" i="68"/>
  <c r="AD11" i="61"/>
  <c r="T11" i="61"/>
  <c r="AC35" i="36"/>
  <c r="C15" i="67"/>
  <c r="C30" i="67"/>
  <c r="S91" i="19"/>
  <c r="V34" i="36"/>
  <c r="V33" i="36"/>
  <c r="N39" i="19"/>
  <c r="S34" i="36"/>
  <c r="S33" i="36"/>
  <c r="W85" i="19"/>
  <c r="W11" i="41"/>
  <c r="P39" i="19"/>
  <c r="D19" i="48"/>
  <c r="W36" i="35"/>
  <c r="L11" i="76"/>
  <c r="L15" i="76"/>
  <c r="L8" i="68"/>
  <c r="M9" i="68"/>
  <c r="M20" i="68"/>
  <c r="O72" i="63"/>
  <c r="O71" i="63"/>
  <c r="N84" i="19"/>
  <c r="S74" i="19"/>
  <c r="D22" i="36"/>
  <c r="D19" i="36"/>
  <c r="T10" i="59"/>
  <c r="T70" i="63"/>
  <c r="K8" i="36"/>
  <c r="K7" i="36"/>
  <c r="Q22" i="37"/>
  <c r="L8" i="36"/>
  <c r="L7" i="36"/>
  <c r="M81" i="19"/>
  <c r="E81" i="19"/>
  <c r="V13" i="59"/>
  <c r="V76" i="63"/>
  <c r="G15" i="59"/>
  <c r="G62" i="63"/>
  <c r="M72" i="63"/>
  <c r="M71" i="63"/>
  <c r="R79" i="63"/>
  <c r="U86" i="19"/>
  <c r="G86" i="19"/>
  <c r="E12" i="65"/>
  <c r="N12" i="65"/>
  <c r="N31" i="62"/>
  <c r="N30" i="62"/>
  <c r="M38" i="62"/>
  <c r="M37" i="62"/>
  <c r="J20" i="37"/>
  <c r="O22" i="37"/>
  <c r="S25" i="19"/>
  <c r="E21" i="59"/>
  <c r="E77" i="63"/>
  <c r="J50" i="36"/>
  <c r="J47" i="36"/>
  <c r="K31" i="62"/>
  <c r="K30" i="62"/>
  <c r="E69" i="63"/>
  <c r="E74" i="63"/>
  <c r="O31" i="62"/>
  <c r="E8" i="20"/>
  <c r="E10" i="59"/>
  <c r="E70" i="63"/>
  <c r="P34" i="36"/>
  <c r="P33" i="36"/>
  <c r="C80" i="19"/>
  <c r="K67" i="63"/>
  <c r="K90" i="63"/>
  <c r="C8" i="78"/>
  <c r="R25" i="19"/>
  <c r="N25" i="19"/>
  <c r="F22" i="59"/>
  <c r="M87" i="19"/>
  <c r="E87" i="19"/>
  <c r="P76" i="19"/>
  <c r="R30" i="62"/>
  <c r="C12" i="65"/>
  <c r="J11" i="41"/>
  <c r="J15" i="41"/>
  <c r="U72" i="63"/>
  <c r="Q11" i="76"/>
  <c r="Q15" i="76"/>
  <c r="Q8" i="68"/>
  <c r="W34" i="41"/>
  <c r="W40" i="41"/>
  <c r="X41" i="41"/>
  <c r="K11" i="41"/>
  <c r="E6" i="59"/>
  <c r="E7" i="59"/>
  <c r="V36" i="58"/>
  <c r="V53" i="63"/>
  <c r="L39" i="19"/>
  <c r="L37" i="19"/>
  <c r="L85" i="19"/>
  <c r="L84" i="19"/>
  <c r="K85" i="19"/>
  <c r="K84" i="19"/>
  <c r="K39" i="19"/>
  <c r="K37" i="19"/>
  <c r="G21" i="59"/>
  <c r="G77" i="63"/>
  <c r="Y8" i="36"/>
  <c r="Y7" i="36"/>
  <c r="L72" i="63"/>
  <c r="W25" i="19"/>
  <c r="U67" i="63"/>
  <c r="F68" i="63"/>
  <c r="T25" i="19"/>
  <c r="S37" i="19"/>
  <c r="Q34" i="36"/>
  <c r="Q33" i="36"/>
  <c r="O91" i="19"/>
  <c r="C5" i="19"/>
  <c r="Q72" i="63"/>
  <c r="G9" i="19"/>
  <c r="T8" i="36"/>
  <c r="T7" i="36"/>
  <c r="W38" i="62"/>
  <c r="W37" i="62"/>
  <c r="C48" i="36"/>
  <c r="C47" i="36"/>
  <c r="C46" i="36"/>
  <c r="M56" i="63"/>
  <c r="L75" i="19"/>
  <c r="U5" i="61"/>
  <c r="S6" i="59"/>
  <c r="S7" i="59"/>
  <c r="R34" i="41"/>
  <c r="R40" i="41"/>
  <c r="T34" i="41"/>
  <c r="T40" i="41"/>
  <c r="U41" i="41"/>
  <c r="D8" i="36"/>
  <c r="W17" i="62"/>
  <c r="G48" i="36"/>
  <c r="P34" i="41"/>
  <c r="P40" i="41"/>
  <c r="Q11" i="41"/>
  <c r="F11" i="41"/>
  <c r="P17" i="62"/>
  <c r="R74" i="19"/>
  <c r="S8" i="36"/>
  <c r="S7" i="36"/>
  <c r="J25" i="19"/>
  <c r="O11" i="41"/>
  <c r="S67" i="63"/>
  <c r="C11" i="41"/>
  <c r="T15" i="41"/>
  <c r="T21" i="41"/>
  <c r="R11" i="41"/>
  <c r="X35" i="35"/>
  <c r="T31" i="62"/>
  <c r="T30" i="62"/>
  <c r="N22" i="37"/>
  <c r="T6" i="59"/>
  <c r="T7" i="59"/>
  <c r="J85" i="19"/>
  <c r="J84" i="19"/>
  <c r="R11" i="76"/>
  <c r="M34" i="36"/>
  <c r="M33" i="36"/>
  <c r="P25" i="19"/>
  <c r="X72" i="63"/>
  <c r="X71" i="63"/>
  <c r="M22" i="36"/>
  <c r="W11" i="76"/>
  <c r="W15" i="76"/>
  <c r="W8" i="36"/>
  <c r="W7" i="36"/>
  <c r="P84" i="19"/>
  <c r="J22" i="37"/>
  <c r="J33" i="35"/>
  <c r="N6" i="59"/>
  <c r="N7" i="59"/>
  <c r="F8" i="20"/>
  <c r="F17" i="62"/>
  <c r="V91" i="19"/>
  <c r="C26" i="19"/>
  <c r="K81" i="19"/>
  <c r="E36" i="20"/>
  <c r="E8" i="78"/>
  <c r="V85" i="19"/>
  <c r="E34" i="36"/>
  <c r="K10" i="59"/>
  <c r="K70" i="63"/>
  <c r="K91" i="63"/>
  <c r="F34" i="36"/>
  <c r="G33" i="36"/>
  <c r="AB11" i="36"/>
  <c r="E58" i="19"/>
  <c r="M20" i="36"/>
  <c r="K22" i="36"/>
  <c r="K19" i="36"/>
  <c r="N34" i="36"/>
  <c r="N33" i="36"/>
  <c r="O8" i="36"/>
  <c r="O7" i="36"/>
  <c r="K17" i="62"/>
  <c r="R48" i="36"/>
  <c r="J34" i="36"/>
  <c r="J33" i="36"/>
  <c r="R85" i="19"/>
  <c r="R84" i="19"/>
  <c r="K35" i="35"/>
  <c r="K6" i="59"/>
  <c r="K7" i="59"/>
  <c r="J34" i="41"/>
  <c r="J40" i="41"/>
  <c r="L67" i="63"/>
  <c r="O26" i="37"/>
  <c r="R36" i="35"/>
  <c r="J95" i="19"/>
  <c r="J108" i="19"/>
  <c r="AB116" i="19"/>
  <c r="D75" i="19"/>
  <c r="D15" i="67"/>
  <c r="D13" i="67"/>
  <c r="D28" i="67"/>
  <c r="N11" i="76"/>
  <c r="E11" i="76"/>
  <c r="E13" i="76"/>
  <c r="D39" i="19"/>
  <c r="D37" i="19"/>
  <c r="D85" i="19"/>
  <c r="D84" i="19"/>
  <c r="D111" i="19"/>
  <c r="C79" i="63"/>
  <c r="C31" i="62"/>
  <c r="C30" i="62"/>
  <c r="R10" i="59"/>
  <c r="R70" i="63"/>
  <c r="Q91" i="19"/>
  <c r="U10" i="59"/>
  <c r="U70" i="63"/>
  <c r="U17" i="62"/>
  <c r="U20" i="36"/>
  <c r="U8" i="36"/>
  <c r="U7" i="36"/>
  <c r="M15" i="76"/>
  <c r="M8" i="68"/>
  <c r="F6" i="20"/>
  <c r="F6" i="59"/>
  <c r="F7" i="59"/>
  <c r="R6" i="59"/>
  <c r="R7" i="59"/>
  <c r="G27" i="19"/>
  <c r="U25" i="19"/>
  <c r="G25" i="19"/>
  <c r="D67" i="63"/>
  <c r="D90" i="63"/>
  <c r="L17" i="62"/>
  <c r="L10" i="59"/>
  <c r="L70" i="63"/>
  <c r="K72" i="63"/>
  <c r="K71" i="63"/>
  <c r="W72" i="63"/>
  <c r="W71" i="63"/>
  <c r="P11" i="41"/>
  <c r="P15" i="41"/>
  <c r="P21" i="41"/>
  <c r="M50" i="36"/>
  <c r="M47" i="36"/>
  <c r="P71" i="63"/>
  <c r="N31" i="37"/>
  <c r="N26" i="37"/>
  <c r="F15" i="67"/>
  <c r="S32" i="37"/>
  <c r="V5" i="37"/>
  <c r="M75" i="19"/>
  <c r="D21" i="37"/>
  <c r="X5" i="61"/>
  <c r="F22" i="37"/>
  <c r="Y7" i="67"/>
  <c r="G5" i="61"/>
  <c r="M76" i="19"/>
  <c r="X7" i="67"/>
  <c r="E13" i="67"/>
  <c r="E28" i="67"/>
  <c r="W32" i="37"/>
  <c r="G20" i="37"/>
  <c r="C31" i="37"/>
  <c r="N50" i="63"/>
  <c r="M30" i="37"/>
  <c r="G47" i="19"/>
  <c r="P31" i="37"/>
  <c r="N32" i="37"/>
  <c r="N8" i="79"/>
  <c r="Q10" i="66"/>
  <c r="V22" i="37"/>
  <c r="F54" i="19"/>
  <c r="E10" i="66"/>
  <c r="Y25" i="65"/>
  <c r="Y13" i="65"/>
  <c r="N53" i="63"/>
  <c r="N52" i="63"/>
  <c r="K20" i="37"/>
  <c r="O20" i="37"/>
  <c r="Q15" i="67"/>
  <c r="Q13" i="67"/>
  <c r="Q28" i="67"/>
  <c r="K36" i="35"/>
  <c r="L31" i="37"/>
  <c r="C12" i="66"/>
  <c r="D12" i="66"/>
  <c r="O38" i="62"/>
  <c r="O37" i="62"/>
  <c r="F20" i="37"/>
  <c r="R10" i="66"/>
  <c r="M50" i="63"/>
  <c r="E56" i="63"/>
  <c r="AC11" i="35"/>
  <c r="C35" i="35"/>
  <c r="E20" i="37"/>
  <c r="K18" i="59"/>
  <c r="K65" i="63"/>
  <c r="K88" i="63"/>
  <c r="M22" i="37"/>
  <c r="D29" i="67"/>
  <c r="L76" i="19"/>
  <c r="K9" i="73"/>
  <c r="V6" i="66"/>
  <c r="V5" i="66"/>
  <c r="C38" i="62"/>
  <c r="C37" i="62"/>
  <c r="O76" i="19"/>
  <c r="W26" i="37"/>
  <c r="G102" i="19"/>
  <c r="K21" i="37"/>
  <c r="T20" i="37"/>
  <c r="M13" i="67"/>
  <c r="M28" i="67"/>
  <c r="R38" i="62"/>
  <c r="R37" i="62"/>
  <c r="Q53" i="63"/>
  <c r="Q38" i="62"/>
  <c r="Q37" i="62"/>
  <c r="C18" i="59"/>
  <c r="C14" i="59"/>
  <c r="F13" i="35"/>
  <c r="H9" i="73"/>
  <c r="K35" i="58"/>
  <c r="L37" i="58"/>
  <c r="T22" i="37"/>
  <c r="K26" i="37"/>
  <c r="X9" i="73"/>
  <c r="O53" i="63"/>
  <c r="J17" i="52"/>
  <c r="D73" i="19"/>
  <c r="D14" i="60"/>
  <c r="D19" i="60"/>
  <c r="G25" i="35"/>
  <c r="E18" i="65"/>
  <c r="E5" i="65"/>
  <c r="D50" i="36"/>
  <c r="E25" i="35"/>
  <c r="E9" i="58"/>
  <c r="E46" i="63"/>
  <c r="D26" i="37"/>
  <c r="R9" i="73"/>
  <c r="X20" i="37"/>
  <c r="F6" i="66"/>
  <c r="F5" i="66"/>
  <c r="W6" i="78"/>
  <c r="W5" i="78"/>
  <c r="X6" i="66"/>
  <c r="X5" i="66"/>
  <c r="E11" i="58"/>
  <c r="E48" i="63"/>
  <c r="V35" i="35"/>
  <c r="C74" i="19"/>
  <c r="D43" i="63"/>
  <c r="D86" i="63"/>
  <c r="J5" i="37"/>
  <c r="W13" i="78"/>
  <c r="W12" i="78"/>
  <c r="G6" i="66"/>
  <c r="G5" i="66"/>
  <c r="F21" i="58"/>
  <c r="F49" i="19"/>
  <c r="W74" i="19"/>
  <c r="J26" i="37"/>
  <c r="Q32" i="37"/>
  <c r="L32" i="37"/>
  <c r="V20" i="37"/>
  <c r="F5" i="79"/>
  <c r="C22" i="36"/>
  <c r="C19" i="36"/>
  <c r="F45" i="19"/>
  <c r="F99" i="19"/>
  <c r="L29" i="67"/>
  <c r="R35" i="35"/>
  <c r="F101" i="19"/>
  <c r="L9" i="37"/>
  <c r="E100" i="19"/>
  <c r="E62" i="19"/>
  <c r="R37" i="19"/>
  <c r="D5" i="61"/>
  <c r="P18" i="65"/>
  <c r="P5" i="65"/>
  <c r="F38" i="19"/>
  <c r="F20" i="58"/>
  <c r="E23" i="58"/>
  <c r="P75" i="19"/>
  <c r="N35" i="35"/>
  <c r="T6" i="66"/>
  <c r="T5" i="66"/>
  <c r="L53" i="63"/>
  <c r="P10" i="66"/>
  <c r="R26" i="37"/>
  <c r="K5" i="37"/>
  <c r="K13" i="35"/>
  <c r="N46" i="63"/>
  <c r="E28" i="58"/>
  <c r="T32" i="37"/>
  <c r="G12" i="58"/>
  <c r="G49" i="63"/>
  <c r="J21" i="37"/>
  <c r="Q36" i="35"/>
  <c r="N74" i="19"/>
  <c r="M9" i="73"/>
  <c r="F103" i="19"/>
  <c r="X6" i="78"/>
  <c r="X5" i="78"/>
  <c r="D16" i="35"/>
  <c r="D22" i="35"/>
  <c r="D26" i="35"/>
  <c r="D27" i="35"/>
  <c r="E68" i="19"/>
  <c r="V28" i="37"/>
  <c r="X5" i="37"/>
  <c r="C26" i="37"/>
  <c r="G6" i="58"/>
  <c r="C43" i="63"/>
  <c r="C39" i="63"/>
  <c r="C58" i="63"/>
  <c r="C18" i="65"/>
  <c r="C5" i="65"/>
  <c r="P38" i="62"/>
  <c r="P37" i="62"/>
  <c r="Q35" i="35"/>
  <c r="L19" i="37"/>
  <c r="U21" i="37"/>
  <c r="L30" i="37"/>
  <c r="C26" i="18"/>
  <c r="D20" i="37"/>
  <c r="Q6" i="61"/>
  <c r="R33" i="37"/>
  <c r="M6" i="66"/>
  <c r="M5" i="66"/>
  <c r="N6" i="78"/>
  <c r="N5" i="78"/>
  <c r="R13" i="35"/>
  <c r="V5" i="79"/>
  <c r="C12" i="61"/>
  <c r="C8" i="79"/>
  <c r="Y6" i="61"/>
  <c r="F44" i="19"/>
  <c r="F25" i="35"/>
  <c r="F64" i="19"/>
  <c r="G103" i="19"/>
  <c r="G7" i="58"/>
  <c r="G41" i="63"/>
  <c r="D8" i="79"/>
  <c r="J9" i="37"/>
  <c r="J29" i="37"/>
  <c r="K36" i="58"/>
  <c r="U76" i="19"/>
  <c r="K30" i="37"/>
  <c r="M29" i="67"/>
  <c r="U22" i="37"/>
  <c r="L33" i="58"/>
  <c r="V32" i="37"/>
  <c r="G59" i="19"/>
  <c r="X12" i="61"/>
  <c r="L17" i="58"/>
  <c r="G6" i="61"/>
  <c r="F13" i="78"/>
  <c r="F12" i="78"/>
  <c r="F6" i="78"/>
  <c r="F5" i="78"/>
  <c r="J102" i="19"/>
  <c r="E47" i="19"/>
  <c r="E60" i="19"/>
  <c r="E8" i="79"/>
  <c r="K12" i="66"/>
  <c r="E12" i="66"/>
  <c r="U75" i="19"/>
  <c r="W9" i="79"/>
  <c r="W15" i="79"/>
  <c r="M7" i="67"/>
  <c r="M33" i="58"/>
  <c r="W48" i="63"/>
  <c r="K17" i="52"/>
  <c r="Y5" i="61"/>
  <c r="K5" i="61"/>
  <c r="K38" i="62"/>
  <c r="K37" i="62"/>
  <c r="N12" i="66"/>
  <c r="W6" i="79"/>
  <c r="W14" i="79"/>
  <c r="W86" i="19"/>
  <c r="W37" i="19"/>
  <c r="M13" i="35"/>
  <c r="X33" i="35"/>
  <c r="X73" i="19"/>
  <c r="G25" i="58"/>
  <c r="K14" i="60"/>
  <c r="K19" i="60"/>
  <c r="K8" i="64"/>
  <c r="K5" i="64"/>
  <c r="N40" i="63"/>
  <c r="G33" i="37"/>
  <c r="G22" i="37"/>
  <c r="G22" i="58"/>
  <c r="X6" i="61"/>
  <c r="U6" i="79"/>
  <c r="U14" i="79"/>
  <c r="U16" i="79"/>
  <c r="E19" i="35"/>
  <c r="F5" i="37"/>
  <c r="L15" i="67"/>
  <c r="L13" i="67"/>
  <c r="L28" i="67"/>
  <c r="E6" i="61"/>
  <c r="N6" i="61"/>
  <c r="T38" i="62"/>
  <c r="T37" i="62"/>
  <c r="O32" i="37"/>
  <c r="R5" i="37"/>
  <c r="N18" i="65"/>
  <c r="N5" i="65"/>
  <c r="F11" i="58"/>
  <c r="F48" i="63"/>
  <c r="O6" i="66"/>
  <c r="O5" i="66"/>
  <c r="W6" i="66"/>
  <c r="W5" i="66"/>
  <c r="F60" i="19"/>
  <c r="U44" i="63"/>
  <c r="G8" i="58"/>
  <c r="G44" i="63"/>
  <c r="F5" i="60"/>
  <c r="W13" i="35"/>
  <c r="M26" i="37"/>
  <c r="F55" i="19"/>
  <c r="N37" i="19"/>
  <c r="F61" i="19"/>
  <c r="G61" i="19"/>
  <c r="E9" i="73"/>
  <c r="D6" i="66"/>
  <c r="D5" i="66"/>
  <c r="E24" i="58"/>
  <c r="E21" i="58"/>
  <c r="L9" i="73"/>
  <c r="L98" i="19"/>
  <c r="L109" i="19"/>
  <c r="G54" i="19"/>
  <c r="E70" i="19"/>
  <c r="S15" i="67"/>
  <c r="S30" i="67"/>
  <c r="AC116" i="19"/>
  <c r="F12" i="76"/>
  <c r="N13" i="78"/>
  <c r="N12" i="78"/>
  <c r="D26" i="19"/>
  <c r="X11" i="61"/>
  <c r="X6" i="79"/>
  <c r="X14" i="79"/>
  <c r="E67" i="19"/>
  <c r="C8" i="65"/>
  <c r="C13" i="35"/>
  <c r="W5" i="37"/>
  <c r="C6" i="61"/>
  <c r="K34" i="36"/>
  <c r="K33" i="36"/>
  <c r="K41" i="63"/>
  <c r="K40" i="63"/>
  <c r="E7" i="58"/>
  <c r="E41" i="63"/>
  <c r="E17" i="35"/>
  <c r="Q7" i="78"/>
  <c r="G60" i="19"/>
  <c r="S48" i="63"/>
  <c r="G11" i="58"/>
  <c r="G48" i="63"/>
  <c r="Q39" i="19"/>
  <c r="F39" i="19"/>
  <c r="F9" i="19"/>
  <c r="C33" i="37"/>
  <c r="C22" i="37"/>
  <c r="L5" i="61"/>
  <c r="L38" i="62"/>
  <c r="L37" i="62"/>
  <c r="M82" i="19"/>
  <c r="E82" i="19"/>
  <c r="E7" i="19"/>
  <c r="U32" i="37"/>
  <c r="E63" i="19"/>
  <c r="E10" i="58"/>
  <c r="E47" i="63"/>
  <c r="P74" i="19"/>
  <c r="Q85" i="19"/>
  <c r="Q50" i="63"/>
  <c r="M32" i="37"/>
  <c r="M9" i="37"/>
  <c r="J20" i="36"/>
  <c r="J8" i="36"/>
  <c r="J7" i="36"/>
  <c r="Y19" i="65"/>
  <c r="W35" i="35"/>
  <c r="W75" i="19"/>
  <c r="E9" i="20"/>
  <c r="E13" i="59"/>
  <c r="E76" i="63"/>
  <c r="N13" i="59"/>
  <c r="N76" i="63"/>
  <c r="Q31" i="62"/>
  <c r="Q30" i="62"/>
  <c r="Q79" i="63"/>
  <c r="E14" i="60"/>
  <c r="F24" i="58"/>
  <c r="O96" i="19"/>
  <c r="F96" i="19"/>
  <c r="K15" i="41"/>
  <c r="V38" i="62"/>
  <c r="V37" i="62"/>
  <c r="N79" i="63"/>
  <c r="D34" i="35"/>
  <c r="M74" i="19"/>
  <c r="X34" i="36"/>
  <c r="X33" i="36"/>
  <c r="V87" i="19"/>
  <c r="P5" i="79"/>
  <c r="P14" i="79"/>
  <c r="M17" i="62"/>
  <c r="M10" i="59"/>
  <c r="L91" i="19"/>
  <c r="F16" i="19"/>
  <c r="Q26" i="19"/>
  <c r="P6" i="78"/>
  <c r="P5" i="78"/>
  <c r="P13" i="35"/>
  <c r="O35" i="58"/>
  <c r="O50" i="63"/>
  <c r="F19" i="58"/>
  <c r="F35" i="58"/>
  <c r="G64" i="19"/>
  <c r="D11" i="41"/>
  <c r="U87" i="19"/>
  <c r="G87" i="19"/>
  <c r="G10" i="19"/>
  <c r="W81" i="19"/>
  <c r="S15" i="76"/>
  <c r="N8" i="36"/>
  <c r="N7" i="36"/>
  <c r="F6" i="61"/>
  <c r="F13" i="61"/>
  <c r="C6" i="78"/>
  <c r="C5" i="78"/>
  <c r="C9" i="78"/>
  <c r="L71" i="63"/>
  <c r="E26" i="58"/>
  <c r="E42" i="63"/>
  <c r="E54" i="63"/>
  <c r="M26" i="18"/>
  <c r="X26" i="18"/>
  <c r="E31" i="62"/>
  <c r="E30" i="62"/>
  <c r="E79" i="63"/>
  <c r="R35" i="58"/>
  <c r="R50" i="63"/>
  <c r="P47" i="63"/>
  <c r="F10" i="58"/>
  <c r="F47" i="63"/>
  <c r="E20" i="58"/>
  <c r="U20" i="37"/>
  <c r="U31" i="37"/>
  <c r="F5" i="20"/>
  <c r="F5" i="59"/>
  <c r="F73" i="63"/>
  <c r="R5" i="59"/>
  <c r="R73" i="63"/>
  <c r="E14" i="76"/>
  <c r="K15" i="79"/>
  <c r="K8" i="79"/>
  <c r="G10" i="58"/>
  <c r="G47" i="63"/>
  <c r="C13" i="67"/>
  <c r="C28" i="67"/>
  <c r="K22" i="37"/>
  <c r="C11" i="76"/>
  <c r="V13" i="35"/>
  <c r="V67" i="63"/>
  <c r="K50" i="36"/>
  <c r="K47" i="36"/>
  <c r="G30" i="62"/>
  <c r="D6" i="78"/>
  <c r="D5" i="78"/>
  <c r="E57" i="19"/>
  <c r="E55" i="19"/>
  <c r="V11" i="41"/>
  <c r="V15" i="41"/>
  <c r="X11" i="76"/>
  <c r="X15" i="76"/>
  <c r="J40" i="52"/>
  <c r="P6" i="66"/>
  <c r="P5" i="66"/>
  <c r="N14" i="60"/>
  <c r="N19" i="60"/>
  <c r="K20" i="52"/>
  <c r="Q6" i="66"/>
  <c r="Q5" i="66"/>
  <c r="E21" i="35"/>
  <c r="G43" i="19"/>
  <c r="G99" i="19"/>
  <c r="E18" i="35"/>
  <c r="G20" i="58"/>
  <c r="F6" i="58"/>
  <c r="M30" i="67"/>
  <c r="N10" i="66"/>
  <c r="L18" i="59"/>
  <c r="L65" i="63"/>
  <c r="G85" i="19"/>
  <c r="X18" i="65"/>
  <c r="X5" i="65"/>
  <c r="K14" i="52"/>
  <c r="W26" i="18"/>
  <c r="C33" i="35"/>
  <c r="U81" i="19"/>
  <c r="G81" i="19"/>
  <c r="G9" i="58"/>
  <c r="G46" i="63"/>
  <c r="D13" i="78"/>
  <c r="D12" i="78"/>
  <c r="E19" i="58"/>
  <c r="U39" i="19"/>
  <c r="G45" i="19"/>
  <c r="F38" i="62"/>
  <c r="F37" i="62"/>
  <c r="O15" i="41"/>
  <c r="K9" i="37"/>
  <c r="S75" i="19"/>
  <c r="S35" i="35"/>
  <c r="G8" i="65"/>
  <c r="G18" i="65"/>
  <c r="G5" i="65"/>
  <c r="O15" i="67"/>
  <c r="O30" i="67"/>
  <c r="N29" i="67"/>
  <c r="T6" i="61"/>
  <c r="K22" i="52"/>
  <c r="S5" i="37"/>
  <c r="M84" i="19"/>
  <c r="E84" i="19"/>
  <c r="G49" i="19"/>
  <c r="F102" i="19"/>
  <c r="D13" i="35"/>
  <c r="G16" i="59"/>
  <c r="G63" i="63"/>
  <c r="V63" i="63"/>
  <c r="D19" i="65"/>
  <c r="D6" i="61"/>
  <c r="L34" i="58"/>
  <c r="M5" i="37"/>
  <c r="M17" i="37"/>
  <c r="V79" i="63"/>
  <c r="V31" i="62"/>
  <c r="V30" i="62"/>
  <c r="M19" i="65"/>
  <c r="M18" i="65"/>
  <c r="M5" i="65"/>
  <c r="M6" i="61"/>
  <c r="M13" i="61"/>
  <c r="E9" i="19"/>
  <c r="M39" i="19"/>
  <c r="T101" i="19"/>
  <c r="G46" i="19"/>
  <c r="L33" i="35"/>
  <c r="L73" i="19"/>
  <c r="E19" i="48"/>
  <c r="U8" i="78"/>
  <c r="S10" i="59"/>
  <c r="T81" i="19"/>
  <c r="W31" i="37"/>
  <c r="W20" i="37"/>
  <c r="H14" i="48"/>
  <c r="X13" i="78"/>
  <c r="X12" i="78"/>
  <c r="X79" i="63"/>
  <c r="X31" i="62"/>
  <c r="X30" i="62"/>
  <c r="U17" i="37"/>
  <c r="U5" i="37"/>
  <c r="L63" i="63"/>
  <c r="W96" i="19"/>
  <c r="O41" i="63"/>
  <c r="F7" i="58"/>
  <c r="F41" i="63"/>
  <c r="G28" i="41"/>
  <c r="G34" i="41"/>
  <c r="G40" i="41"/>
  <c r="U34" i="41"/>
  <c r="U40" i="41"/>
  <c r="V41" i="41"/>
  <c r="G48" i="19"/>
  <c r="G79" i="63"/>
  <c r="D95" i="19"/>
  <c r="F22" i="58"/>
  <c r="R9" i="59"/>
  <c r="R75" i="63"/>
  <c r="F7" i="20"/>
  <c r="F9" i="59"/>
  <c r="F75" i="63"/>
  <c r="L54" i="63"/>
  <c r="L40" i="63"/>
  <c r="E38" i="62"/>
  <c r="E37" i="62"/>
  <c r="E5" i="61"/>
  <c r="F11" i="76"/>
  <c r="O6" i="79"/>
  <c r="O5" i="79"/>
  <c r="U6" i="61"/>
  <c r="F27" i="37"/>
  <c r="F26" i="37"/>
  <c r="D17" i="58"/>
  <c r="F15" i="58"/>
  <c r="O5" i="37"/>
  <c r="X20" i="36"/>
  <c r="C8" i="36"/>
  <c r="T13" i="35"/>
  <c r="W33" i="37"/>
  <c r="W22" i="37"/>
  <c r="W49" i="63"/>
  <c r="E20" i="36"/>
  <c r="E8" i="36"/>
  <c r="G34" i="20"/>
  <c r="G20" i="36"/>
  <c r="G8" i="36"/>
  <c r="K16" i="35"/>
  <c r="K22" i="35"/>
  <c r="K26" i="35"/>
  <c r="K27" i="35"/>
  <c r="R20" i="36"/>
  <c r="D98" i="19"/>
  <c r="D109" i="19"/>
  <c r="E49" i="19"/>
  <c r="M13" i="78"/>
  <c r="M12" i="78"/>
  <c r="M6" i="78"/>
  <c r="M5" i="78"/>
  <c r="W6" i="59"/>
  <c r="W7" i="59"/>
  <c r="N63" i="63"/>
  <c r="E16" i="59"/>
  <c r="E63" i="63"/>
  <c r="E68" i="63"/>
  <c r="N67" i="63"/>
  <c r="D25" i="63"/>
  <c r="D35" i="63"/>
  <c r="D18" i="59"/>
  <c r="X10" i="59"/>
  <c r="P15" i="67"/>
  <c r="P13" i="67"/>
  <c r="P28" i="67"/>
  <c r="O29" i="67"/>
  <c r="C9" i="73"/>
  <c r="Q46" i="63"/>
  <c r="F9" i="58"/>
  <c r="F46" i="63"/>
  <c r="T36" i="35"/>
  <c r="T76" i="19"/>
  <c r="X67" i="63"/>
  <c r="G63" i="19"/>
  <c r="G16" i="19"/>
  <c r="M18" i="59"/>
  <c r="M65" i="63"/>
  <c r="X11" i="41"/>
  <c r="X15" i="41"/>
  <c r="K113" i="19"/>
  <c r="E13" i="35"/>
  <c r="Q13" i="35"/>
  <c r="R6" i="66"/>
  <c r="R5" i="66"/>
  <c r="G55" i="19"/>
  <c r="O15" i="76"/>
  <c r="O8" i="68"/>
  <c r="W67" i="63"/>
  <c r="G9" i="73"/>
  <c r="F23" i="58"/>
  <c r="V25" i="19"/>
  <c r="F46" i="19"/>
  <c r="E52" i="19"/>
  <c r="C6" i="66"/>
  <c r="C5" i="66"/>
  <c r="C13" i="66"/>
  <c r="C13" i="74"/>
  <c r="L22" i="36"/>
  <c r="L19" i="36"/>
  <c r="E59" i="19"/>
  <c r="F59" i="19"/>
  <c r="F52" i="19"/>
  <c r="K11" i="76"/>
  <c r="K15" i="76"/>
  <c r="K8" i="68"/>
  <c r="X25" i="19"/>
  <c r="Y12" i="61"/>
  <c r="K25" i="52"/>
  <c r="N26" i="18"/>
  <c r="N6" i="79"/>
  <c r="N14" i="79"/>
  <c r="N16" i="79"/>
  <c r="X17" i="58"/>
  <c r="X34" i="58"/>
  <c r="Y31" i="62"/>
  <c r="Y30" i="62"/>
  <c r="Y79" i="63"/>
  <c r="T34" i="58"/>
  <c r="E97" i="19"/>
  <c r="K95" i="19"/>
  <c r="K108" i="19"/>
  <c r="E28" i="37"/>
  <c r="E26" i="37"/>
  <c r="E5" i="37"/>
  <c r="K73" i="19"/>
  <c r="K77" i="19"/>
  <c r="K6" i="36"/>
  <c r="E42" i="19"/>
  <c r="E33" i="35"/>
  <c r="K101" i="19"/>
  <c r="E46" i="19"/>
  <c r="L16" i="35"/>
  <c r="L22" i="35"/>
  <c r="L26" i="35"/>
  <c r="L27" i="35"/>
  <c r="S31" i="37"/>
  <c r="S20" i="37"/>
  <c r="R87" i="19"/>
  <c r="L5" i="37"/>
  <c r="L28" i="37"/>
  <c r="L26" i="37"/>
  <c r="E25" i="58"/>
  <c r="L12" i="66"/>
  <c r="K10" i="66"/>
  <c r="J75" i="19"/>
  <c r="J35" i="35"/>
  <c r="E9" i="37"/>
  <c r="E22" i="37"/>
  <c r="D17" i="37"/>
  <c r="D5" i="37"/>
  <c r="C14" i="60"/>
  <c r="C19" i="60"/>
  <c r="W31" i="62"/>
  <c r="W30" i="62"/>
  <c r="W79" i="63"/>
  <c r="P50" i="63"/>
  <c r="P35" i="58"/>
  <c r="N36" i="35"/>
  <c r="F62" i="19"/>
  <c r="Q70" i="63"/>
  <c r="D35" i="58"/>
  <c r="D50" i="63"/>
  <c r="C14" i="48"/>
  <c r="S6" i="78"/>
  <c r="S5" i="78"/>
  <c r="P31" i="62"/>
  <c r="P30" i="62"/>
  <c r="P79" i="63"/>
  <c r="F21" i="59"/>
  <c r="F77" i="63"/>
  <c r="R77" i="63"/>
  <c r="J103" i="19"/>
  <c r="E103" i="19"/>
  <c r="E48" i="19"/>
  <c r="C17" i="37"/>
  <c r="C5" i="37"/>
  <c r="R49" i="63"/>
  <c r="F12" i="58"/>
  <c r="F49" i="63"/>
  <c r="E19" i="59"/>
  <c r="N18" i="59"/>
  <c r="F15" i="59"/>
  <c r="F62" i="63"/>
  <c r="R62" i="63"/>
  <c r="L26" i="18"/>
  <c r="F58" i="19"/>
  <c r="F35" i="35"/>
  <c r="C33" i="58"/>
  <c r="C38" i="58"/>
  <c r="C23" i="65"/>
  <c r="C10" i="65"/>
  <c r="E104" i="19"/>
  <c r="W99" i="19"/>
  <c r="E6" i="62"/>
  <c r="X28" i="37"/>
  <c r="X26" i="37"/>
  <c r="S6" i="61"/>
  <c r="S82" i="19"/>
  <c r="P37" i="19"/>
  <c r="O10" i="59"/>
  <c r="N33" i="58"/>
  <c r="X22" i="37"/>
  <c r="T72" i="63"/>
  <c r="X6" i="59"/>
  <c r="X7" i="59"/>
  <c r="L6" i="79"/>
  <c r="F47" i="19"/>
  <c r="N91" i="19"/>
  <c r="E43" i="19"/>
  <c r="F65" i="19"/>
  <c r="E26" i="18"/>
  <c r="AB10" i="36"/>
  <c r="R13" i="59"/>
  <c r="R76" i="63"/>
  <c r="K62" i="63"/>
  <c r="P17" i="58"/>
  <c r="E12" i="58"/>
  <c r="E49" i="63"/>
  <c r="L8" i="67"/>
  <c r="E18" i="58"/>
  <c r="E8" i="67"/>
  <c r="F19" i="35"/>
  <c r="O30" i="62"/>
  <c r="J42" i="52"/>
  <c r="F25" i="58"/>
  <c r="AB53" i="19"/>
  <c r="N5" i="61"/>
  <c r="O10" i="66"/>
  <c r="K6" i="67"/>
  <c r="K5" i="67"/>
  <c r="O74" i="19"/>
  <c r="X32" i="37"/>
  <c r="H19" i="48"/>
  <c r="P53" i="63"/>
  <c r="G65" i="19"/>
  <c r="G52" i="19"/>
  <c r="D6" i="59"/>
  <c r="D7" i="59"/>
  <c r="E6" i="66"/>
  <c r="E5" i="66"/>
  <c r="G5" i="60"/>
  <c r="L11" i="41"/>
  <c r="L15" i="41"/>
  <c r="O13" i="35"/>
  <c r="J13" i="35"/>
  <c r="F8" i="58"/>
  <c r="F44" i="63"/>
  <c r="J19" i="37"/>
  <c r="T5" i="37"/>
  <c r="P6" i="61"/>
  <c r="P13" i="61"/>
  <c r="S31" i="62"/>
  <c r="S30" i="62"/>
  <c r="D56" i="63"/>
  <c r="J113" i="19"/>
  <c r="E15" i="59"/>
  <c r="E62" i="63"/>
  <c r="U26" i="37"/>
  <c r="K25" i="19"/>
  <c r="E6" i="58"/>
  <c r="K33" i="58"/>
  <c r="L79" i="63"/>
  <c r="E64" i="19"/>
  <c r="E56" i="19"/>
  <c r="G44" i="19"/>
  <c r="O25" i="19"/>
  <c r="X85" i="19"/>
  <c r="O75" i="19"/>
  <c r="C14" i="79"/>
  <c r="C16" i="79"/>
  <c r="C5" i="79"/>
  <c r="T17" i="58"/>
  <c r="M99" i="19"/>
  <c r="E99" i="19"/>
  <c r="E45" i="19"/>
  <c r="T18" i="65"/>
  <c r="T5" i="65"/>
  <c r="U26" i="18"/>
  <c r="K17" i="58"/>
  <c r="S18" i="65"/>
  <c r="S5" i="65"/>
  <c r="M6" i="59"/>
  <c r="G62" i="19"/>
  <c r="M14" i="60"/>
  <c r="M19" i="60"/>
  <c r="E14" i="48"/>
  <c r="U6" i="78"/>
  <c r="U5" i="78"/>
  <c r="M31" i="62"/>
  <c r="M30" i="62"/>
  <c r="M79" i="63"/>
  <c r="N34" i="41"/>
  <c r="N40" i="41"/>
  <c r="V11" i="76"/>
  <c r="G11" i="76"/>
  <c r="T9" i="79"/>
  <c r="K33" i="35"/>
  <c r="I9" i="73"/>
  <c r="F6" i="48"/>
  <c r="P9" i="73"/>
  <c r="J98" i="19"/>
  <c r="L6" i="48"/>
  <c r="V9" i="73"/>
  <c r="G19" i="35"/>
  <c r="J36" i="35"/>
  <c r="T67" i="63"/>
  <c r="E22" i="58"/>
  <c r="M45" i="63"/>
  <c r="M43" i="63"/>
  <c r="E27" i="58"/>
  <c r="E45" i="63"/>
  <c r="E55" i="63"/>
  <c r="M62" i="63"/>
  <c r="Y48" i="36"/>
  <c r="N43" i="63"/>
  <c r="P11" i="76"/>
  <c r="P15" i="76"/>
  <c r="P8" i="68"/>
  <c r="G21" i="58"/>
  <c r="L50" i="36"/>
  <c r="R36" i="58"/>
  <c r="R53" i="63"/>
  <c r="W47" i="63"/>
  <c r="AC10" i="36"/>
  <c r="Z21" i="36"/>
  <c r="L13" i="35"/>
  <c r="N37" i="58"/>
  <c r="N56" i="63"/>
  <c r="G24" i="58"/>
  <c r="L25" i="19"/>
  <c r="Q6" i="59"/>
  <c r="Q7" i="59"/>
  <c r="M6" i="48"/>
  <c r="W9" i="73"/>
  <c r="Y71" i="63"/>
  <c r="G5" i="76"/>
  <c r="E12" i="41"/>
  <c r="M11" i="41"/>
  <c r="G13" i="41"/>
  <c r="U11" i="41"/>
  <c r="G11" i="41"/>
  <c r="R15" i="67"/>
  <c r="Q29" i="67"/>
  <c r="D6" i="48"/>
  <c r="N9" i="73"/>
  <c r="D33" i="37"/>
  <c r="D22" i="37"/>
  <c r="L48" i="36"/>
  <c r="L34" i="36"/>
  <c r="L33" i="36"/>
  <c r="M33" i="35"/>
  <c r="M32" i="35"/>
  <c r="M73" i="19"/>
  <c r="P22" i="37"/>
  <c r="P33" i="37"/>
  <c r="X13" i="35"/>
  <c r="M26" i="19"/>
  <c r="E16" i="19"/>
  <c r="V13" i="78"/>
  <c r="V12" i="78"/>
  <c r="F14" i="48"/>
  <c r="K44" i="63"/>
  <c r="K43" i="63"/>
  <c r="K86" i="63"/>
  <c r="E8" i="58"/>
  <c r="E44" i="63"/>
  <c r="V74" i="63"/>
  <c r="G69" i="63"/>
  <c r="P17" i="37"/>
  <c r="P5" i="37"/>
  <c r="S36" i="35"/>
  <c r="S76" i="19"/>
  <c r="G27" i="37"/>
  <c r="G26" i="37"/>
  <c r="G5" i="37"/>
  <c r="H48" i="36"/>
  <c r="H34" i="36"/>
  <c r="H33" i="36"/>
  <c r="K34" i="35"/>
  <c r="X74" i="19"/>
  <c r="X34" i="35"/>
  <c r="U79" i="63"/>
  <c r="U31" i="62"/>
  <c r="U30" i="62"/>
  <c r="S8" i="78"/>
  <c r="T7" i="78"/>
  <c r="C19" i="48"/>
  <c r="E19" i="37"/>
  <c r="E30" i="37"/>
  <c r="C21" i="37"/>
  <c r="C9" i="37"/>
  <c r="AC53" i="19"/>
  <c r="L50" i="63"/>
  <c r="Q6" i="78"/>
  <c r="Q5" i="78"/>
  <c r="D14" i="48"/>
  <c r="T6" i="78"/>
  <c r="T5" i="78"/>
  <c r="R13" i="78"/>
  <c r="R12" i="78"/>
  <c r="R6" i="78"/>
  <c r="R5" i="78"/>
  <c r="N10" i="59"/>
  <c r="M91" i="19"/>
  <c r="D31" i="62"/>
  <c r="D30" i="62"/>
  <c r="D79" i="63"/>
  <c r="X36" i="35"/>
  <c r="X76" i="19"/>
  <c r="O39" i="19"/>
  <c r="O37" i="19"/>
  <c r="O85" i="19"/>
  <c r="O84" i="19"/>
  <c r="G15" i="58"/>
  <c r="N17" i="58"/>
  <c r="W15" i="41"/>
  <c r="P91" i="19"/>
  <c r="Q17" i="62"/>
  <c r="J20" i="52"/>
  <c r="F12" i="66"/>
  <c r="M36" i="58"/>
  <c r="M53" i="63"/>
  <c r="P21" i="37"/>
  <c r="P32" i="37"/>
  <c r="N11" i="41"/>
  <c r="N15" i="41"/>
  <c r="Z20" i="36"/>
  <c r="S6" i="66"/>
  <c r="S5" i="66"/>
  <c r="D76" i="19"/>
  <c r="D36" i="35"/>
  <c r="Q82" i="19"/>
  <c r="F82" i="19"/>
  <c r="F7" i="19"/>
  <c r="K21" i="65"/>
  <c r="K6" i="61"/>
  <c r="E6" i="48"/>
  <c r="O9" i="73"/>
  <c r="S85" i="19"/>
  <c r="S84" i="19"/>
  <c r="L95" i="19"/>
  <c r="Y9" i="73"/>
  <c r="L30" i="62"/>
  <c r="Y6" i="66"/>
  <c r="Y5" i="66"/>
  <c r="L14" i="60"/>
  <c r="L19" i="60"/>
  <c r="V6" i="78"/>
  <c r="V5" i="78"/>
  <c r="U6" i="59"/>
  <c r="U7" i="59"/>
  <c r="N6" i="66"/>
  <c r="N5" i="66"/>
  <c r="F63" i="19"/>
  <c r="D11" i="76"/>
  <c r="Q26" i="37"/>
  <c r="M40" i="63"/>
  <c r="X9" i="79"/>
  <c r="H13" i="48"/>
  <c r="S17" i="58"/>
  <c r="T9" i="73"/>
  <c r="E14" i="58"/>
  <c r="Q17" i="58"/>
  <c r="E15" i="58"/>
  <c r="M96" i="19"/>
  <c r="E44" i="19"/>
  <c r="M6" i="79"/>
  <c r="Y11" i="76"/>
  <c r="Y15" i="76"/>
  <c r="K40" i="52"/>
  <c r="F10" i="19"/>
  <c r="Y6" i="79"/>
  <c r="O21" i="65"/>
  <c r="O6" i="61"/>
  <c r="O13" i="61"/>
  <c r="E50" i="19"/>
  <c r="N72" i="63"/>
  <c r="AB11" i="35"/>
  <c r="R20" i="65"/>
  <c r="R7" i="65"/>
  <c r="R6" i="61"/>
  <c r="R13" i="61"/>
  <c r="S38" i="62"/>
  <c r="S37" i="62"/>
  <c r="S5" i="61"/>
  <c r="AC37" i="36"/>
  <c r="F48" i="19"/>
  <c r="Q8" i="36"/>
  <c r="Q7" i="36"/>
  <c r="Q20" i="36"/>
  <c r="D10" i="59"/>
  <c r="D91" i="19"/>
  <c r="N76" i="19"/>
  <c r="L21" i="65"/>
  <c r="L6" i="61"/>
  <c r="R31" i="37"/>
  <c r="R20" i="37"/>
  <c r="Y17" i="58"/>
  <c r="O34" i="41"/>
  <c r="O40" i="41"/>
  <c r="P41" i="41"/>
  <c r="F16" i="59"/>
  <c r="R63" i="63"/>
  <c r="Q67" i="63"/>
  <c r="L33" i="37"/>
  <c r="L22" i="37"/>
  <c r="D53" i="63"/>
  <c r="D36" i="58"/>
  <c r="D48" i="36"/>
  <c r="D34" i="36"/>
  <c r="E5" i="58"/>
  <c r="Y17" i="62"/>
  <c r="Q6" i="48"/>
  <c r="K6" i="78"/>
  <c r="K5" i="78"/>
  <c r="J9" i="73"/>
  <c r="W33" i="35"/>
  <c r="S26" i="37"/>
  <c r="D7" i="67"/>
  <c r="E65" i="19"/>
  <c r="L6" i="66"/>
  <c r="L5" i="66"/>
  <c r="T26" i="37"/>
  <c r="S72" i="63"/>
  <c r="P7" i="78"/>
  <c r="J22" i="36"/>
  <c r="R6" i="48"/>
  <c r="Y8" i="65"/>
  <c r="M17" i="58"/>
  <c r="Y6" i="59"/>
  <c r="Y7" i="59"/>
  <c r="F18" i="65"/>
  <c r="F5" i="65"/>
  <c r="G96" i="19"/>
  <c r="R8" i="65"/>
  <c r="P26" i="37"/>
  <c r="F86" i="19"/>
  <c r="O17" i="58"/>
  <c r="N30" i="67"/>
  <c r="N13" i="67"/>
  <c r="N28" i="67"/>
  <c r="AB51" i="36"/>
  <c r="AC51" i="36"/>
  <c r="C98" i="19"/>
  <c r="C94" i="19"/>
  <c r="L15" i="79"/>
  <c r="L8" i="79"/>
  <c r="D72" i="63"/>
  <c r="E13" i="58"/>
  <c r="E57" i="63"/>
  <c r="N57" i="63"/>
  <c r="E6" i="78"/>
  <c r="E5" i="78"/>
  <c r="T26" i="18"/>
  <c r="M31" i="37"/>
  <c r="M20" i="37"/>
  <c r="M15" i="79"/>
  <c r="C16" i="35"/>
  <c r="C22" i="35"/>
  <c r="C26" i="35"/>
  <c r="C27" i="35"/>
  <c r="U11" i="76"/>
  <c r="U15" i="76"/>
  <c r="D30" i="37"/>
  <c r="D9" i="37"/>
  <c r="K52" i="63"/>
  <c r="K51" i="63"/>
  <c r="R14" i="79"/>
  <c r="C36" i="35"/>
  <c r="C76" i="19"/>
  <c r="E5" i="60"/>
  <c r="U6" i="66"/>
  <c r="U5" i="66"/>
  <c r="J14" i="52"/>
  <c r="D9" i="73"/>
  <c r="L43" i="63"/>
  <c r="Y67" i="63"/>
  <c r="AC36" i="36"/>
  <c r="AB36" i="36"/>
  <c r="Z49" i="36"/>
  <c r="AB9" i="36"/>
  <c r="Z8" i="36"/>
  <c r="Z48" i="36"/>
  <c r="Z34" i="36"/>
  <c r="AB35" i="36"/>
  <c r="H20" i="36"/>
  <c r="H8" i="36"/>
  <c r="AB37" i="36"/>
  <c r="AC11" i="36"/>
  <c r="Z23" i="36"/>
  <c r="O6" i="78"/>
  <c r="O5" i="78"/>
  <c r="Q18" i="65"/>
  <c r="D54" i="63"/>
  <c r="D40" i="63"/>
  <c r="K98" i="19"/>
  <c r="C19" i="37"/>
  <c r="C30" i="37"/>
  <c r="L6" i="78"/>
  <c r="L5" i="78"/>
  <c r="D10" i="66"/>
  <c r="K6" i="66"/>
  <c r="K5" i="66"/>
  <c r="E32" i="37"/>
  <c r="E21" i="37"/>
  <c r="K34" i="41"/>
  <c r="K40" i="41"/>
  <c r="Q5" i="37"/>
  <c r="Q17" i="37"/>
  <c r="X34" i="41"/>
  <c r="X40" i="41"/>
  <c r="V34" i="41"/>
  <c r="AB7" i="73"/>
  <c r="AA7" i="73"/>
  <c r="AB8" i="73"/>
  <c r="AA8" i="73"/>
  <c r="AA5" i="73"/>
  <c r="AB5" i="73"/>
  <c r="O5" i="48"/>
  <c r="AB10" i="73"/>
  <c r="AA10" i="73"/>
  <c r="AA6" i="73"/>
  <c r="AB6" i="73"/>
  <c r="E51" i="19"/>
  <c r="L10" i="66"/>
  <c r="V76" i="19"/>
  <c r="J34" i="35"/>
  <c r="R15" i="41"/>
  <c r="V8" i="36"/>
  <c r="V7" i="36"/>
  <c r="N5" i="37"/>
  <c r="M10" i="66"/>
  <c r="P8" i="36"/>
  <c r="P7" i="36"/>
  <c r="L13" i="66"/>
  <c r="L13" i="74"/>
  <c r="V20" i="36"/>
  <c r="J77" i="19"/>
  <c r="J6" i="36"/>
  <c r="D7" i="78"/>
  <c r="U84" i="19"/>
  <c r="G84" i="19"/>
  <c r="L34" i="35"/>
  <c r="T113" i="19"/>
  <c r="U50" i="63"/>
  <c r="U91" i="63"/>
  <c r="W84" i="19"/>
  <c r="E66" i="19"/>
  <c r="U18" i="65"/>
  <c r="U5" i="65"/>
  <c r="E7" i="78"/>
  <c r="S9" i="73"/>
  <c r="D71" i="63"/>
  <c r="F36" i="20"/>
  <c r="F8" i="78"/>
  <c r="C11" i="59"/>
  <c r="C15" i="62"/>
  <c r="N9" i="59"/>
  <c r="N75" i="63"/>
  <c r="G7" i="20"/>
  <c r="G9" i="59"/>
  <c r="G75" i="63"/>
  <c r="N7" i="78"/>
  <c r="K15" i="78"/>
  <c r="X17" i="62"/>
  <c r="F91" i="19"/>
  <c r="S15" i="78"/>
  <c r="T15" i="78"/>
  <c r="T14" i="78"/>
  <c r="T16" i="78"/>
  <c r="D31" i="48"/>
  <c r="N15" i="78"/>
  <c r="E5" i="20"/>
  <c r="E5" i="59"/>
  <c r="E73" i="63"/>
  <c r="E72" i="63"/>
  <c r="E71" i="63"/>
  <c r="P15" i="78"/>
  <c r="M7" i="78"/>
  <c r="M9" i="78"/>
  <c r="V15" i="78"/>
  <c r="R91" i="19"/>
  <c r="S71" i="63"/>
  <c r="C91" i="19"/>
  <c r="Y10" i="59"/>
  <c r="Y70" i="63"/>
  <c r="X91" i="19"/>
  <c r="X113" i="19"/>
  <c r="T71" i="63"/>
  <c r="Q71" i="63"/>
  <c r="C17" i="62"/>
  <c r="V5" i="59"/>
  <c r="V73" i="63"/>
  <c r="V72" i="63"/>
  <c r="V71" i="63"/>
  <c r="R15" i="78"/>
  <c r="Q15" i="78"/>
  <c r="R14" i="78"/>
  <c r="R16" i="78"/>
  <c r="R18" i="74"/>
  <c r="Y15" i="78"/>
  <c r="X15" i="78"/>
  <c r="O15" i="78"/>
  <c r="E15" i="78"/>
  <c r="Y6" i="78"/>
  <c r="Y5" i="78"/>
  <c r="C15" i="78"/>
  <c r="C14" i="78"/>
  <c r="C16" i="78"/>
  <c r="C18" i="74"/>
  <c r="D15" i="78"/>
  <c r="M15" i="78"/>
  <c r="U15" i="78"/>
  <c r="W15" i="78"/>
  <c r="F15" i="78"/>
  <c r="U71" i="63"/>
  <c r="F6" i="19"/>
  <c r="Q81" i="19"/>
  <c r="F81" i="19"/>
  <c r="F8" i="36"/>
  <c r="G7" i="36"/>
  <c r="S35" i="58"/>
  <c r="S50" i="63"/>
  <c r="S6" i="79"/>
  <c r="S12" i="61"/>
  <c r="S13" i="61"/>
  <c r="D12" i="61"/>
  <c r="D13" i="61"/>
  <c r="D6" i="79"/>
  <c r="T48" i="36"/>
  <c r="T34" i="36"/>
  <c r="T33" i="36"/>
  <c r="R21" i="37"/>
  <c r="R32" i="37"/>
  <c r="Y36" i="58"/>
  <c r="Y53" i="63"/>
  <c r="W36" i="58"/>
  <c r="W53" i="63"/>
  <c r="T12" i="61"/>
  <c r="T13" i="61"/>
  <c r="T6" i="79"/>
  <c r="O48" i="36"/>
  <c r="O34" i="36"/>
  <c r="O33" i="36"/>
  <c r="W34" i="36"/>
  <c r="W33" i="36"/>
  <c r="Q12" i="61"/>
  <c r="Q13" i="61"/>
  <c r="Q6" i="79"/>
  <c r="X36" i="58"/>
  <c r="X53" i="63"/>
  <c r="Y13" i="78"/>
  <c r="Y12" i="78"/>
  <c r="I14" i="48"/>
  <c r="T39" i="19"/>
  <c r="T37" i="19"/>
  <c r="T85" i="19"/>
  <c r="T84" i="19"/>
  <c r="AB11" i="61"/>
  <c r="N22" i="52"/>
  <c r="T22" i="52"/>
  <c r="G12" i="61"/>
  <c r="G13" i="61"/>
  <c r="G6" i="79"/>
  <c r="G14" i="79"/>
  <c r="AA11" i="61"/>
  <c r="M22" i="52"/>
  <c r="Y35" i="58"/>
  <c r="Y50" i="63"/>
  <c r="T75" i="19"/>
  <c r="T35" i="35"/>
  <c r="W19" i="65"/>
  <c r="W6" i="61"/>
  <c r="W13" i="61"/>
  <c r="E6" i="79"/>
  <c r="E12" i="61"/>
  <c r="V20" i="65"/>
  <c r="V6" i="61"/>
  <c r="V13" i="61"/>
  <c r="T36" i="58"/>
  <c r="T53" i="63"/>
  <c r="G23" i="58"/>
  <c r="K26" i="18"/>
  <c r="K6" i="79"/>
  <c r="K12" i="61"/>
  <c r="V35" i="58"/>
  <c r="G19" i="58"/>
  <c r="V50" i="63"/>
  <c r="F10" i="59"/>
  <c r="F70" i="63"/>
  <c r="D9" i="78"/>
  <c r="Q37" i="19"/>
  <c r="X90" i="63"/>
  <c r="F33" i="36"/>
  <c r="K111" i="19"/>
  <c r="E67" i="63"/>
  <c r="E90" i="63"/>
  <c r="L32" i="35"/>
  <c r="L90" i="63"/>
  <c r="L19" i="68"/>
  <c r="E91" i="19"/>
  <c r="E113" i="19"/>
  <c r="S41" i="41"/>
  <c r="U15" i="41"/>
  <c r="G15" i="41"/>
  <c r="E17" i="62"/>
  <c r="N113" i="19"/>
  <c r="N9" i="78"/>
  <c r="C13" i="61"/>
  <c r="V90" i="63"/>
  <c r="F31" i="62"/>
  <c r="F30" i="62"/>
  <c r="F79" i="63"/>
  <c r="J41" i="52"/>
  <c r="L111" i="19"/>
  <c r="E16" i="35"/>
  <c r="E22" i="35"/>
  <c r="E26" i="35"/>
  <c r="E27" i="35"/>
  <c r="G13" i="35"/>
  <c r="U13" i="61"/>
  <c r="F37" i="19"/>
  <c r="W16" i="79"/>
  <c r="J34" i="37"/>
  <c r="X13" i="61"/>
  <c r="Q13" i="66"/>
  <c r="Q13" i="74"/>
  <c r="L88" i="63"/>
  <c r="K14" i="37"/>
  <c r="L77" i="19"/>
  <c r="L6" i="36"/>
  <c r="L52" i="63"/>
  <c r="L51" i="63"/>
  <c r="L92" i="63"/>
  <c r="Y13" i="61"/>
  <c r="L14" i="37"/>
  <c r="W77" i="19"/>
  <c r="W6" i="36"/>
  <c r="W31" i="36"/>
  <c r="E40" i="63"/>
  <c r="E36" i="58"/>
  <c r="E53" i="63"/>
  <c r="E52" i="63"/>
  <c r="E51" i="63"/>
  <c r="J111" i="19"/>
  <c r="E102" i="19"/>
  <c r="E111" i="19"/>
  <c r="O113" i="19"/>
  <c r="N13" i="61"/>
  <c r="O13" i="66"/>
  <c r="O13" i="74"/>
  <c r="F14" i="78"/>
  <c r="F16" i="78"/>
  <c r="F18" i="74"/>
  <c r="K38" i="58"/>
  <c r="C11" i="79"/>
  <c r="U90" i="63"/>
  <c r="N85" i="63"/>
  <c r="N39" i="63"/>
  <c r="M77" i="19"/>
  <c r="M6" i="36"/>
  <c r="Q9" i="78"/>
  <c r="P113" i="19"/>
  <c r="M38" i="58"/>
  <c r="D77" i="19"/>
  <c r="D6" i="36"/>
  <c r="D32" i="35"/>
  <c r="K13" i="61"/>
  <c r="L108" i="19"/>
  <c r="AA9" i="73"/>
  <c r="N71" i="63"/>
  <c r="L13" i="61"/>
  <c r="D38" i="58"/>
  <c r="K9" i="78"/>
  <c r="W32" i="35"/>
  <c r="P9" i="78"/>
  <c r="J19" i="36"/>
  <c r="E9" i="78"/>
  <c r="D14" i="37"/>
  <c r="C32" i="35"/>
  <c r="C77" i="19"/>
  <c r="C6" i="36"/>
  <c r="E19" i="60"/>
  <c r="L86" i="63"/>
  <c r="H7" i="36"/>
  <c r="O9" i="78"/>
  <c r="L9" i="78"/>
  <c r="D13" i="66"/>
  <c r="D13" i="74"/>
  <c r="C15" i="19"/>
  <c r="C17" i="19"/>
  <c r="C12" i="19"/>
  <c r="Q41" i="41"/>
  <c r="P39" i="41"/>
  <c r="P42" i="41"/>
  <c r="W113" i="19"/>
  <c r="E75" i="19"/>
  <c r="E35" i="35"/>
  <c r="K41" i="41"/>
  <c r="K39" i="41"/>
  <c r="K42" i="41"/>
  <c r="G18" i="48"/>
  <c r="W8" i="68"/>
  <c r="N9" i="68"/>
  <c r="N20" i="68"/>
  <c r="M19" i="68"/>
  <c r="M18" i="68"/>
  <c r="M7" i="68"/>
  <c r="M10" i="68"/>
  <c r="J21" i="41"/>
  <c r="K22" i="41"/>
  <c r="Q19" i="68"/>
  <c r="R9" i="68"/>
  <c r="R20" i="68"/>
  <c r="L18" i="37"/>
  <c r="L23" i="37"/>
  <c r="L29" i="37"/>
  <c r="L34" i="37"/>
  <c r="E36" i="35"/>
  <c r="E76" i="19"/>
  <c r="J30" i="35"/>
  <c r="J37" i="35"/>
  <c r="F85" i="19"/>
  <c r="Q84" i="19"/>
  <c r="Y6" i="65"/>
  <c r="Y18" i="65"/>
  <c r="Y5" i="65"/>
  <c r="L113" i="19"/>
  <c r="M113" i="19"/>
  <c r="C18" i="48"/>
  <c r="S8" i="68"/>
  <c r="E50" i="63"/>
  <c r="E35" i="58"/>
  <c r="M111" i="19"/>
  <c r="N111" i="19"/>
  <c r="R113" i="19"/>
  <c r="S113" i="19"/>
  <c r="H41" i="41"/>
  <c r="D108" i="19"/>
  <c r="D94" i="19"/>
  <c r="E7" i="36"/>
  <c r="F7" i="36"/>
  <c r="K37" i="35"/>
  <c r="K30" i="35"/>
  <c r="K19" i="68"/>
  <c r="L9" i="68"/>
  <c r="L30" i="35"/>
  <c r="L37" i="35"/>
  <c r="AB21" i="36"/>
  <c r="AC21" i="36"/>
  <c r="AB20" i="36"/>
  <c r="AC20" i="36"/>
  <c r="W90" i="63"/>
  <c r="M19" i="36"/>
  <c r="M18" i="36"/>
  <c r="L30" i="67"/>
  <c r="L85" i="63"/>
  <c r="R13" i="66"/>
  <c r="R13" i="74"/>
  <c r="D30" i="67"/>
  <c r="K15" i="67"/>
  <c r="Q30" i="67"/>
  <c r="D47" i="36"/>
  <c r="P30" i="67"/>
  <c r="K46" i="36"/>
  <c r="E13" i="66"/>
  <c r="E13" i="74"/>
  <c r="P13" i="66"/>
  <c r="P13" i="74"/>
  <c r="C65" i="63"/>
  <c r="C61" i="63"/>
  <c r="C78" i="63"/>
  <c r="C81" i="63"/>
  <c r="T90" i="63"/>
  <c r="U22" i="41"/>
  <c r="Q22" i="41"/>
  <c r="Y8" i="68"/>
  <c r="Z9" i="68"/>
  <c r="Z20" i="68"/>
  <c r="I18" i="48"/>
  <c r="F75" i="19"/>
  <c r="J18" i="37"/>
  <c r="J23" i="37"/>
  <c r="C14" i="37"/>
  <c r="K13" i="66"/>
  <c r="K13" i="74"/>
  <c r="N13" i="66"/>
  <c r="N13" i="74"/>
  <c r="F30" i="67"/>
  <c r="L18" i="36"/>
  <c r="X8" i="68"/>
  <c r="Y9" i="68"/>
  <c r="H18" i="48"/>
  <c r="N5" i="79"/>
  <c r="N11" i="79"/>
  <c r="U39" i="41"/>
  <c r="G35" i="35"/>
  <c r="R91" i="63"/>
  <c r="K29" i="37"/>
  <c r="K34" i="37"/>
  <c r="L38" i="58"/>
  <c r="M6" i="65"/>
  <c r="E73" i="19"/>
  <c r="K18" i="37"/>
  <c r="K23" i="37"/>
  <c r="C18" i="36"/>
  <c r="D18" i="36"/>
  <c r="F50" i="63"/>
  <c r="V26" i="37"/>
  <c r="N38" i="58"/>
  <c r="N6" i="63"/>
  <c r="N51" i="63"/>
  <c r="D24" i="65"/>
  <c r="D11" i="65"/>
  <c r="D8" i="64"/>
  <c r="D5" i="64"/>
  <c r="J14" i="37"/>
  <c r="AB9" i="73"/>
  <c r="D52" i="63"/>
  <c r="D51" i="63"/>
  <c r="D92" i="63"/>
  <c r="J94" i="19"/>
  <c r="J32" i="35"/>
  <c r="M55" i="63"/>
  <c r="M52" i="63"/>
  <c r="M51" i="63"/>
  <c r="M92" i="63"/>
  <c r="M13" i="66"/>
  <c r="M13" i="74"/>
  <c r="M86" i="63"/>
  <c r="M39" i="63"/>
  <c r="N86" i="63"/>
  <c r="E13" i="61"/>
  <c r="R18" i="65"/>
  <c r="R5" i="65"/>
  <c r="M98" i="19"/>
  <c r="M14" i="37"/>
  <c r="O14" i="79"/>
  <c r="K24" i="65"/>
  <c r="K11" i="65"/>
  <c r="M88" i="63"/>
  <c r="X32" i="35"/>
  <c r="V21" i="41"/>
  <c r="W22" i="41"/>
  <c r="L91" i="63"/>
  <c r="E43" i="63"/>
  <c r="E86" i="63"/>
  <c r="N8" i="64"/>
  <c r="N5" i="64"/>
  <c r="N24" i="65"/>
  <c r="N11" i="65"/>
  <c r="M70" i="63"/>
  <c r="M91" i="63"/>
  <c r="K21" i="41"/>
  <c r="L22" i="41"/>
  <c r="M29" i="37"/>
  <c r="M34" i="37"/>
  <c r="M18" i="37"/>
  <c r="M23" i="37"/>
  <c r="F26" i="19"/>
  <c r="Q25" i="19"/>
  <c r="F25" i="19"/>
  <c r="O13" i="67"/>
  <c r="O28" i="67"/>
  <c r="X70" i="63"/>
  <c r="X91" i="63"/>
  <c r="C7" i="36"/>
  <c r="D7" i="36"/>
  <c r="S70" i="63"/>
  <c r="D6" i="65"/>
  <c r="D18" i="65"/>
  <c r="D5" i="65"/>
  <c r="Q113" i="19"/>
  <c r="M85" i="63"/>
  <c r="R9" i="78"/>
  <c r="L47" i="36"/>
  <c r="M46" i="36"/>
  <c r="G101" i="19"/>
  <c r="O21" i="41"/>
  <c r="P22" i="41"/>
  <c r="P20" i="41"/>
  <c r="P23" i="41"/>
  <c r="G39" i="19"/>
  <c r="G37" i="19"/>
  <c r="U37" i="19"/>
  <c r="X21" i="41"/>
  <c r="Y22" i="41"/>
  <c r="D65" i="63"/>
  <c r="U7" i="78"/>
  <c r="U9" i="78"/>
  <c r="M37" i="19"/>
  <c r="E39" i="19"/>
  <c r="E37" i="19"/>
  <c r="F36" i="58"/>
  <c r="F53" i="63"/>
  <c r="O19" i="68"/>
  <c r="P9" i="68"/>
  <c r="P20" i="68"/>
  <c r="X77" i="19"/>
  <c r="X6" i="36"/>
  <c r="X17" i="36"/>
  <c r="K85" i="63"/>
  <c r="S7" i="78"/>
  <c r="S9" i="78"/>
  <c r="R21" i="41"/>
  <c r="S22" i="41"/>
  <c r="T9" i="78"/>
  <c r="M22" i="41"/>
  <c r="L21" i="41"/>
  <c r="N65" i="63"/>
  <c r="V15" i="76"/>
  <c r="E14" i="37"/>
  <c r="F76" i="19"/>
  <c r="F36" i="35"/>
  <c r="O70" i="63"/>
  <c r="P91" i="63"/>
  <c r="C6" i="63"/>
  <c r="C7" i="64"/>
  <c r="E18" i="37"/>
  <c r="E23" i="37"/>
  <c r="E29" i="37"/>
  <c r="E34" i="37"/>
  <c r="E101" i="19"/>
  <c r="L5" i="79"/>
  <c r="L11" i="79"/>
  <c r="L14" i="79"/>
  <c r="L16" i="79"/>
  <c r="C8" i="64"/>
  <c r="C5" i="64"/>
  <c r="C24" i="65"/>
  <c r="C11" i="65"/>
  <c r="C9" i="65"/>
  <c r="C15" i="65"/>
  <c r="C12" i="74"/>
  <c r="Q91" i="63"/>
  <c r="M7" i="59"/>
  <c r="O41" i="41"/>
  <c r="O39" i="41"/>
  <c r="O42" i="41"/>
  <c r="T8" i="79"/>
  <c r="T15" i="79"/>
  <c r="E74" i="19"/>
  <c r="E34" i="35"/>
  <c r="J109" i="19"/>
  <c r="K32" i="35"/>
  <c r="F7" i="78"/>
  <c r="F9" i="78"/>
  <c r="M8" i="64"/>
  <c r="M5" i="64"/>
  <c r="M24" i="65"/>
  <c r="M11" i="65"/>
  <c r="G36" i="35"/>
  <c r="G76" i="19"/>
  <c r="O111" i="19"/>
  <c r="P111" i="19"/>
  <c r="N70" i="63"/>
  <c r="E26" i="19"/>
  <c r="M25" i="19"/>
  <c r="S111" i="19"/>
  <c r="G74" i="63"/>
  <c r="G72" i="63"/>
  <c r="G67" i="63"/>
  <c r="T111" i="19"/>
  <c r="U111" i="19"/>
  <c r="X22" i="41"/>
  <c r="W21" i="41"/>
  <c r="Q9" i="68"/>
  <c r="P19" i="68"/>
  <c r="R30" i="67"/>
  <c r="R13" i="67"/>
  <c r="R28" i="67"/>
  <c r="L24" i="65"/>
  <c r="L11" i="65"/>
  <c r="L8" i="64"/>
  <c r="L5" i="64"/>
  <c r="L94" i="19"/>
  <c r="C18" i="37"/>
  <c r="C23" i="37"/>
  <c r="C29" i="37"/>
  <c r="C34" i="37"/>
  <c r="K18" i="65"/>
  <c r="K5" i="65"/>
  <c r="K8" i="65"/>
  <c r="O22" i="41"/>
  <c r="N21" i="41"/>
  <c r="K39" i="63"/>
  <c r="E11" i="41"/>
  <c r="F63" i="63"/>
  <c r="L8" i="65"/>
  <c r="L18" i="65"/>
  <c r="L5" i="65"/>
  <c r="L5" i="36"/>
  <c r="L17" i="36"/>
  <c r="L31" i="36"/>
  <c r="E17" i="58"/>
  <c r="E34" i="58"/>
  <c r="M5" i="79"/>
  <c r="M11" i="79"/>
  <c r="M14" i="79"/>
  <c r="M16" i="79"/>
  <c r="X15" i="79"/>
  <c r="X16" i="79"/>
  <c r="D33" i="36"/>
  <c r="E33" i="36"/>
  <c r="O8" i="65"/>
  <c r="O18" i="65"/>
  <c r="O5" i="65"/>
  <c r="M95" i="19"/>
  <c r="E96" i="19"/>
  <c r="D70" i="63"/>
  <c r="D11" i="59"/>
  <c r="D15" i="62"/>
  <c r="D16" i="62"/>
  <c r="D42" i="62"/>
  <c r="E7" i="67"/>
  <c r="E33" i="58"/>
  <c r="J17" i="36"/>
  <c r="J31" i="36"/>
  <c r="J5" i="36"/>
  <c r="K5" i="36"/>
  <c r="K31" i="36"/>
  <c r="K17" i="36"/>
  <c r="V22" i="41"/>
  <c r="Y14" i="79"/>
  <c r="K92" i="63"/>
  <c r="Y90" i="63"/>
  <c r="D29" i="37"/>
  <c r="D34" i="37"/>
  <c r="D18" i="37"/>
  <c r="D23" i="37"/>
  <c r="L39" i="63"/>
  <c r="E18" i="48"/>
  <c r="U8" i="68"/>
  <c r="C30" i="35"/>
  <c r="C37" i="35"/>
  <c r="D30" i="35"/>
  <c r="D37" i="35"/>
  <c r="K109" i="19"/>
  <c r="K94" i="19"/>
  <c r="C26" i="62"/>
  <c r="C21" i="62"/>
  <c r="C41" i="62"/>
  <c r="AC8" i="36"/>
  <c r="Z7" i="36"/>
  <c r="AB8" i="36"/>
  <c r="V40" i="41"/>
  <c r="AC23" i="36"/>
  <c r="AB23" i="36"/>
  <c r="AB34" i="36"/>
  <c r="AC34" i="36"/>
  <c r="Z33" i="36"/>
  <c r="AC48" i="36"/>
  <c r="AB48" i="36"/>
  <c r="AC49" i="36"/>
  <c r="AB49" i="36"/>
  <c r="R5" i="48"/>
  <c r="Q5" i="48"/>
  <c r="X39" i="41"/>
  <c r="X42" i="41"/>
  <c r="Y41" i="41"/>
  <c r="Q5" i="65"/>
  <c r="M30" i="35"/>
  <c r="M37" i="35"/>
  <c r="M31" i="35"/>
  <c r="L41" i="41"/>
  <c r="L39" i="41"/>
  <c r="L42" i="41"/>
  <c r="U14" i="78"/>
  <c r="U16" i="78"/>
  <c r="E30" i="35"/>
  <c r="E37" i="35"/>
  <c r="D39" i="63"/>
  <c r="D85" i="63"/>
  <c r="X14" i="78"/>
  <c r="X16" i="78"/>
  <c r="N14" i="78"/>
  <c r="N16" i="78"/>
  <c r="N18" i="74"/>
  <c r="Q14" i="78"/>
  <c r="Q16" i="78"/>
  <c r="Q18" i="74"/>
  <c r="F91" i="63"/>
  <c r="K14" i="78"/>
  <c r="K16" i="78"/>
  <c r="K18" i="74"/>
  <c r="V14" i="78"/>
  <c r="V16" i="78"/>
  <c r="F31" i="48"/>
  <c r="Y14" i="78"/>
  <c r="Y16" i="78"/>
  <c r="Y18" i="74"/>
  <c r="L15" i="78"/>
  <c r="M14" i="78"/>
  <c r="M16" i="78"/>
  <c r="M18" i="74"/>
  <c r="G71" i="63"/>
  <c r="P14" i="78"/>
  <c r="P16" i="78"/>
  <c r="P18" i="74"/>
  <c r="C16" i="62"/>
  <c r="C42" i="62"/>
  <c r="W14" i="78"/>
  <c r="W16" i="78"/>
  <c r="W18" i="74"/>
  <c r="O14" i="78"/>
  <c r="O16" i="78"/>
  <c r="O18" i="74"/>
  <c r="D14" i="78"/>
  <c r="D16" i="78"/>
  <c r="D18" i="74"/>
  <c r="S14" i="78"/>
  <c r="S16" i="78"/>
  <c r="E14" i="78"/>
  <c r="E16" i="78"/>
  <c r="E18" i="74"/>
  <c r="G15" i="78"/>
  <c r="G14" i="78"/>
  <c r="G16" i="78"/>
  <c r="G18" i="74"/>
  <c r="R22" i="52"/>
  <c r="S14" i="79"/>
  <c r="S5" i="79"/>
  <c r="T14" i="79"/>
  <c r="T16" i="79"/>
  <c r="T5" i="79"/>
  <c r="T11" i="79"/>
  <c r="Q5" i="79"/>
  <c r="Q14" i="79"/>
  <c r="D14" i="79"/>
  <c r="D16" i="79"/>
  <c r="D5" i="79"/>
  <c r="D11" i="79"/>
  <c r="G50" i="63"/>
  <c r="G35" i="58"/>
  <c r="V18" i="65"/>
  <c r="V5" i="65"/>
  <c r="V7" i="65"/>
  <c r="K5" i="79"/>
  <c r="K11" i="79"/>
  <c r="K14" i="79"/>
  <c r="K16" i="79"/>
  <c r="E14" i="79"/>
  <c r="E16" i="79"/>
  <c r="E5" i="79"/>
  <c r="E11" i="79"/>
  <c r="G53" i="63"/>
  <c r="G36" i="58"/>
  <c r="W6" i="65"/>
  <c r="W18" i="65"/>
  <c r="W5" i="65"/>
  <c r="F113" i="19"/>
  <c r="T18" i="74"/>
  <c r="W5" i="36"/>
  <c r="W16" i="36"/>
  <c r="V20" i="41"/>
  <c r="W17" i="36"/>
  <c r="L31" i="35"/>
  <c r="L38" i="35"/>
  <c r="U21" i="41"/>
  <c r="U20" i="41"/>
  <c r="Y19" i="68"/>
  <c r="W20" i="41"/>
  <c r="W23" i="41"/>
  <c r="X19" i="68"/>
  <c r="O20" i="41"/>
  <c r="O23" i="41"/>
  <c r="N92" i="63"/>
  <c r="E85" i="63"/>
  <c r="E39" i="63"/>
  <c r="E58" i="63"/>
  <c r="J18" i="36"/>
  <c r="K18" i="36"/>
  <c r="H31" i="48"/>
  <c r="X18" i="74"/>
  <c r="N58" i="63"/>
  <c r="J31" i="35"/>
  <c r="J38" i="35"/>
  <c r="K20" i="41"/>
  <c r="K23" i="41"/>
  <c r="E32" i="35"/>
  <c r="E31" i="35"/>
  <c r="E38" i="35"/>
  <c r="K31" i="35"/>
  <c r="K38" i="35"/>
  <c r="C31" i="35"/>
  <c r="C38" i="35"/>
  <c r="D31" i="35"/>
  <c r="D38" i="35"/>
  <c r="K6" i="63"/>
  <c r="K7" i="64"/>
  <c r="K6" i="64"/>
  <c r="K9" i="64"/>
  <c r="K11" i="74"/>
  <c r="K23" i="65"/>
  <c r="M31" i="36"/>
  <c r="M17" i="36"/>
  <c r="M5" i="36"/>
  <c r="M23" i="65"/>
  <c r="M6" i="63"/>
  <c r="M5" i="63"/>
  <c r="M21" i="63"/>
  <c r="M7" i="64"/>
  <c r="M6" i="64"/>
  <c r="M9" i="64"/>
  <c r="M11" i="74"/>
  <c r="D5" i="36"/>
  <c r="D17" i="36"/>
  <c r="D31" i="36"/>
  <c r="D7" i="64"/>
  <c r="D6" i="64"/>
  <c r="D9" i="64"/>
  <c r="D11" i="74"/>
  <c r="D23" i="65"/>
  <c r="D6" i="63"/>
  <c r="C17" i="36"/>
  <c r="C5" i="36"/>
  <c r="C31" i="36"/>
  <c r="E8" i="64"/>
  <c r="E5" i="64"/>
  <c r="E24" i="65"/>
  <c r="E11" i="65"/>
  <c r="W19" i="68"/>
  <c r="X9" i="68"/>
  <c r="Q111" i="19"/>
  <c r="F84" i="19"/>
  <c r="R111" i="19"/>
  <c r="T9" i="68"/>
  <c r="T20" i="68"/>
  <c r="S19" i="68"/>
  <c r="L7" i="68"/>
  <c r="L10" i="68"/>
  <c r="L20" i="68"/>
  <c r="L18" i="68"/>
  <c r="K13" i="67"/>
  <c r="K30" i="67"/>
  <c r="D46" i="36"/>
  <c r="J46" i="36"/>
  <c r="M109" i="19"/>
  <c r="E98" i="19"/>
  <c r="E109" i="19"/>
  <c r="Y20" i="68"/>
  <c r="Y7" i="68"/>
  <c r="Y10" i="68"/>
  <c r="E77" i="19"/>
  <c r="E6" i="36"/>
  <c r="L20" i="41"/>
  <c r="L23" i="41"/>
  <c r="E92" i="63"/>
  <c r="X20" i="41"/>
  <c r="X23" i="41"/>
  <c r="C40" i="62"/>
  <c r="C39" i="62"/>
  <c r="C43" i="62"/>
  <c r="C8" i="74"/>
  <c r="P18" i="68"/>
  <c r="Y91" i="63"/>
  <c r="N23" i="65"/>
  <c r="L6" i="63"/>
  <c r="L23" i="65"/>
  <c r="L10" i="65"/>
  <c r="L9" i="65"/>
  <c r="L15" i="65"/>
  <c r="L12" i="74"/>
  <c r="L7" i="64"/>
  <c r="L6" i="64"/>
  <c r="L9" i="64"/>
  <c r="L11" i="74"/>
  <c r="N7" i="64"/>
  <c r="N6" i="64"/>
  <c r="N9" i="64"/>
  <c r="N11" i="74"/>
  <c r="N22" i="63"/>
  <c r="N5" i="63"/>
  <c r="N21" i="63"/>
  <c r="N14" i="63"/>
  <c r="N13" i="63"/>
  <c r="X5" i="36"/>
  <c r="L46" i="36"/>
  <c r="D88" i="63"/>
  <c r="X31" i="36"/>
  <c r="T91" i="63"/>
  <c r="S91" i="63"/>
  <c r="C22" i="65"/>
  <c r="C26" i="65"/>
  <c r="P7" i="68"/>
  <c r="P10" i="68"/>
  <c r="C6" i="64"/>
  <c r="C9" i="64"/>
  <c r="C11" i="74"/>
  <c r="C14" i="63"/>
  <c r="C5" i="63"/>
  <c r="C21" i="63"/>
  <c r="C22" i="63"/>
  <c r="V8" i="68"/>
  <c r="F18" i="48"/>
  <c r="G15" i="76"/>
  <c r="G8" i="68"/>
  <c r="K58" i="63"/>
  <c r="N88" i="63"/>
  <c r="W44" i="36"/>
  <c r="W43" i="36"/>
  <c r="W42" i="36"/>
  <c r="W30" i="36"/>
  <c r="W29" i="36"/>
  <c r="W39" i="36"/>
  <c r="E25" i="19"/>
  <c r="O91" i="63"/>
  <c r="N91" i="63"/>
  <c r="M58" i="63"/>
  <c r="Q20" i="68"/>
  <c r="Q18" i="68"/>
  <c r="Q7" i="68"/>
  <c r="Q10" i="68"/>
  <c r="K30" i="36"/>
  <c r="K29" i="36"/>
  <c r="K39" i="36"/>
  <c r="K44" i="36"/>
  <c r="K43" i="36"/>
  <c r="K42" i="36"/>
  <c r="K54" i="36"/>
  <c r="E38" i="58"/>
  <c r="K13" i="36"/>
  <c r="K16" i="36"/>
  <c r="J13" i="36"/>
  <c r="J16" i="36"/>
  <c r="J30" i="36"/>
  <c r="J29" i="36"/>
  <c r="J39" i="36"/>
  <c r="J44" i="36"/>
  <c r="J43" i="36"/>
  <c r="J42" i="36"/>
  <c r="M108" i="19"/>
  <c r="M94" i="19"/>
  <c r="E95" i="19"/>
  <c r="E108" i="19"/>
  <c r="H22" i="41"/>
  <c r="G21" i="41"/>
  <c r="E91" i="63"/>
  <c r="D91" i="63"/>
  <c r="L44" i="36"/>
  <c r="L43" i="36"/>
  <c r="L42" i="36"/>
  <c r="L30" i="36"/>
  <c r="L29" i="36"/>
  <c r="L39" i="36"/>
  <c r="L13" i="36"/>
  <c r="L16" i="36"/>
  <c r="L26" i="36"/>
  <c r="L58" i="63"/>
  <c r="V9" i="68"/>
  <c r="U19" i="68"/>
  <c r="M38" i="35"/>
  <c r="V18" i="74"/>
  <c r="E31" i="48"/>
  <c r="U18" i="74"/>
  <c r="D58" i="63"/>
  <c r="AB33" i="36"/>
  <c r="AC33" i="36"/>
  <c r="AC7" i="36"/>
  <c r="AB7" i="36"/>
  <c r="W41" i="41"/>
  <c r="W39" i="41"/>
  <c r="W42" i="41"/>
  <c r="V39" i="41"/>
  <c r="G31" i="48"/>
  <c r="I31" i="48"/>
  <c r="L14" i="78"/>
  <c r="L16" i="78"/>
  <c r="L18" i="74"/>
  <c r="S18" i="74"/>
  <c r="C31" i="48"/>
  <c r="W13" i="36"/>
  <c r="K26" i="36"/>
  <c r="N31" i="63"/>
  <c r="Y18" i="68"/>
  <c r="M22" i="63"/>
  <c r="M14" i="63"/>
  <c r="M13" i="63"/>
  <c r="J26" i="36"/>
  <c r="J54" i="36"/>
  <c r="K22" i="63"/>
  <c r="K14" i="63"/>
  <c r="K5" i="63"/>
  <c r="K22" i="65"/>
  <c r="K26" i="65"/>
  <c r="K10" i="65"/>
  <c r="K9" i="65"/>
  <c r="K15" i="65"/>
  <c r="K12" i="74"/>
  <c r="M30" i="36"/>
  <c r="M29" i="36"/>
  <c r="M39" i="36"/>
  <c r="M44" i="36"/>
  <c r="M43" i="36"/>
  <c r="M42" i="36"/>
  <c r="M54" i="36"/>
  <c r="M13" i="36"/>
  <c r="M16" i="36"/>
  <c r="M26" i="36"/>
  <c r="M10" i="65"/>
  <c r="M9" i="65"/>
  <c r="M15" i="65"/>
  <c r="M12" i="74"/>
  <c r="M22" i="65"/>
  <c r="M26" i="65"/>
  <c r="D16" i="36"/>
  <c r="D26" i="36"/>
  <c r="D13" i="36"/>
  <c r="D30" i="36"/>
  <c r="D29" i="36"/>
  <c r="D39" i="36"/>
  <c r="D44" i="36"/>
  <c r="D43" i="36"/>
  <c r="D42" i="36"/>
  <c r="D54" i="36"/>
  <c r="D22" i="65"/>
  <c r="D26" i="65"/>
  <c r="D10" i="65"/>
  <c r="D9" i="65"/>
  <c r="D15" i="65"/>
  <c r="D12" i="74"/>
  <c r="D14" i="63"/>
  <c r="D22" i="63"/>
  <c r="D5" i="63"/>
  <c r="C16" i="36"/>
  <c r="C26" i="36"/>
  <c r="C13" i="36"/>
  <c r="C44" i="36"/>
  <c r="C43" i="36"/>
  <c r="C42" i="36"/>
  <c r="C54" i="36"/>
  <c r="C30" i="36"/>
  <c r="C29" i="36"/>
  <c r="C39" i="36"/>
  <c r="X7" i="68"/>
  <c r="X10" i="68"/>
  <c r="X20" i="68"/>
  <c r="X18" i="68"/>
  <c r="G111" i="19"/>
  <c r="F111" i="19"/>
  <c r="K28" i="67"/>
  <c r="K16" i="67"/>
  <c r="K14" i="74"/>
  <c r="E31" i="36"/>
  <c r="E5" i="36"/>
  <c r="E17" i="36"/>
  <c r="L22" i="65"/>
  <c r="L26" i="65"/>
  <c r="N10" i="65"/>
  <c r="N9" i="65"/>
  <c r="N15" i="65"/>
  <c r="N12" i="74"/>
  <c r="N22" i="65"/>
  <c r="N26" i="65"/>
  <c r="L54" i="36"/>
  <c r="L5" i="63"/>
  <c r="L14" i="63"/>
  <c r="L22" i="63"/>
  <c r="X16" i="36"/>
  <c r="X13" i="36"/>
  <c r="E94" i="19"/>
  <c r="X44" i="36"/>
  <c r="X43" i="36"/>
  <c r="X42" i="36"/>
  <c r="X30" i="36"/>
  <c r="X29" i="36"/>
  <c r="X39" i="36"/>
  <c r="G19" i="68"/>
  <c r="H9" i="68"/>
  <c r="C13" i="63"/>
  <c r="C31" i="63"/>
  <c r="V19" i="68"/>
  <c r="W9" i="68"/>
  <c r="E6" i="63"/>
  <c r="E23" i="65"/>
  <c r="E7" i="64"/>
  <c r="E6" i="64"/>
  <c r="E9" i="64"/>
  <c r="E11" i="74"/>
  <c r="V20" i="68"/>
  <c r="V7" i="68"/>
  <c r="N30" i="63"/>
  <c r="N12" i="63"/>
  <c r="M31" i="63"/>
  <c r="E16" i="36"/>
  <c r="E13" i="36"/>
  <c r="M12" i="63"/>
  <c r="M30" i="63"/>
  <c r="K31" i="63"/>
  <c r="K13" i="63"/>
  <c r="K12" i="63"/>
  <c r="K21" i="63"/>
  <c r="D13" i="63"/>
  <c r="D30" i="63"/>
  <c r="D31" i="63"/>
  <c r="D21" i="63"/>
  <c r="E44" i="36"/>
  <c r="E43" i="36"/>
  <c r="E42" i="36"/>
  <c r="E30" i="36"/>
  <c r="E29" i="36"/>
  <c r="E39" i="36"/>
  <c r="V18" i="68"/>
  <c r="L13" i="63"/>
  <c r="L31" i="63"/>
  <c r="L21" i="63"/>
  <c r="C12" i="63"/>
  <c r="C30" i="63"/>
  <c r="W7" i="68"/>
  <c r="W20" i="68"/>
  <c r="W18" i="68"/>
  <c r="H20" i="68"/>
  <c r="E14" i="63"/>
  <c r="E5" i="63"/>
  <c r="E22" i="63"/>
  <c r="E22" i="65"/>
  <c r="E26" i="65"/>
  <c r="E10" i="65"/>
  <c r="E9" i="65"/>
  <c r="E15" i="65"/>
  <c r="E12" i="74"/>
  <c r="N29" i="63"/>
  <c r="D12" i="63"/>
  <c r="D29" i="63"/>
  <c r="M29" i="63"/>
  <c r="K29" i="63"/>
  <c r="K30" i="63"/>
  <c r="L30" i="63"/>
  <c r="L12" i="63"/>
  <c r="C29" i="63"/>
  <c r="E21" i="63"/>
  <c r="E13" i="63"/>
  <c r="E31" i="63"/>
  <c r="L29" i="63"/>
  <c r="E30" i="63"/>
  <c r="E12" i="63"/>
  <c r="E29" i="63"/>
  <c r="E50" i="36"/>
  <c r="E47" i="36"/>
  <c r="E46" i="36"/>
  <c r="E54" i="36"/>
  <c r="E22" i="36"/>
  <c r="E19" i="36"/>
  <c r="E18" i="36"/>
  <c r="E26" i="36"/>
  <c r="X8" i="67"/>
  <c r="J10" i="52"/>
  <c r="Y8" i="67"/>
  <c r="K10" i="52"/>
  <c r="K12" i="52"/>
  <c r="K15" i="52"/>
  <c r="K18" i="52"/>
  <c r="K23" i="52"/>
  <c r="K26" i="52"/>
  <c r="L44" i="41"/>
  <c r="L25" i="41"/>
  <c r="V21" i="68"/>
  <c r="Q18" i="41"/>
  <c r="R15" i="68"/>
  <c r="R5" i="68"/>
  <c r="Q37" i="41"/>
  <c r="H15" i="67"/>
  <c r="H30" i="67"/>
  <c r="G29" i="67"/>
  <c r="AB7" i="79"/>
  <c r="V57" i="63"/>
  <c r="U104" i="19"/>
  <c r="P44" i="41"/>
  <c r="P25" i="41"/>
  <c r="R21" i="68"/>
  <c r="P57" i="63"/>
  <c r="O104" i="19"/>
  <c r="T104" i="19"/>
  <c r="U57" i="63"/>
  <c r="AC7" i="79"/>
  <c r="AE7" i="79"/>
  <c r="AG14" i="65"/>
  <c r="AH14" i="65"/>
  <c r="X25" i="41"/>
  <c r="X44" i="41"/>
  <c r="T57" i="63"/>
  <c r="S104" i="19"/>
  <c r="U8" i="67"/>
  <c r="AB21" i="68"/>
  <c r="W21" i="68"/>
  <c r="O44" i="41"/>
  <c r="O25" i="41"/>
  <c r="AD21" i="68"/>
  <c r="AD7" i="79"/>
  <c r="X7" i="79"/>
  <c r="X12" i="65"/>
  <c r="AC21" i="68"/>
  <c r="AE21" i="68"/>
  <c r="AG11" i="68"/>
  <c r="I15" i="67"/>
  <c r="I30" i="67"/>
  <c r="H29" i="67"/>
  <c r="Q8" i="67"/>
  <c r="W7" i="79"/>
  <c r="W12" i="65"/>
  <c r="Y7" i="79"/>
  <c r="Y12" i="65"/>
  <c r="T8" i="67"/>
  <c r="W15" i="68"/>
  <c r="W5" i="68"/>
  <c r="W10" i="68"/>
  <c r="T18" i="41"/>
  <c r="U5" i="68"/>
  <c r="U15" i="68"/>
  <c r="T37" i="41"/>
  <c r="W25" i="41"/>
  <c r="W44" i="41"/>
  <c r="K44" i="41"/>
  <c r="K25" i="41"/>
  <c r="Q104" i="19"/>
  <c r="R57" i="63"/>
  <c r="V8" i="67"/>
  <c r="R8" i="67"/>
  <c r="P8" i="67"/>
  <c r="U21" i="68"/>
  <c r="Z21" i="68"/>
  <c r="P104" i="19"/>
  <c r="Q57" i="63"/>
  <c r="AA7" i="79"/>
  <c r="O16" i="35"/>
  <c r="O22" i="35"/>
  <c r="O26" i="35"/>
  <c r="O27" i="35"/>
  <c r="X14" i="60"/>
  <c r="X19" i="60"/>
  <c r="V14" i="60"/>
  <c r="V19" i="60"/>
  <c r="S16" i="35"/>
  <c r="S22" i="35"/>
  <c r="S26" i="35"/>
  <c r="S27" i="35"/>
  <c r="P14" i="60"/>
  <c r="P19" i="60"/>
  <c r="P8" i="64"/>
  <c r="P5" i="64"/>
  <c r="H13" i="67"/>
  <c r="H28" i="67"/>
  <c r="G20" i="35"/>
  <c r="R14" i="60"/>
  <c r="R19" i="60"/>
  <c r="O14" i="60"/>
  <c r="O19" i="60"/>
  <c r="O8" i="64"/>
  <c r="O5" i="64"/>
  <c r="T14" i="60"/>
  <c r="T19" i="60"/>
  <c r="Q14" i="60"/>
  <c r="Q19" i="60"/>
  <c r="G12" i="66"/>
  <c r="F10" i="66"/>
  <c r="F13" i="66"/>
  <c r="F13" i="74"/>
  <c r="G7" i="79"/>
  <c r="G12" i="65"/>
  <c r="U7" i="79"/>
  <c r="U12" i="65"/>
  <c r="E25" i="63"/>
  <c r="E35" i="63"/>
  <c r="E18" i="59"/>
  <c r="W16" i="35"/>
  <c r="W22" i="35"/>
  <c r="W26" i="35"/>
  <c r="W27" i="35"/>
  <c r="G15" i="67"/>
  <c r="F29" i="67"/>
  <c r="F13" i="67"/>
  <c r="F28" i="67"/>
  <c r="G56" i="19"/>
  <c r="S14" i="60"/>
  <c r="S19" i="60"/>
  <c r="Q16" i="35"/>
  <c r="Q22" i="35"/>
  <c r="Q26" i="35"/>
  <c r="Q27" i="35"/>
  <c r="F21" i="35"/>
  <c r="U16" i="35"/>
  <c r="U22" i="35"/>
  <c r="U26" i="35"/>
  <c r="U27" i="35"/>
  <c r="U30" i="35"/>
  <c r="W22" i="68"/>
  <c r="W12" i="68"/>
  <c r="V96" i="19"/>
  <c r="V37" i="41"/>
  <c r="Y10" i="66"/>
  <c r="Y13" i="66"/>
  <c r="Y12" i="66"/>
  <c r="W10" i="79"/>
  <c r="W8" i="79"/>
  <c r="W5" i="79"/>
  <c r="AA21" i="68"/>
  <c r="Q7" i="67"/>
  <c r="Q33" i="58"/>
  <c r="AD10" i="79"/>
  <c r="AC12" i="66"/>
  <c r="AC10" i="66"/>
  <c r="T16" i="35"/>
  <c r="T22" i="35"/>
  <c r="T26" i="35"/>
  <c r="T27" i="35"/>
  <c r="W29" i="67"/>
  <c r="X15" i="67"/>
  <c r="X30" i="67"/>
  <c r="AC10" i="79"/>
  <c r="O57" i="63"/>
  <c r="F13" i="58"/>
  <c r="F57" i="63"/>
  <c r="I7" i="79"/>
  <c r="N16" i="35"/>
  <c r="N22" i="35"/>
  <c r="N26" i="35"/>
  <c r="N27" i="35"/>
  <c r="F17" i="35"/>
  <c r="W41" i="63"/>
  <c r="W37" i="58"/>
  <c r="W56" i="63"/>
  <c r="N21" i="68"/>
  <c r="S33" i="58"/>
  <c r="S7" i="67"/>
  <c r="V34" i="35"/>
  <c r="V74" i="19"/>
  <c r="W8" i="67"/>
  <c r="O37" i="58"/>
  <c r="O56" i="63"/>
  <c r="AB24" i="41"/>
  <c r="AC24" i="41"/>
  <c r="Z15" i="67"/>
  <c r="Z30" i="67"/>
  <c r="Y29" i="67"/>
  <c r="F56" i="63"/>
  <c r="F37" i="58"/>
  <c r="AD15" i="67"/>
  <c r="AD30" i="67"/>
  <c r="AC29" i="67"/>
  <c r="Q37" i="58"/>
  <c r="Q56" i="63"/>
  <c r="V10" i="66"/>
  <c r="V13" i="66"/>
  <c r="V12" i="66"/>
  <c r="X12" i="66"/>
  <c r="X10" i="66"/>
  <c r="X13" i="66"/>
  <c r="W15" i="67"/>
  <c r="W30" i="67"/>
  <c r="V29" i="67"/>
  <c r="AB10" i="79"/>
  <c r="N104" i="19"/>
  <c r="F104" i="19"/>
  <c r="F50" i="19"/>
  <c r="F14" i="60"/>
  <c r="F19" i="60"/>
  <c r="V16" i="35"/>
  <c r="W14" i="60"/>
  <c r="W19" i="60"/>
  <c r="U12" i="66"/>
  <c r="U10" i="66"/>
  <c r="U13" i="66"/>
  <c r="R33" i="35"/>
  <c r="R32" i="35"/>
  <c r="R73" i="19"/>
  <c r="R77" i="19"/>
  <c r="R6" i="36"/>
  <c r="U37" i="58"/>
  <c r="U56" i="63"/>
  <c r="Z12" i="66"/>
  <c r="Z10" i="66"/>
  <c r="S21" i="68"/>
  <c r="AD12" i="66"/>
  <c r="AD10" i="66"/>
  <c r="V15" i="67"/>
  <c r="V30" i="67"/>
  <c r="U29" i="67"/>
  <c r="W12" i="66"/>
  <c r="W10" i="66"/>
  <c r="W13" i="66"/>
  <c r="G11" i="66"/>
  <c r="Q21" i="68"/>
  <c r="Q22" i="68"/>
  <c r="Q12" i="68"/>
  <c r="Q16" i="74"/>
  <c r="T12" i="66"/>
  <c r="S10" i="66"/>
  <c r="S13" i="66"/>
  <c r="T10" i="66"/>
  <c r="T13" i="66"/>
  <c r="V37" i="58"/>
  <c r="V56" i="63"/>
  <c r="U15" i="67"/>
  <c r="U30" i="67"/>
  <c r="T29" i="67"/>
  <c r="AA15" i="67"/>
  <c r="AA30" i="67"/>
  <c r="Z29" i="67"/>
  <c r="U33" i="58"/>
  <c r="U7" i="67"/>
  <c r="S57" i="63"/>
  <c r="G13" i="58"/>
  <c r="G57" i="63"/>
  <c r="V104" i="19"/>
  <c r="AE10" i="79"/>
  <c r="AG7" i="79"/>
  <c r="AH7" i="79"/>
  <c r="S29" i="67"/>
  <c r="T15" i="67"/>
  <c r="T30" i="67"/>
  <c r="S13" i="67"/>
  <c r="S28" i="67"/>
  <c r="Y14" i="60"/>
  <c r="Y19" i="60"/>
  <c r="X16" i="35"/>
  <c r="X22" i="35"/>
  <c r="X26" i="35"/>
  <c r="X27" i="35"/>
  <c r="V5" i="68"/>
  <c r="V10" i="68"/>
  <c r="V12" i="68"/>
  <c r="U18" i="41"/>
  <c r="U23" i="41"/>
  <c r="U25" i="41"/>
  <c r="G14" i="58"/>
  <c r="G51" i="19"/>
  <c r="U37" i="41"/>
  <c r="U42" i="41"/>
  <c r="U44" i="41"/>
  <c r="V15" i="68"/>
  <c r="V22" i="68"/>
  <c r="G21" i="35"/>
  <c r="AE12" i="66"/>
  <c r="I11" i="66"/>
  <c r="AE10" i="66"/>
  <c r="V18" i="41"/>
  <c r="H11" i="66"/>
  <c r="AA12" i="66"/>
  <c r="AA10" i="66"/>
  <c r="T21" i="68"/>
  <c r="T33" i="35"/>
  <c r="T73" i="19"/>
  <c r="AH11" i="68"/>
  <c r="X10" i="79"/>
  <c r="X8" i="79"/>
  <c r="X5" i="79"/>
  <c r="X37" i="58"/>
  <c r="X38" i="58"/>
  <c r="X56" i="63"/>
  <c r="R104" i="19"/>
  <c r="G104" i="19"/>
  <c r="G50" i="19"/>
  <c r="O21" i="68"/>
  <c r="T37" i="58"/>
  <c r="T56" i="63"/>
  <c r="Y21" i="68"/>
  <c r="Y22" i="68"/>
  <c r="Y12" i="68"/>
  <c r="R56" i="63"/>
  <c r="R37" i="58"/>
  <c r="P56" i="63"/>
  <c r="P37" i="58"/>
  <c r="R34" i="58"/>
  <c r="R17" i="58"/>
  <c r="F14" i="58"/>
  <c r="I13" i="67"/>
  <c r="I29" i="67"/>
  <c r="J12" i="52"/>
  <c r="S37" i="58"/>
  <c r="S56" i="63"/>
  <c r="AE15" i="67"/>
  <c r="AE13" i="67"/>
  <c r="AD29" i="67"/>
  <c r="K21" i="68"/>
  <c r="T74" i="19"/>
  <c r="T34" i="35"/>
  <c r="W34" i="58"/>
  <c r="W17" i="58"/>
  <c r="AG21" i="68"/>
  <c r="AB12" i="66"/>
  <c r="AB10" i="66"/>
  <c r="G57" i="19"/>
  <c r="W57" i="63"/>
  <c r="R16" i="35"/>
  <c r="R22" i="35"/>
  <c r="R26" i="35"/>
  <c r="G17" i="35"/>
  <c r="F57" i="19"/>
  <c r="Z7" i="79"/>
  <c r="X21" i="68"/>
  <c r="X22" i="68"/>
  <c r="X12" i="68"/>
  <c r="U34" i="58"/>
  <c r="U17" i="58"/>
  <c r="Y10" i="79"/>
  <c r="Y5" i="79"/>
  <c r="AG11" i="66"/>
  <c r="AH11" i="66"/>
  <c r="AB15" i="67"/>
  <c r="AB30" i="67"/>
  <c r="AA29" i="67"/>
  <c r="S8" i="67"/>
  <c r="G18" i="58"/>
  <c r="G8" i="67"/>
  <c r="P16" i="35"/>
  <c r="P22" i="35"/>
  <c r="P26" i="35"/>
  <c r="P27" i="35"/>
  <c r="Y37" i="58"/>
  <c r="Y38" i="58"/>
  <c r="Y56" i="63"/>
  <c r="G14" i="60"/>
  <c r="G19" i="60"/>
  <c r="Q34" i="35"/>
  <c r="F51" i="19"/>
  <c r="Q74" i="19"/>
  <c r="T33" i="58"/>
  <c r="T7" i="67"/>
  <c r="E12" i="48"/>
  <c r="AA10" i="79"/>
  <c r="H7" i="79"/>
  <c r="L21" i="68"/>
  <c r="L22" i="68"/>
  <c r="L12" i="68"/>
  <c r="L16" i="74"/>
  <c r="X29" i="67"/>
  <c r="Y15" i="67"/>
  <c r="Y30" i="67"/>
  <c r="AC43" i="41"/>
  <c r="AB43" i="41"/>
  <c r="P33" i="35"/>
  <c r="P32" i="35"/>
  <c r="P73" i="19"/>
  <c r="P77" i="19"/>
  <c r="P6" i="36"/>
  <c r="AE29" i="67"/>
  <c r="AH14" i="67"/>
  <c r="AG14" i="67"/>
  <c r="P21" i="68"/>
  <c r="P22" i="68"/>
  <c r="P12" i="68"/>
  <c r="P16" i="74"/>
  <c r="AC15" i="67"/>
  <c r="AC30" i="67"/>
  <c r="AB29" i="67"/>
  <c r="U14" i="60"/>
  <c r="U19" i="60"/>
  <c r="G10" i="67"/>
  <c r="F56" i="19"/>
  <c r="M21" i="68"/>
  <c r="M22" i="68"/>
  <c r="M12" i="68"/>
  <c r="M16" i="74"/>
  <c r="G37" i="58"/>
  <c r="G56" i="63"/>
  <c r="S33" i="35"/>
  <c r="S32" i="35"/>
  <c r="S73" i="19"/>
  <c r="S77" i="19"/>
  <c r="S6" i="36"/>
  <c r="X13" i="67"/>
  <c r="X28" i="67"/>
  <c r="P24" i="65"/>
  <c r="P11" i="65"/>
  <c r="AA13" i="67"/>
  <c r="AA28" i="67"/>
  <c r="G16" i="35"/>
  <c r="G22" i="35"/>
  <c r="X8" i="64"/>
  <c r="X5" i="64"/>
  <c r="X24" i="65"/>
  <c r="X11" i="65"/>
  <c r="V8" i="64"/>
  <c r="V5" i="64"/>
  <c r="V24" i="65"/>
  <c r="V11" i="65"/>
  <c r="R8" i="64"/>
  <c r="R5" i="64"/>
  <c r="R24" i="65"/>
  <c r="R11" i="65"/>
  <c r="T8" i="64"/>
  <c r="T5" i="64"/>
  <c r="T24" i="65"/>
  <c r="T11" i="65"/>
  <c r="Q24" i="65"/>
  <c r="Q11" i="65"/>
  <c r="Q8" i="64"/>
  <c r="Q5" i="64"/>
  <c r="O37" i="35"/>
  <c r="O30" i="35"/>
  <c r="S24" i="65"/>
  <c r="S11" i="65"/>
  <c r="S8" i="64"/>
  <c r="S5" i="64"/>
  <c r="Q30" i="35"/>
  <c r="Q37" i="35"/>
  <c r="S30" i="35"/>
  <c r="S37" i="35"/>
  <c r="S31" i="35"/>
  <c r="G29" i="48"/>
  <c r="W16" i="74"/>
  <c r="U38" i="58"/>
  <c r="T38" i="58"/>
  <c r="T23" i="65"/>
  <c r="U37" i="35"/>
  <c r="O24" i="65"/>
  <c r="O11" i="65"/>
  <c r="X11" i="79"/>
  <c r="E65" i="63"/>
  <c r="E88" i="63"/>
  <c r="U10" i="79"/>
  <c r="U8" i="79"/>
  <c r="U5" i="79"/>
  <c r="G10" i="79"/>
  <c r="G5" i="79"/>
  <c r="G30" i="67"/>
  <c r="G13" i="67"/>
  <c r="G28" i="67"/>
  <c r="F16" i="35"/>
  <c r="F22" i="35"/>
  <c r="F26" i="35"/>
  <c r="F27" i="35"/>
  <c r="F30" i="35"/>
  <c r="F30" i="58"/>
  <c r="T32" i="35"/>
  <c r="AD13" i="67"/>
  <c r="AD28" i="67"/>
  <c r="AB13" i="67"/>
  <c r="AB28" i="67"/>
  <c r="AH21" i="68"/>
  <c r="U13" i="67"/>
  <c r="U28" i="67"/>
  <c r="T13" i="67"/>
  <c r="T28" i="67"/>
  <c r="X37" i="35"/>
  <c r="X31" i="35"/>
  <c r="X30" i="35"/>
  <c r="Y8" i="64"/>
  <c r="Y5" i="64"/>
  <c r="Y24" i="65"/>
  <c r="Y11" i="65"/>
  <c r="W24" i="65"/>
  <c r="W11" i="65"/>
  <c r="W8" i="64"/>
  <c r="W5" i="64"/>
  <c r="H29" i="48"/>
  <c r="X16" i="74"/>
  <c r="C12" i="48"/>
  <c r="J15" i="52"/>
  <c r="Y16" i="74"/>
  <c r="I29" i="48"/>
  <c r="I10" i="66"/>
  <c r="I12" i="66"/>
  <c r="U74" i="19"/>
  <c r="U34" i="35"/>
  <c r="Q33" i="35"/>
  <c r="Q32" i="35"/>
  <c r="Q73" i="19"/>
  <c r="Q77" i="19"/>
  <c r="Q6" i="36"/>
  <c r="F24" i="65"/>
  <c r="F11" i="65"/>
  <c r="F8" i="64"/>
  <c r="F5" i="64"/>
  <c r="P33" i="58"/>
  <c r="P38" i="58"/>
  <c r="P7" i="67"/>
  <c r="Q38" i="58"/>
  <c r="P30" i="37"/>
  <c r="P19" i="37"/>
  <c r="P9" i="37"/>
  <c r="I12" i="48"/>
  <c r="U24" i="65"/>
  <c r="U11" i="65"/>
  <c r="U8" i="64"/>
  <c r="U5" i="64"/>
  <c r="AE28" i="67"/>
  <c r="O19" i="37"/>
  <c r="O9" i="37"/>
  <c r="O30" i="37"/>
  <c r="R19" i="37"/>
  <c r="R30" i="37"/>
  <c r="R9" i="37"/>
  <c r="F70" i="19"/>
  <c r="I28" i="67"/>
  <c r="V33" i="58"/>
  <c r="V7" i="67"/>
  <c r="V34" i="58"/>
  <c r="V17" i="58"/>
  <c r="R33" i="58"/>
  <c r="R38" i="58"/>
  <c r="R7" i="67"/>
  <c r="F10" i="67"/>
  <c r="F9" i="37"/>
  <c r="Y13" i="67"/>
  <c r="Y28" i="67"/>
  <c r="S38" i="58"/>
  <c r="W13" i="67"/>
  <c r="W28" i="67"/>
  <c r="V22" i="35"/>
  <c r="R27" i="35"/>
  <c r="G26" i="35"/>
  <c r="N19" i="37"/>
  <c r="N9" i="37"/>
  <c r="N30" i="37"/>
  <c r="F34" i="58"/>
  <c r="F17" i="58"/>
  <c r="U33" i="35"/>
  <c r="U73" i="19"/>
  <c r="V23" i="41"/>
  <c r="D8" i="48"/>
  <c r="T13" i="74"/>
  <c r="H12" i="48"/>
  <c r="V13" i="67"/>
  <c r="V28" i="67"/>
  <c r="AC13" i="67"/>
  <c r="I8" i="48"/>
  <c r="Y13" i="74"/>
  <c r="G19" i="37"/>
  <c r="G9" i="37"/>
  <c r="G30" i="37"/>
  <c r="S17" i="36"/>
  <c r="S5" i="36"/>
  <c r="S31" i="36"/>
  <c r="X30" i="37"/>
  <c r="X19" i="37"/>
  <c r="X9" i="37"/>
  <c r="Z10" i="79"/>
  <c r="G70" i="19"/>
  <c r="D12" i="48"/>
  <c r="C8" i="48"/>
  <c r="S13" i="74"/>
  <c r="N37" i="35"/>
  <c r="N30" i="35"/>
  <c r="T30" i="35"/>
  <c r="T37" i="35"/>
  <c r="F12" i="48"/>
  <c r="AG29" i="67"/>
  <c r="AH29" i="67"/>
  <c r="G8" i="64"/>
  <c r="G5" i="64"/>
  <c r="G24" i="65"/>
  <c r="G11" i="65"/>
  <c r="G30" i="58"/>
  <c r="Q30" i="37"/>
  <c r="Q19" i="37"/>
  <c r="Q9" i="37"/>
  <c r="AG10" i="66"/>
  <c r="AH10" i="66"/>
  <c r="F29" i="48"/>
  <c r="V16" i="74"/>
  <c r="N73" i="19"/>
  <c r="N77" i="19"/>
  <c r="N6" i="36"/>
  <c r="F42" i="19"/>
  <c r="N33" i="35"/>
  <c r="N32" i="35"/>
  <c r="G10" i="66"/>
  <c r="G13" i="66"/>
  <c r="G13" i="74"/>
  <c r="H12" i="66"/>
  <c r="H10" i="66"/>
  <c r="H8" i="48"/>
  <c r="X13" i="74"/>
  <c r="I10" i="79"/>
  <c r="W30" i="35"/>
  <c r="W37" i="35"/>
  <c r="W31" i="35"/>
  <c r="G34" i="58"/>
  <c r="G17" i="58"/>
  <c r="AH10" i="79"/>
  <c r="AG10" i="79"/>
  <c r="O33" i="58"/>
  <c r="O38" i="58"/>
  <c r="F5" i="58"/>
  <c r="O7" i="67"/>
  <c r="G8" i="48"/>
  <c r="W13" i="74"/>
  <c r="R31" i="36"/>
  <c r="R5" i="36"/>
  <c r="R17" i="36"/>
  <c r="E8" i="48"/>
  <c r="U13" i="74"/>
  <c r="O73" i="19"/>
  <c r="O77" i="19"/>
  <c r="O6" i="36"/>
  <c r="O33" i="35"/>
  <c r="O32" i="35"/>
  <c r="G32" i="37"/>
  <c r="G21" i="37"/>
  <c r="H10" i="79"/>
  <c r="F19" i="37"/>
  <c r="F30" i="37"/>
  <c r="Y6" i="63"/>
  <c r="Y7" i="64"/>
  <c r="Y23" i="65"/>
  <c r="O8" i="67"/>
  <c r="F18" i="58"/>
  <c r="F8" i="67"/>
  <c r="T9" i="37"/>
  <c r="T19" i="37"/>
  <c r="T30" i="37"/>
  <c r="AE30" i="67"/>
  <c r="AG15" i="67"/>
  <c r="AH15" i="67"/>
  <c r="S30" i="37"/>
  <c r="S19" i="37"/>
  <c r="S9" i="37"/>
  <c r="T77" i="19"/>
  <c r="T6" i="36"/>
  <c r="AH12" i="66"/>
  <c r="AG12" i="66"/>
  <c r="Z13" i="67"/>
  <c r="Z28" i="67"/>
  <c r="G42" i="19"/>
  <c r="P17" i="36"/>
  <c r="P5" i="36"/>
  <c r="P31" i="36"/>
  <c r="F74" i="19"/>
  <c r="F34" i="35"/>
  <c r="P37" i="35"/>
  <c r="P31" i="35"/>
  <c r="P30" i="35"/>
  <c r="G34" i="35"/>
  <c r="G74" i="19"/>
  <c r="X6" i="63"/>
  <c r="X23" i="65"/>
  <c r="X7" i="64"/>
  <c r="U30" i="37"/>
  <c r="U9" i="37"/>
  <c r="U19" i="37"/>
  <c r="W19" i="37"/>
  <c r="W9" i="37"/>
  <c r="W30" i="37"/>
  <c r="F8" i="48"/>
  <c r="V13" i="74"/>
  <c r="G5" i="58"/>
  <c r="W11" i="79"/>
  <c r="V42" i="41"/>
  <c r="G12" i="48"/>
  <c r="T6" i="63"/>
  <c r="T14" i="63"/>
  <c r="AH13" i="67"/>
  <c r="S38" i="35"/>
  <c r="Q31" i="35"/>
  <c r="Q38" i="35"/>
  <c r="T7" i="64"/>
  <c r="T6" i="64"/>
  <c r="T9" i="64"/>
  <c r="T11" i="74"/>
  <c r="T31" i="35"/>
  <c r="T38" i="35"/>
  <c r="O31" i="35"/>
  <c r="O38" i="35"/>
  <c r="X6" i="64"/>
  <c r="X9" i="64"/>
  <c r="X11" i="74"/>
  <c r="F37" i="35"/>
  <c r="N31" i="35"/>
  <c r="N38" i="35"/>
  <c r="Y6" i="64"/>
  <c r="Y9" i="64"/>
  <c r="Y11" i="74"/>
  <c r="U23" i="65"/>
  <c r="U22" i="65"/>
  <c r="U26" i="65"/>
  <c r="U7" i="64"/>
  <c r="U6" i="64"/>
  <c r="U9" i="64"/>
  <c r="U11" i="74"/>
  <c r="U6" i="63"/>
  <c r="U5" i="63"/>
  <c r="U21" i="63"/>
  <c r="V26" i="35"/>
  <c r="AG13" i="67"/>
  <c r="U11" i="79"/>
  <c r="P38" i="35"/>
  <c r="AH30" i="67"/>
  <c r="AG30" i="67"/>
  <c r="R9" i="79"/>
  <c r="R26" i="18"/>
  <c r="O5" i="36"/>
  <c r="O31" i="36"/>
  <c r="O17" i="36"/>
  <c r="V33" i="35"/>
  <c r="V73" i="19"/>
  <c r="T22" i="65"/>
  <c r="T26" i="65"/>
  <c r="T10" i="65"/>
  <c r="T9" i="65"/>
  <c r="T15" i="65"/>
  <c r="S44" i="36"/>
  <c r="S43" i="36"/>
  <c r="S42" i="36"/>
  <c r="S30" i="36"/>
  <c r="S29" i="36"/>
  <c r="S39" i="36"/>
  <c r="R37" i="35"/>
  <c r="R31" i="35"/>
  <c r="R30" i="35"/>
  <c r="G27" i="35"/>
  <c r="S23" i="65"/>
  <c r="S7" i="64"/>
  <c r="S6" i="64"/>
  <c r="S9" i="64"/>
  <c r="S11" i="74"/>
  <c r="S6" i="63"/>
  <c r="R7" i="64"/>
  <c r="R6" i="64"/>
  <c r="R9" i="64"/>
  <c r="R11" i="74"/>
  <c r="R23" i="65"/>
  <c r="R6" i="63"/>
  <c r="AH28" i="67"/>
  <c r="AG28" i="67"/>
  <c r="T29" i="37"/>
  <c r="T34" i="37"/>
  <c r="T18" i="37"/>
  <c r="T23" i="37"/>
  <c r="T14" i="37"/>
  <c r="Y14" i="63"/>
  <c r="Y5" i="63"/>
  <c r="Y21" i="63"/>
  <c r="Y22" i="63"/>
  <c r="W38" i="35"/>
  <c r="S16" i="36"/>
  <c r="S13" i="36"/>
  <c r="R29" i="37"/>
  <c r="R34" i="37"/>
  <c r="R18" i="37"/>
  <c r="R23" i="37"/>
  <c r="R14" i="37"/>
  <c r="P6" i="63"/>
  <c r="P23" i="65"/>
  <c r="P7" i="64"/>
  <c r="P6" i="64"/>
  <c r="P9" i="64"/>
  <c r="P11" i="74"/>
  <c r="G33" i="58"/>
  <c r="G38" i="58"/>
  <c r="G7" i="67"/>
  <c r="X22" i="65"/>
  <c r="X26" i="65"/>
  <c r="X10" i="65"/>
  <c r="X9" i="65"/>
  <c r="X15" i="65"/>
  <c r="T31" i="36"/>
  <c r="T5" i="36"/>
  <c r="T17" i="36"/>
  <c r="Q17" i="36"/>
  <c r="Q5" i="36"/>
  <c r="Q31" i="36"/>
  <c r="F33" i="35"/>
  <c r="F32" i="35"/>
  <c r="F73" i="19"/>
  <c r="F77" i="19"/>
  <c r="F6" i="36"/>
  <c r="AC28" i="67"/>
  <c r="Q23" i="65"/>
  <c r="Q6" i="63"/>
  <c r="Q7" i="64"/>
  <c r="Q6" i="64"/>
  <c r="Q9" i="64"/>
  <c r="Q11" i="74"/>
  <c r="U32" i="35"/>
  <c r="U31" i="35"/>
  <c r="U38" i="35"/>
  <c r="V44" i="41"/>
  <c r="X14" i="63"/>
  <c r="X5" i="63"/>
  <c r="X21" i="63"/>
  <c r="X22" i="63"/>
  <c r="P30" i="36"/>
  <c r="P29" i="36"/>
  <c r="P39" i="36"/>
  <c r="P44" i="36"/>
  <c r="P43" i="36"/>
  <c r="P42" i="36"/>
  <c r="S14" i="37"/>
  <c r="S18" i="37"/>
  <c r="S23" i="37"/>
  <c r="S29" i="37"/>
  <c r="S34" i="37"/>
  <c r="F18" i="37"/>
  <c r="F23" i="37"/>
  <c r="F29" i="37"/>
  <c r="F34" i="37"/>
  <c r="F14" i="37"/>
  <c r="F33" i="58"/>
  <c r="F38" i="58"/>
  <c r="F7" i="67"/>
  <c r="W33" i="58"/>
  <c r="W38" i="58"/>
  <c r="W7" i="67"/>
  <c r="N5" i="36"/>
  <c r="N31" i="36"/>
  <c r="N17" i="36"/>
  <c r="N29" i="37"/>
  <c r="N34" i="37"/>
  <c r="N18" i="37"/>
  <c r="N23" i="37"/>
  <c r="N14" i="37"/>
  <c r="U77" i="19"/>
  <c r="U6" i="36"/>
  <c r="P13" i="36"/>
  <c r="P16" i="36"/>
  <c r="R16" i="36"/>
  <c r="R13" i="36"/>
  <c r="O7" i="64"/>
  <c r="O6" i="64"/>
  <c r="O9" i="64"/>
  <c r="O11" i="74"/>
  <c r="O6" i="63"/>
  <c r="O23" i="65"/>
  <c r="Q18" i="37"/>
  <c r="Q23" i="37"/>
  <c r="Q14" i="37"/>
  <c r="Q29" i="37"/>
  <c r="Q34" i="37"/>
  <c r="R44" i="36"/>
  <c r="R43" i="36"/>
  <c r="R42" i="36"/>
  <c r="R30" i="36"/>
  <c r="R29" i="36"/>
  <c r="R39" i="36"/>
  <c r="X14" i="37"/>
  <c r="X18" i="37"/>
  <c r="X23" i="37"/>
  <c r="X29" i="37"/>
  <c r="X34" i="37"/>
  <c r="F21" i="37"/>
  <c r="F32" i="37"/>
  <c r="O29" i="37"/>
  <c r="O34" i="37"/>
  <c r="O18" i="37"/>
  <c r="O23" i="37"/>
  <c r="O14" i="37"/>
  <c r="P29" i="37"/>
  <c r="P34" i="37"/>
  <c r="P14" i="37"/>
  <c r="P18" i="37"/>
  <c r="P23" i="37"/>
  <c r="J18" i="52"/>
  <c r="P9" i="79"/>
  <c r="P26" i="18"/>
  <c r="O9" i="79"/>
  <c r="O26" i="18"/>
  <c r="W14" i="37"/>
  <c r="W29" i="37"/>
  <c r="W34" i="37"/>
  <c r="W18" i="37"/>
  <c r="W23" i="37"/>
  <c r="G33" i="35"/>
  <c r="G32" i="35"/>
  <c r="G73" i="19"/>
  <c r="G77" i="19"/>
  <c r="G6" i="36"/>
  <c r="T5" i="63"/>
  <c r="T21" i="63"/>
  <c r="T22" i="63"/>
  <c r="G29" i="37"/>
  <c r="G34" i="37"/>
  <c r="G18" i="37"/>
  <c r="G23" i="37"/>
  <c r="G14" i="37"/>
  <c r="V25" i="41"/>
  <c r="V30" i="37"/>
  <c r="V19" i="37"/>
  <c r="V9" i="37"/>
  <c r="U29" i="37"/>
  <c r="U34" i="37"/>
  <c r="U18" i="37"/>
  <c r="U23" i="37"/>
  <c r="U14" i="37"/>
  <c r="Y10" i="65"/>
  <c r="Y9" i="65"/>
  <c r="Y15" i="65"/>
  <c r="Y22" i="65"/>
  <c r="Y26" i="65"/>
  <c r="V38" i="58"/>
  <c r="X38" i="35"/>
  <c r="U10" i="65"/>
  <c r="U9" i="65"/>
  <c r="U15" i="65"/>
  <c r="U14" i="63"/>
  <c r="U22" i="63"/>
  <c r="F31" i="35"/>
  <c r="F38" i="35"/>
  <c r="V27" i="35"/>
  <c r="W23" i="65"/>
  <c r="W6" i="63"/>
  <c r="W7" i="64"/>
  <c r="W6" i="64"/>
  <c r="W9" i="64"/>
  <c r="W11" i="74"/>
  <c r="G23" i="65"/>
  <c r="G6" i="63"/>
  <c r="G7" i="64"/>
  <c r="G6" i="64"/>
  <c r="G9" i="64"/>
  <c r="G11" i="74"/>
  <c r="R15" i="79"/>
  <c r="R16" i="79"/>
  <c r="R8" i="79"/>
  <c r="R11" i="79"/>
  <c r="Y12" i="74"/>
  <c r="I30" i="48"/>
  <c r="U5" i="36"/>
  <c r="U17" i="36"/>
  <c r="U31" i="36"/>
  <c r="S22" i="63"/>
  <c r="S5" i="63"/>
  <c r="S21" i="63"/>
  <c r="S14" i="63"/>
  <c r="T31" i="63"/>
  <c r="T13" i="63"/>
  <c r="F23" i="65"/>
  <c r="F6" i="63"/>
  <c r="F7" i="64"/>
  <c r="F6" i="64"/>
  <c r="F9" i="64"/>
  <c r="F11" i="74"/>
  <c r="Q14" i="63"/>
  <c r="Q22" i="63"/>
  <c r="Q5" i="63"/>
  <c r="Q21" i="63"/>
  <c r="T16" i="36"/>
  <c r="T13" i="36"/>
  <c r="V77" i="19"/>
  <c r="O44" i="36"/>
  <c r="O43" i="36"/>
  <c r="O42" i="36"/>
  <c r="O30" i="36"/>
  <c r="O29" i="36"/>
  <c r="O39" i="36"/>
  <c r="G31" i="36"/>
  <c r="G5" i="36"/>
  <c r="G17" i="36"/>
  <c r="Q10" i="65"/>
  <c r="Q9" i="65"/>
  <c r="Q15" i="65"/>
  <c r="Q12" i="74"/>
  <c r="Q22" i="65"/>
  <c r="Q26" i="65"/>
  <c r="T44" i="36"/>
  <c r="T43" i="36"/>
  <c r="T42" i="36"/>
  <c r="T30" i="36"/>
  <c r="T29" i="36"/>
  <c r="T39" i="36"/>
  <c r="F26" i="18"/>
  <c r="F9" i="79"/>
  <c r="S10" i="65"/>
  <c r="S9" i="65"/>
  <c r="S15" i="65"/>
  <c r="S22" i="65"/>
  <c r="S26" i="65"/>
  <c r="D30" i="48"/>
  <c r="T12" i="74"/>
  <c r="O13" i="36"/>
  <c r="O16" i="36"/>
  <c r="V7" i="64"/>
  <c r="V6" i="64"/>
  <c r="V9" i="64"/>
  <c r="V11" i="74"/>
  <c r="V23" i="65"/>
  <c r="V6" i="63"/>
  <c r="S9" i="79"/>
  <c r="S26" i="18"/>
  <c r="C13" i="48"/>
  <c r="O15" i="79"/>
  <c r="O16" i="79"/>
  <c r="O8" i="79"/>
  <c r="O11" i="79"/>
  <c r="U13" i="63"/>
  <c r="U31" i="63"/>
  <c r="N44" i="36"/>
  <c r="N43" i="36"/>
  <c r="N42" i="36"/>
  <c r="N30" i="36"/>
  <c r="N29" i="36"/>
  <c r="N39" i="36"/>
  <c r="F17" i="36"/>
  <c r="F5" i="36"/>
  <c r="F31" i="36"/>
  <c r="V32" i="35"/>
  <c r="P15" i="79"/>
  <c r="P16" i="79"/>
  <c r="P8" i="79"/>
  <c r="P11" i="79"/>
  <c r="O10" i="65"/>
  <c r="O9" i="65"/>
  <c r="O15" i="65"/>
  <c r="O12" i="74"/>
  <c r="O22" i="65"/>
  <c r="O26" i="65"/>
  <c r="N13" i="36"/>
  <c r="N16" i="36"/>
  <c r="X31" i="63"/>
  <c r="X13" i="63"/>
  <c r="Q9" i="79"/>
  <c r="Q26" i="18"/>
  <c r="H30" i="48"/>
  <c r="X12" i="74"/>
  <c r="P22" i="65"/>
  <c r="P26" i="65"/>
  <c r="P10" i="65"/>
  <c r="P9" i="65"/>
  <c r="P15" i="65"/>
  <c r="P12" i="74"/>
  <c r="G9" i="79"/>
  <c r="G26" i="18"/>
  <c r="V18" i="37"/>
  <c r="V29" i="37"/>
  <c r="V14" i="37"/>
  <c r="E30" i="48"/>
  <c r="U12" i="74"/>
  <c r="O14" i="63"/>
  <c r="O22" i="63"/>
  <c r="O5" i="63"/>
  <c r="O21" i="63"/>
  <c r="Q44" i="36"/>
  <c r="Q43" i="36"/>
  <c r="Q42" i="36"/>
  <c r="Q30" i="36"/>
  <c r="Q29" i="36"/>
  <c r="Q39" i="36"/>
  <c r="P22" i="63"/>
  <c r="P14" i="63"/>
  <c r="P5" i="63"/>
  <c r="P21" i="63"/>
  <c r="Y31" i="63"/>
  <c r="Y13" i="63"/>
  <c r="R5" i="63"/>
  <c r="R21" i="63"/>
  <c r="R22" i="63"/>
  <c r="R14" i="63"/>
  <c r="G37" i="35"/>
  <c r="G31" i="35"/>
  <c r="G30" i="35"/>
  <c r="J23" i="52"/>
  <c r="Q16" i="36"/>
  <c r="Q13" i="36"/>
  <c r="R10" i="65"/>
  <c r="R9" i="65"/>
  <c r="R15" i="65"/>
  <c r="R12" i="74"/>
  <c r="R22" i="65"/>
  <c r="R26" i="65"/>
  <c r="R38" i="35"/>
  <c r="V37" i="35"/>
  <c r="V31" i="35"/>
  <c r="V30" i="35"/>
  <c r="Y30" i="63"/>
  <c r="Y12" i="63"/>
  <c r="Y29" i="63"/>
  <c r="G8" i="79"/>
  <c r="G11" i="79"/>
  <c r="G15" i="79"/>
  <c r="G16" i="79"/>
  <c r="U30" i="63"/>
  <c r="U12" i="63"/>
  <c r="U29" i="63"/>
  <c r="F22" i="63"/>
  <c r="F5" i="63"/>
  <c r="F21" i="63"/>
  <c r="F14" i="63"/>
  <c r="F15" i="79"/>
  <c r="F16" i="79"/>
  <c r="F8" i="79"/>
  <c r="F11" i="79"/>
  <c r="Y9" i="79"/>
  <c r="Y26" i="18"/>
  <c r="I13" i="48"/>
  <c r="F22" i="65"/>
  <c r="F26" i="65"/>
  <c r="F10" i="65"/>
  <c r="F9" i="65"/>
  <c r="F15" i="65"/>
  <c r="F12" i="74"/>
  <c r="W14" i="63"/>
  <c r="W22" i="63"/>
  <c r="W5" i="63"/>
  <c r="W21" i="63"/>
  <c r="J26" i="52"/>
  <c r="V5" i="63"/>
  <c r="V14" i="63"/>
  <c r="V22" i="63"/>
  <c r="S31" i="63"/>
  <c r="S13" i="63"/>
  <c r="W10" i="65"/>
  <c r="W9" i="65"/>
  <c r="W15" i="65"/>
  <c r="W22" i="65"/>
  <c r="W26" i="65"/>
  <c r="G38" i="35"/>
  <c r="P13" i="63"/>
  <c r="P31" i="63"/>
  <c r="O31" i="63"/>
  <c r="O13" i="63"/>
  <c r="V34" i="37"/>
  <c r="V10" i="65"/>
  <c r="V9" i="65"/>
  <c r="V15" i="65"/>
  <c r="V22" i="65"/>
  <c r="V26" i="65"/>
  <c r="V23" i="37"/>
  <c r="V9" i="79"/>
  <c r="V26" i="18"/>
  <c r="F13" i="48"/>
  <c r="V6" i="36"/>
  <c r="S12" i="74"/>
  <c r="C30" i="48"/>
  <c r="U44" i="36"/>
  <c r="U43" i="36"/>
  <c r="U42" i="36"/>
  <c r="U30" i="36"/>
  <c r="U29" i="36"/>
  <c r="U39" i="36"/>
  <c r="R13" i="63"/>
  <c r="R31" i="63"/>
  <c r="G16" i="36"/>
  <c r="G13" i="36"/>
  <c r="Q13" i="63"/>
  <c r="Q31" i="63"/>
  <c r="T30" i="63"/>
  <c r="T12" i="63"/>
  <c r="T29" i="63"/>
  <c r="G14" i="63"/>
  <c r="G5" i="63"/>
  <c r="G21" i="63"/>
  <c r="G22" i="63"/>
  <c r="Q15" i="79"/>
  <c r="Q16" i="79"/>
  <c r="Q8" i="79"/>
  <c r="Q11" i="79"/>
  <c r="F44" i="36"/>
  <c r="F43" i="36"/>
  <c r="F42" i="36"/>
  <c r="F30" i="36"/>
  <c r="F29" i="36"/>
  <c r="F39" i="36"/>
  <c r="X12" i="63"/>
  <c r="X29" i="63"/>
  <c r="X30" i="63"/>
  <c r="F16" i="36"/>
  <c r="F13" i="36"/>
  <c r="S15" i="79"/>
  <c r="S16" i="79"/>
  <c r="S8" i="79"/>
  <c r="S11" i="79"/>
  <c r="G44" i="36"/>
  <c r="G43" i="36"/>
  <c r="G42" i="36"/>
  <c r="G30" i="36"/>
  <c r="G29" i="36"/>
  <c r="G39" i="36"/>
  <c r="U16" i="36"/>
  <c r="U13" i="36"/>
  <c r="G10" i="65"/>
  <c r="G9" i="65"/>
  <c r="G15" i="65"/>
  <c r="G12" i="74"/>
  <c r="G22" i="65"/>
  <c r="G26" i="65"/>
  <c r="V38" i="35"/>
  <c r="V12" i="74"/>
  <c r="F30" i="48"/>
  <c r="G30" i="48"/>
  <c r="W12" i="74"/>
  <c r="S30" i="63"/>
  <c r="S12" i="63"/>
  <c r="R30" i="63"/>
  <c r="R12" i="63"/>
  <c r="W31" i="63"/>
  <c r="W13" i="63"/>
  <c r="Y15" i="79"/>
  <c r="Y16" i="79"/>
  <c r="Y8" i="79"/>
  <c r="Y11" i="79"/>
  <c r="Q12" i="63"/>
  <c r="Q30" i="63"/>
  <c r="O12" i="63"/>
  <c r="O30" i="63"/>
  <c r="V17" i="36"/>
  <c r="V31" i="36"/>
  <c r="V5" i="36"/>
  <c r="V13" i="63"/>
  <c r="V31" i="63"/>
  <c r="F13" i="63"/>
  <c r="F31" i="63"/>
  <c r="V21" i="63"/>
  <c r="P12" i="63"/>
  <c r="P30" i="63"/>
  <c r="G13" i="63"/>
  <c r="G31" i="63"/>
  <c r="V15" i="79"/>
  <c r="V16" i="79"/>
  <c r="V8" i="79"/>
  <c r="V11" i="79"/>
  <c r="V16" i="36"/>
  <c r="V13" i="36"/>
  <c r="R29" i="63"/>
  <c r="S29" i="63"/>
  <c r="G12" i="63"/>
  <c r="G30" i="63"/>
  <c r="V44" i="36"/>
  <c r="V30" i="36"/>
  <c r="O29" i="63"/>
  <c r="P29" i="63"/>
  <c r="F30" i="63"/>
  <c r="F12" i="63"/>
  <c r="Q29" i="63"/>
  <c r="V30" i="63"/>
  <c r="V12" i="63"/>
  <c r="W30" i="63"/>
  <c r="W12" i="63"/>
  <c r="G29" i="63"/>
  <c r="V29" i="36"/>
  <c r="W29" i="63"/>
  <c r="F29" i="63"/>
  <c r="V43" i="36"/>
  <c r="V29" i="63"/>
  <c r="V42" i="36"/>
  <c r="V39" i="36"/>
  <c r="AB41" i="63"/>
  <c r="AB44" i="63"/>
  <c r="AB46" i="63"/>
  <c r="AB47" i="63"/>
  <c r="AB48" i="63"/>
  <c r="AB49" i="63"/>
  <c r="AB57" i="63"/>
  <c r="AB11" i="67"/>
  <c r="AB25" i="67"/>
  <c r="AC11" i="67"/>
  <c r="AC25" i="67"/>
  <c r="AC5" i="59"/>
  <c r="AC73" i="63"/>
  <c r="AC9" i="59"/>
  <c r="AC75" i="63"/>
  <c r="AC13" i="59"/>
  <c r="AC76" i="63"/>
  <c r="AB5" i="59"/>
  <c r="AB73" i="63"/>
  <c r="AB9" i="59"/>
  <c r="AB75" i="63"/>
  <c r="H8" i="59"/>
  <c r="H10" i="20"/>
  <c r="H33" i="20"/>
  <c r="W11" i="59"/>
  <c r="W15" i="62"/>
  <c r="W16" i="62"/>
  <c r="W42" i="62"/>
  <c r="G12" i="59"/>
  <c r="H32" i="20"/>
  <c r="H34" i="20"/>
  <c r="H35" i="20"/>
  <c r="AC74" i="63"/>
  <c r="H80" i="63"/>
  <c r="AB74" i="63"/>
  <c r="H18" i="20"/>
  <c r="H21" i="20"/>
  <c r="H23" i="20"/>
  <c r="H24" i="20"/>
  <c r="H25" i="20"/>
  <c r="H26" i="20"/>
  <c r="H14" i="20"/>
  <c r="H13" i="20"/>
  <c r="H11" i="20"/>
  <c r="U11" i="59"/>
  <c r="U15" i="62"/>
  <c r="U16" i="62"/>
  <c r="U42" i="62"/>
  <c r="T11" i="59"/>
  <c r="T15" i="62"/>
  <c r="T16" i="62"/>
  <c r="T42" i="62"/>
  <c r="S11" i="59"/>
  <c r="S15" i="62"/>
  <c r="S16" i="62"/>
  <c r="S42" i="62"/>
  <c r="Q11" i="59"/>
  <c r="Q15" i="62"/>
  <c r="Q16" i="62"/>
  <c r="Q42" i="62"/>
  <c r="X11" i="59"/>
  <c r="X15" i="62"/>
  <c r="X16" i="62"/>
  <c r="X42" i="62"/>
  <c r="Y11" i="59"/>
  <c r="Y15" i="62"/>
  <c r="Y16" i="62"/>
  <c r="Y42" i="62"/>
  <c r="N37" i="52"/>
  <c r="C6" i="59"/>
  <c r="M67" i="63"/>
  <c r="P67" i="63"/>
  <c r="Q90" i="63"/>
  <c r="O67" i="63"/>
  <c r="K11" i="59"/>
  <c r="K15" i="62"/>
  <c r="K16" i="62"/>
  <c r="K42" i="62"/>
  <c r="L11" i="59"/>
  <c r="L15" i="62"/>
  <c r="L16" i="62"/>
  <c r="L42" i="62"/>
  <c r="M11" i="59"/>
  <c r="M15" i="62"/>
  <c r="M16" i="62"/>
  <c r="M42" i="62"/>
  <c r="O11" i="59"/>
  <c r="O15" i="62"/>
  <c r="O16" i="62"/>
  <c r="O42" i="62"/>
  <c r="P11" i="59"/>
  <c r="P15" i="62"/>
  <c r="P16" i="62"/>
  <c r="P42" i="62"/>
  <c r="H11" i="61"/>
  <c r="G27" i="20"/>
  <c r="H49" i="19"/>
  <c r="AB21" i="65"/>
  <c r="AB8" i="65"/>
  <c r="H63" i="19"/>
  <c r="H19" i="35"/>
  <c r="AB20" i="65"/>
  <c r="AB7" i="65"/>
  <c r="AB5" i="68"/>
  <c r="N11" i="52"/>
  <c r="AB15" i="68"/>
  <c r="H25" i="58"/>
  <c r="H65" i="19"/>
  <c r="H32" i="63"/>
  <c r="H69" i="19"/>
  <c r="H21" i="35"/>
  <c r="H24" i="58"/>
  <c r="H64" i="19"/>
  <c r="Z20" i="65"/>
  <c r="Z7" i="65"/>
  <c r="Y27" i="37"/>
  <c r="H18" i="35"/>
  <c r="AA13" i="78"/>
  <c r="K14" i="48"/>
  <c r="AB32" i="63"/>
  <c r="AB36" i="58"/>
  <c r="AB53" i="63"/>
  <c r="AB8" i="67"/>
  <c r="H20" i="58"/>
  <c r="H59" i="19"/>
  <c r="AC70" i="19"/>
  <c r="H55" i="19"/>
  <c r="AC57" i="19"/>
  <c r="H21" i="58"/>
  <c r="H60" i="19"/>
  <c r="Z6" i="78"/>
  <c r="Z5" i="78"/>
  <c r="AC55" i="19"/>
  <c r="H54" i="19"/>
  <c r="Z11" i="67"/>
  <c r="Z25" i="67"/>
  <c r="N25" i="52"/>
  <c r="AB12" i="61"/>
  <c r="AB6" i="79"/>
  <c r="AB63" i="19"/>
  <c r="AC63" i="19"/>
  <c r="AC20" i="35"/>
  <c r="AB14" i="60"/>
  <c r="H61" i="19"/>
  <c r="H22" i="58"/>
  <c r="Z13" i="78"/>
  <c r="Z12" i="78"/>
  <c r="J14" i="48"/>
  <c r="AC54" i="19"/>
  <c r="Z32" i="63"/>
  <c r="AA6" i="79"/>
  <c r="M25" i="52"/>
  <c r="AA12" i="61"/>
  <c r="H15" i="58"/>
  <c r="H52" i="19"/>
  <c r="AB37" i="58"/>
  <c r="AB56" i="63"/>
  <c r="AB35" i="58"/>
  <c r="AB50" i="63"/>
  <c r="AC56" i="19"/>
  <c r="Z21" i="65"/>
  <c r="Z8" i="65"/>
  <c r="Y28" i="37"/>
  <c r="AB10" i="67"/>
  <c r="AC13" i="78"/>
  <c r="AC12" i="78"/>
  <c r="M14" i="48"/>
  <c r="AC20" i="65"/>
  <c r="AC7" i="65"/>
  <c r="AC15" i="68"/>
  <c r="AC5" i="68"/>
  <c r="AC46" i="63"/>
  <c r="AC25" i="65"/>
  <c r="AC13" i="65"/>
  <c r="AC12" i="65"/>
  <c r="AC32" i="63"/>
  <c r="AC53" i="63"/>
  <c r="AC36" i="58"/>
  <c r="AC48" i="63"/>
  <c r="AC6" i="79"/>
  <c r="AC12" i="61"/>
  <c r="AC14" i="60"/>
  <c r="AC44" i="63"/>
  <c r="AC57" i="63"/>
  <c r="AC35" i="58"/>
  <c r="AC50" i="63"/>
  <c r="AC47" i="63"/>
  <c r="AC9" i="67"/>
  <c r="AC41" i="63"/>
  <c r="AC21" i="65"/>
  <c r="AC8" i="65"/>
  <c r="AC49" i="63"/>
  <c r="G36" i="20"/>
  <c r="G8" i="78"/>
  <c r="G7" i="78"/>
  <c r="G9" i="78"/>
  <c r="AB67" i="63"/>
  <c r="Y8" i="78"/>
  <c r="AC67" i="63"/>
  <c r="C7" i="59"/>
  <c r="C23" i="59"/>
  <c r="C8" i="63"/>
  <c r="V10" i="59"/>
  <c r="V17" i="62"/>
  <c r="U91" i="19"/>
  <c r="G8" i="20"/>
  <c r="H13" i="76"/>
  <c r="H13" i="41"/>
  <c r="Z9" i="59"/>
  <c r="Z75" i="63"/>
  <c r="H7" i="20"/>
  <c r="H9" i="59"/>
  <c r="H75" i="63"/>
  <c r="H8" i="62"/>
  <c r="H32" i="62"/>
  <c r="H27" i="19"/>
  <c r="AC77" i="63"/>
  <c r="AC64" i="63"/>
  <c r="Z67" i="63"/>
  <c r="H68" i="63"/>
  <c r="H7" i="62"/>
  <c r="AA10" i="59"/>
  <c r="AA11" i="59"/>
  <c r="AA15" i="62"/>
  <c r="Z91" i="19"/>
  <c r="AA17" i="62"/>
  <c r="H6" i="20"/>
  <c r="H6" i="59"/>
  <c r="H7" i="59"/>
  <c r="Z6" i="59"/>
  <c r="Z7" i="59"/>
  <c r="H9" i="76"/>
  <c r="H9" i="41"/>
  <c r="H32" i="41"/>
  <c r="AB64" i="63"/>
  <c r="S15" i="41"/>
  <c r="T15" i="76"/>
  <c r="S34" i="41"/>
  <c r="S40" i="41"/>
  <c r="N17" i="51"/>
  <c r="E16" i="51"/>
  <c r="J17" i="51"/>
  <c r="E17" i="51"/>
  <c r="G6" i="20"/>
  <c r="G6" i="59"/>
  <c r="G7" i="59"/>
  <c r="V6" i="59"/>
  <c r="V7" i="59"/>
  <c r="U64" i="63"/>
  <c r="E17" i="48"/>
  <c r="Q64" i="63"/>
  <c r="H19" i="20"/>
  <c r="AB63" i="63"/>
  <c r="Z5" i="59"/>
  <c r="Z73" i="63"/>
  <c r="H5" i="20"/>
  <c r="H5" i="59"/>
  <c r="H73" i="63"/>
  <c r="H8" i="76"/>
  <c r="H8" i="41"/>
  <c r="H31" i="41"/>
  <c r="AC63" i="63"/>
  <c r="AB10" i="59"/>
  <c r="AB70" i="63"/>
  <c r="AB17" i="62"/>
  <c r="U17" i="51"/>
  <c r="F69" i="63"/>
  <c r="R74" i="63"/>
  <c r="R72" i="63"/>
  <c r="R71" i="63"/>
  <c r="R67" i="63"/>
  <c r="I17" i="48"/>
  <c r="Y64" i="63"/>
  <c r="F12" i="59"/>
  <c r="F11" i="59"/>
  <c r="R11" i="59"/>
  <c r="R15" i="62"/>
  <c r="M37" i="52"/>
  <c r="M43" i="52"/>
  <c r="Z74" i="63"/>
  <c r="H69" i="63"/>
  <c r="H74" i="63"/>
  <c r="H10" i="76"/>
  <c r="H10" i="41"/>
  <c r="H33" i="41"/>
  <c r="H20" i="20"/>
  <c r="AB62" i="63"/>
  <c r="H7" i="76"/>
  <c r="H30" i="41"/>
  <c r="H7" i="41"/>
  <c r="AC62" i="63"/>
  <c r="AC6" i="59"/>
  <c r="AC7" i="59"/>
  <c r="H6" i="76"/>
  <c r="H29" i="41"/>
  <c r="H6" i="41"/>
  <c r="W8" i="78"/>
  <c r="G19" i="48"/>
  <c r="C15" i="76"/>
  <c r="C8" i="68"/>
  <c r="C15" i="41"/>
  <c r="C34" i="41"/>
  <c r="L17" i="51"/>
  <c r="P90" i="63"/>
  <c r="O90" i="63"/>
  <c r="T64" i="63"/>
  <c r="D17" i="48"/>
  <c r="P64" i="63"/>
  <c r="N43" i="52"/>
  <c r="T37" i="52"/>
  <c r="H31" i="20"/>
  <c r="L37" i="52"/>
  <c r="L43" i="52"/>
  <c r="H15" i="20"/>
  <c r="AA5" i="59"/>
  <c r="Z17" i="51"/>
  <c r="Z15" i="51"/>
  <c r="H16" i="51"/>
  <c r="Y15" i="51"/>
  <c r="AB16" i="51"/>
  <c r="AB6" i="59"/>
  <c r="AB7" i="59"/>
  <c r="AC72" i="63"/>
  <c r="D17" i="51"/>
  <c r="D15" i="51"/>
  <c r="C17" i="51"/>
  <c r="C15" i="51"/>
  <c r="H17" i="48"/>
  <c r="X64" i="63"/>
  <c r="H25" i="36"/>
  <c r="H53" i="36"/>
  <c r="Y25" i="36"/>
  <c r="Y53" i="36"/>
  <c r="H10" i="62"/>
  <c r="AB72" i="63"/>
  <c r="F19" i="20"/>
  <c r="E19" i="20"/>
  <c r="D15" i="76"/>
  <c r="D8" i="68"/>
  <c r="D34" i="41"/>
  <c r="D40" i="41"/>
  <c r="D15" i="41"/>
  <c r="E12" i="59"/>
  <c r="E11" i="59"/>
  <c r="N11" i="59"/>
  <c r="N15" i="62"/>
  <c r="N90" i="63"/>
  <c r="M90" i="63"/>
  <c r="S64" i="63"/>
  <c r="C17" i="48"/>
  <c r="O64" i="63"/>
  <c r="AB77" i="63"/>
  <c r="H19" i="59"/>
  <c r="H9" i="62"/>
  <c r="AB13" i="59"/>
  <c r="AB76" i="63"/>
  <c r="P17" i="51"/>
  <c r="P15" i="51"/>
  <c r="W64" i="63"/>
  <c r="G17" i="48"/>
  <c r="H14" i="76"/>
  <c r="H22" i="20"/>
  <c r="H14" i="41"/>
  <c r="AB5" i="58"/>
  <c r="L12" i="48"/>
  <c r="H27" i="20"/>
  <c r="H12" i="59"/>
  <c r="F19" i="48"/>
  <c r="V8" i="78"/>
  <c r="V7" i="78"/>
  <c r="V9" i="78"/>
  <c r="AB15" i="78"/>
  <c r="AC15" i="78"/>
  <c r="N10" i="52"/>
  <c r="AB54" i="19"/>
  <c r="AB55" i="19"/>
  <c r="H5" i="60"/>
  <c r="AB25" i="35"/>
  <c r="AB21" i="35"/>
  <c r="AC21" i="35"/>
  <c r="AA57" i="63"/>
  <c r="AC61" i="19"/>
  <c r="AB61" i="19"/>
  <c r="Z44" i="63"/>
  <c r="H8" i="58"/>
  <c r="H44" i="63"/>
  <c r="AB19" i="35"/>
  <c r="AC19" i="35"/>
  <c r="AB32" i="36"/>
  <c r="AC32" i="36"/>
  <c r="AA46" i="63"/>
  <c r="M11" i="52"/>
  <c r="R11" i="52"/>
  <c r="Y101" i="19"/>
  <c r="H101" i="19"/>
  <c r="H46" i="19"/>
  <c r="H29" i="58"/>
  <c r="Z56" i="63"/>
  <c r="Z37" i="58"/>
  <c r="AA11" i="67"/>
  <c r="N20" i="52"/>
  <c r="AA41" i="63"/>
  <c r="AB52" i="19"/>
  <c r="AC52" i="19"/>
  <c r="AA37" i="58"/>
  <c r="AA56" i="63"/>
  <c r="AC45" i="36"/>
  <c r="AB45" i="36"/>
  <c r="AA20" i="65"/>
  <c r="Z46" i="63"/>
  <c r="H9" i="58"/>
  <c r="H46" i="63"/>
  <c r="AB12" i="35"/>
  <c r="AC12" i="35"/>
  <c r="AA21" i="65"/>
  <c r="AA9" i="67"/>
  <c r="M14" i="52"/>
  <c r="Z104" i="19"/>
  <c r="AC104" i="19"/>
  <c r="AC50" i="19"/>
  <c r="AB50" i="19"/>
  <c r="AA14" i="79"/>
  <c r="AA5" i="79"/>
  <c r="AB48" i="19"/>
  <c r="Z103" i="19"/>
  <c r="AC48" i="19"/>
  <c r="H44" i="19"/>
  <c r="Y96" i="19"/>
  <c r="AA8" i="67"/>
  <c r="AA38" i="62"/>
  <c r="M17" i="52"/>
  <c r="AA5" i="61"/>
  <c r="Z30" i="37"/>
  <c r="AC30" i="37"/>
  <c r="Z9" i="37"/>
  <c r="Z19" i="37"/>
  <c r="AC19" i="37"/>
  <c r="AC10" i="37"/>
  <c r="Z37" i="41"/>
  <c r="AC38" i="41"/>
  <c r="AC9" i="35"/>
  <c r="AB9" i="35"/>
  <c r="AA6" i="66"/>
  <c r="Z21" i="37"/>
  <c r="AC21" i="37"/>
  <c r="Z32" i="37"/>
  <c r="AC32" i="37"/>
  <c r="AC12" i="37"/>
  <c r="T11" i="52"/>
  <c r="Z28" i="37"/>
  <c r="AB8" i="37"/>
  <c r="AC8" i="37"/>
  <c r="Y17" i="37"/>
  <c r="Y5" i="37"/>
  <c r="Y13" i="35"/>
  <c r="H13" i="35"/>
  <c r="H21" i="65"/>
  <c r="H8" i="65"/>
  <c r="H28" i="37"/>
  <c r="Z35" i="35"/>
  <c r="AC35" i="35"/>
  <c r="AC58" i="19"/>
  <c r="Z75" i="19"/>
  <c r="AB58" i="19"/>
  <c r="AB8" i="35"/>
  <c r="AC8" i="35"/>
  <c r="AA44" i="63"/>
  <c r="N12" i="52"/>
  <c r="T10" i="52"/>
  <c r="AA48" i="63"/>
  <c r="AB14" i="79"/>
  <c r="AB5" i="79"/>
  <c r="Z41" i="63"/>
  <c r="H7" i="58"/>
  <c r="H41" i="63"/>
  <c r="AA32" i="63"/>
  <c r="AA15" i="68"/>
  <c r="AB5" i="61"/>
  <c r="AB38" i="62"/>
  <c r="AB37" i="62"/>
  <c r="N17" i="52"/>
  <c r="Z5" i="37"/>
  <c r="Z17" i="37"/>
  <c r="AC6" i="37"/>
  <c r="AB6" i="37"/>
  <c r="AA12" i="78"/>
  <c r="AA10" i="67"/>
  <c r="L20" i="52"/>
  <c r="H48" i="19"/>
  <c r="Y103" i="19"/>
  <c r="H103" i="19"/>
  <c r="L25" i="52"/>
  <c r="Z6" i="79"/>
  <c r="Z12" i="61"/>
  <c r="H20" i="65"/>
  <c r="H7" i="65"/>
  <c r="H27" i="37"/>
  <c r="K12" i="48"/>
  <c r="Z102" i="19"/>
  <c r="AC47" i="19"/>
  <c r="AB47" i="19"/>
  <c r="AA35" i="58"/>
  <c r="AA50" i="63"/>
  <c r="M10" i="52"/>
  <c r="M12" i="52"/>
  <c r="AB45" i="19"/>
  <c r="AC45" i="19"/>
  <c r="Z99" i="19"/>
  <c r="L17" i="52"/>
  <c r="Z38" i="62"/>
  <c r="Z37" i="62"/>
  <c r="Z5" i="61"/>
  <c r="AB19" i="60"/>
  <c r="AC25" i="35"/>
  <c r="Z76" i="19"/>
  <c r="AC76" i="19"/>
  <c r="Z36" i="35"/>
  <c r="AC62" i="19"/>
  <c r="AB62" i="19"/>
  <c r="Z34" i="35"/>
  <c r="AC34" i="35"/>
  <c r="Z74" i="19"/>
  <c r="AC74" i="19"/>
  <c r="AC51" i="19"/>
  <c r="AA19" i="65"/>
  <c r="AA6" i="61"/>
  <c r="Z6" i="66"/>
  <c r="Z5" i="66"/>
  <c r="Z13" i="66"/>
  <c r="H11" i="58"/>
  <c r="H48" i="63"/>
  <c r="AC5" i="35"/>
  <c r="AB5" i="35"/>
  <c r="Z13" i="35"/>
  <c r="Z25" i="65"/>
  <c r="Z13" i="65"/>
  <c r="Z12" i="65"/>
  <c r="L21" i="52"/>
  <c r="H6" i="79"/>
  <c r="H12" i="61"/>
  <c r="H25" i="65"/>
  <c r="H13" i="65"/>
  <c r="H12" i="65"/>
  <c r="AA47" i="63"/>
  <c r="AB64" i="19"/>
  <c r="AC64" i="19"/>
  <c r="Y102" i="19"/>
  <c r="H102" i="19"/>
  <c r="H47" i="19"/>
  <c r="AA14" i="60"/>
  <c r="AC6" i="35"/>
  <c r="AB6" i="35"/>
  <c r="R25" i="52"/>
  <c r="T25" i="52"/>
  <c r="AA36" i="58"/>
  <c r="AA53" i="63"/>
  <c r="Z22" i="37"/>
  <c r="Z33" i="37"/>
  <c r="AB13" i="37"/>
  <c r="AC13" i="37"/>
  <c r="AA34" i="58"/>
  <c r="AA17" i="58"/>
  <c r="M20" i="52"/>
  <c r="Z9" i="67"/>
  <c r="AA49" i="63"/>
  <c r="AB34" i="58"/>
  <c r="AB17" i="58"/>
  <c r="AB13" i="78"/>
  <c r="AB12" i="78"/>
  <c r="L14" i="48"/>
  <c r="Z19" i="65"/>
  <c r="Z6" i="61"/>
  <c r="Y33" i="37"/>
  <c r="Y22" i="37"/>
  <c r="H50" i="19"/>
  <c r="Y104" i="19"/>
  <c r="H11" i="67"/>
  <c r="H25" i="67"/>
  <c r="AB9" i="67"/>
  <c r="N14" i="52"/>
  <c r="Z36" i="58"/>
  <c r="H23" i="58"/>
  <c r="Z53" i="63"/>
  <c r="Z47" i="63"/>
  <c r="H10" i="58"/>
  <c r="H47" i="63"/>
  <c r="Z16" i="35"/>
  <c r="AC17" i="35"/>
  <c r="AB17" i="35"/>
  <c r="Z20" i="37"/>
  <c r="AB11" i="37"/>
  <c r="Z31" i="37"/>
  <c r="AC11" i="37"/>
  <c r="AA25" i="65"/>
  <c r="M21" i="52"/>
  <c r="AB18" i="35"/>
  <c r="AC18" i="35"/>
  <c r="AA5" i="68"/>
  <c r="AB7" i="37"/>
  <c r="AC7" i="37"/>
  <c r="Z27" i="37"/>
  <c r="Y35" i="35"/>
  <c r="H58" i="19"/>
  <c r="Y75" i="19"/>
  <c r="H9" i="67"/>
  <c r="H5" i="61"/>
  <c r="H38" i="62"/>
  <c r="H37" i="62"/>
  <c r="AC49" i="19"/>
  <c r="AB49" i="19"/>
  <c r="AB19" i="65"/>
  <c r="AB6" i="61"/>
  <c r="Z57" i="63"/>
  <c r="H13" i="58"/>
  <c r="H57" i="63"/>
  <c r="Z15" i="68"/>
  <c r="Y37" i="41"/>
  <c r="Z5" i="68"/>
  <c r="L11" i="52"/>
  <c r="Y18" i="41"/>
  <c r="AB7" i="67"/>
  <c r="AB33" i="58"/>
  <c r="AC69" i="19"/>
  <c r="AB69" i="19"/>
  <c r="Y76" i="19"/>
  <c r="AB76" i="19"/>
  <c r="Y36" i="35"/>
  <c r="H62" i="19"/>
  <c r="Y99" i="19"/>
  <c r="H99" i="19"/>
  <c r="H45" i="19"/>
  <c r="AB59" i="19"/>
  <c r="AC59" i="19"/>
  <c r="AC7" i="35"/>
  <c r="AB7" i="35"/>
  <c r="Z101" i="19"/>
  <c r="AC46" i="19"/>
  <c r="AB46" i="19"/>
  <c r="Z18" i="41"/>
  <c r="AC19" i="41"/>
  <c r="AB25" i="65"/>
  <c r="AB13" i="65"/>
  <c r="AB12" i="65"/>
  <c r="N21" i="52"/>
  <c r="Y26" i="37"/>
  <c r="Z35" i="58"/>
  <c r="H19" i="58"/>
  <c r="Z50" i="63"/>
  <c r="AB10" i="35"/>
  <c r="AC10" i="35"/>
  <c r="AB60" i="19"/>
  <c r="AC60" i="19"/>
  <c r="AB6" i="66"/>
  <c r="AB5" i="66"/>
  <c r="AB13" i="66"/>
  <c r="Z96" i="19"/>
  <c r="AC96" i="19"/>
  <c r="AC44" i="19"/>
  <c r="AB44" i="19"/>
  <c r="Z49" i="63"/>
  <c r="H12" i="58"/>
  <c r="H49" i="63"/>
  <c r="AB56" i="19"/>
  <c r="H56" i="19"/>
  <c r="AC5" i="58"/>
  <c r="AC56" i="63"/>
  <c r="AC37" i="58"/>
  <c r="AC6" i="66"/>
  <c r="AC5" i="66"/>
  <c r="AC13" i="66"/>
  <c r="AC5" i="61"/>
  <c r="AC38" i="62"/>
  <c r="AC37" i="62"/>
  <c r="AC19" i="60"/>
  <c r="AC19" i="65"/>
  <c r="AC6" i="61"/>
  <c r="AC8" i="67"/>
  <c r="AC34" i="58"/>
  <c r="AC17" i="58"/>
  <c r="AC14" i="79"/>
  <c r="AC5" i="79"/>
  <c r="AC10" i="67"/>
  <c r="AC71" i="63"/>
  <c r="AC90" i="63"/>
  <c r="AC87" i="63"/>
  <c r="X87" i="63"/>
  <c r="AB11" i="59"/>
  <c r="AB15" i="62"/>
  <c r="AB16" i="62"/>
  <c r="AB42" i="62"/>
  <c r="Z8" i="78"/>
  <c r="Z7" i="78"/>
  <c r="Z9" i="78"/>
  <c r="K42" i="52"/>
  <c r="K41" i="52"/>
  <c r="I19" i="48"/>
  <c r="Y87" i="63"/>
  <c r="U15" i="51"/>
  <c r="L17" i="48"/>
  <c r="T87" i="63"/>
  <c r="H72" i="63"/>
  <c r="G39" i="20"/>
  <c r="Q87" i="63"/>
  <c r="AC11" i="76"/>
  <c r="AC15" i="76"/>
  <c r="M18" i="48"/>
  <c r="K17" i="51"/>
  <c r="K15" i="51"/>
  <c r="AB8" i="78"/>
  <c r="L19" i="48"/>
  <c r="N42" i="52"/>
  <c r="AA62" i="63"/>
  <c r="Z85" i="19"/>
  <c r="AB9" i="19"/>
  <c r="AC9" i="19"/>
  <c r="Z39" i="19"/>
  <c r="AC7" i="41"/>
  <c r="AB7" i="41"/>
  <c r="N83" i="19"/>
  <c r="N5" i="19"/>
  <c r="N15" i="19"/>
  <c r="N17" i="19"/>
  <c r="E22" i="41"/>
  <c r="D21" i="41"/>
  <c r="F5" i="41"/>
  <c r="Q15" i="41"/>
  <c r="AB15" i="51"/>
  <c r="R43" i="52"/>
  <c r="T43" i="52"/>
  <c r="S83" i="19"/>
  <c r="S5" i="19"/>
  <c r="S15" i="19"/>
  <c r="S17" i="19"/>
  <c r="AA64" i="63"/>
  <c r="AA9" i="59"/>
  <c r="H5" i="76"/>
  <c r="AB13" i="41"/>
  <c r="AC13" i="41"/>
  <c r="D64" i="63"/>
  <c r="D14" i="59"/>
  <c r="D23" i="59"/>
  <c r="D8" i="63"/>
  <c r="H17" i="59"/>
  <c r="H64" i="63"/>
  <c r="Z64" i="63"/>
  <c r="Z87" i="63"/>
  <c r="Y5" i="19"/>
  <c r="H6" i="19"/>
  <c r="Y81" i="19"/>
  <c r="H81" i="19"/>
  <c r="E8" i="62"/>
  <c r="E5" i="62"/>
  <c r="U113" i="19"/>
  <c r="V113" i="19"/>
  <c r="E41" i="41"/>
  <c r="J41" i="41"/>
  <c r="J39" i="41"/>
  <c r="J42" i="41"/>
  <c r="J44" i="41"/>
  <c r="F5" i="76"/>
  <c r="R15" i="76"/>
  <c r="Z77" i="63"/>
  <c r="H21" i="59"/>
  <c r="H77" i="63"/>
  <c r="W83" i="19"/>
  <c r="W5" i="19"/>
  <c r="W15" i="19"/>
  <c r="W17" i="19"/>
  <c r="AA73" i="63"/>
  <c r="AC10" i="41"/>
  <c r="AB10" i="41"/>
  <c r="D18" i="48"/>
  <c r="T8" i="68"/>
  <c r="H16" i="19"/>
  <c r="Y26" i="19"/>
  <c r="H7" i="19"/>
  <c r="Y82" i="19"/>
  <c r="H82" i="19"/>
  <c r="H12" i="76"/>
  <c r="Z11" i="76"/>
  <c r="H11" i="76"/>
  <c r="U83" i="19"/>
  <c r="U5" i="19"/>
  <c r="G8" i="19"/>
  <c r="Y83" i="19"/>
  <c r="H8" i="19"/>
  <c r="H6" i="62"/>
  <c r="F8" i="62"/>
  <c r="F5" i="62"/>
  <c r="V83" i="19"/>
  <c r="V5" i="19"/>
  <c r="V15" i="19"/>
  <c r="V17" i="19"/>
  <c r="AC31" i="62"/>
  <c r="AC30" i="62"/>
  <c r="AC79" i="63"/>
  <c r="R83" i="19"/>
  <c r="R5" i="19"/>
  <c r="R15" i="19"/>
  <c r="R17" i="19"/>
  <c r="E9" i="68"/>
  <c r="E20" i="68"/>
  <c r="D19" i="68"/>
  <c r="K9" i="68"/>
  <c r="Z15" i="78"/>
  <c r="U87" i="63"/>
  <c r="W7" i="78"/>
  <c r="W9" i="78"/>
  <c r="X7" i="78"/>
  <c r="X9" i="78"/>
  <c r="AA6" i="59"/>
  <c r="AB33" i="41"/>
  <c r="AC33" i="41"/>
  <c r="X83" i="19"/>
  <c r="X5" i="19"/>
  <c r="X15" i="19"/>
  <c r="X17" i="19"/>
  <c r="M64" i="63"/>
  <c r="M14" i="59"/>
  <c r="M23" i="59"/>
  <c r="M8" i="63"/>
  <c r="T83" i="19"/>
  <c r="T5" i="19"/>
  <c r="T15" i="19"/>
  <c r="T17" i="19"/>
  <c r="S21" i="41"/>
  <c r="S20" i="41"/>
  <c r="S23" i="41"/>
  <c r="S25" i="41"/>
  <c r="T22" i="41"/>
  <c r="T20" i="41"/>
  <c r="T23" i="41"/>
  <c r="T25" i="41"/>
  <c r="AC10" i="59"/>
  <c r="AC70" i="63"/>
  <c r="AC17" i="62"/>
  <c r="Z79" i="63"/>
  <c r="H22" i="59"/>
  <c r="Z31" i="62"/>
  <c r="Z30" i="62"/>
  <c r="H16" i="59"/>
  <c r="H63" i="63"/>
  <c r="Z63" i="63"/>
  <c r="H12" i="41"/>
  <c r="Y11" i="41"/>
  <c r="H11" i="41"/>
  <c r="G17" i="59"/>
  <c r="G64" i="63"/>
  <c r="V64" i="63"/>
  <c r="H15" i="59"/>
  <c r="H62" i="63"/>
  <c r="Z62" i="63"/>
  <c r="F17" i="59"/>
  <c r="F64" i="63"/>
  <c r="R64" i="63"/>
  <c r="V70" i="63"/>
  <c r="V11" i="59"/>
  <c r="V15" i="62"/>
  <c r="G15" i="62"/>
  <c r="Z17" i="62"/>
  <c r="H8" i="20"/>
  <c r="Y91" i="19"/>
  <c r="AB91" i="19"/>
  <c r="Z10" i="59"/>
  <c r="AC29" i="41"/>
  <c r="AB29" i="41"/>
  <c r="J83" i="19"/>
  <c r="J5" i="19"/>
  <c r="J15" i="19"/>
  <c r="J17" i="19"/>
  <c r="F28" i="41"/>
  <c r="F34" i="41"/>
  <c r="F40" i="41"/>
  <c r="G41" i="41"/>
  <c r="G39" i="41"/>
  <c r="G42" i="41"/>
  <c r="G44" i="41"/>
  <c r="Q34" i="41"/>
  <c r="Q40" i="41"/>
  <c r="L64" i="63"/>
  <c r="L14" i="59"/>
  <c r="L23" i="59"/>
  <c r="L8" i="63"/>
  <c r="AC16" i="19"/>
  <c r="Z26" i="19"/>
  <c r="AB16" i="19"/>
  <c r="R16" i="62"/>
  <c r="R42" i="62"/>
  <c r="F15" i="62"/>
  <c r="F16" i="62"/>
  <c r="F42" i="62"/>
  <c r="AA67" i="63"/>
  <c r="AA90" i="63"/>
  <c r="G8" i="62"/>
  <c r="Z82" i="19"/>
  <c r="AC7" i="19"/>
  <c r="AB7" i="19"/>
  <c r="Q83" i="19"/>
  <c r="F8" i="19"/>
  <c r="Q5" i="19"/>
  <c r="C17" i="63"/>
  <c r="C16" i="63"/>
  <c r="C18" i="63"/>
  <c r="C10" i="74"/>
  <c r="C24" i="63"/>
  <c r="C7" i="63"/>
  <c r="C9" i="63"/>
  <c r="C9" i="74"/>
  <c r="AC6" i="41"/>
  <c r="AB6" i="41"/>
  <c r="Y39" i="19"/>
  <c r="H39" i="19"/>
  <c r="Y85" i="19"/>
  <c r="H9" i="19"/>
  <c r="AC8" i="41"/>
  <c r="AB8" i="41"/>
  <c r="AB28" i="41"/>
  <c r="Z34" i="41"/>
  <c r="AC28" i="41"/>
  <c r="K83" i="19"/>
  <c r="K5" i="19"/>
  <c r="K15" i="19"/>
  <c r="K17" i="19"/>
  <c r="C41" i="41"/>
  <c r="C40" i="41"/>
  <c r="AA31" i="62"/>
  <c r="AA79" i="63"/>
  <c r="L83" i="19"/>
  <c r="L5" i="19"/>
  <c r="L15" i="19"/>
  <c r="L17" i="19"/>
  <c r="AC91" i="19"/>
  <c r="H67" i="63"/>
  <c r="AC38" i="36"/>
  <c r="Z53" i="36"/>
  <c r="AB38" i="36"/>
  <c r="K64" i="63"/>
  <c r="K14" i="59"/>
  <c r="K23" i="59"/>
  <c r="K8" i="63"/>
  <c r="E5" i="76"/>
  <c r="N15" i="76"/>
  <c r="AB71" i="63"/>
  <c r="AC31" i="41"/>
  <c r="AB31" i="41"/>
  <c r="AB17" i="51"/>
  <c r="O83" i="19"/>
  <c r="O5" i="19"/>
  <c r="O15" i="19"/>
  <c r="O17" i="19"/>
  <c r="C21" i="41"/>
  <c r="C22" i="41"/>
  <c r="D22" i="41"/>
  <c r="S90" i="63"/>
  <c r="R90" i="63"/>
  <c r="AA16" i="62"/>
  <c r="AA42" i="62"/>
  <c r="H28" i="41"/>
  <c r="Y34" i="41"/>
  <c r="Z11" i="41"/>
  <c r="AC12" i="41"/>
  <c r="AB12" i="41"/>
  <c r="P83" i="19"/>
  <c r="P5" i="19"/>
  <c r="P15" i="19"/>
  <c r="P17" i="19"/>
  <c r="F17" i="51"/>
  <c r="F15" i="51"/>
  <c r="E15" i="51"/>
  <c r="AA70" i="63"/>
  <c r="Z90" i="63"/>
  <c r="AA63" i="63"/>
  <c r="AB79" i="63"/>
  <c r="AB31" i="62"/>
  <c r="AB30" i="62"/>
  <c r="AC12" i="36"/>
  <c r="AB12" i="36"/>
  <c r="Z25" i="36"/>
  <c r="AC6" i="19"/>
  <c r="Z81" i="19"/>
  <c r="Z5" i="19"/>
  <c r="AB6" i="19"/>
  <c r="E15" i="62"/>
  <c r="E16" i="62"/>
  <c r="E42" i="62"/>
  <c r="N16" i="62"/>
  <c r="N42" i="62"/>
  <c r="E28" i="41"/>
  <c r="E34" i="41"/>
  <c r="E40" i="41"/>
  <c r="M34" i="41"/>
  <c r="M40" i="41"/>
  <c r="Z13" i="59"/>
  <c r="Z76" i="63"/>
  <c r="H9" i="20"/>
  <c r="H13" i="59"/>
  <c r="H76" i="63"/>
  <c r="AB9" i="41"/>
  <c r="AC9" i="41"/>
  <c r="AC5" i="41"/>
  <c r="AB5" i="41"/>
  <c r="Z87" i="19"/>
  <c r="AB10" i="19"/>
  <c r="AC10" i="19"/>
  <c r="AA11" i="76"/>
  <c r="AA74" i="63"/>
  <c r="D83" i="19"/>
  <c r="D5" i="19"/>
  <c r="AB11" i="76"/>
  <c r="AB15" i="76"/>
  <c r="AB14" i="41"/>
  <c r="AC14" i="41"/>
  <c r="N64" i="63"/>
  <c r="O87" i="63"/>
  <c r="E17" i="59"/>
  <c r="N14" i="59"/>
  <c r="N23" i="59"/>
  <c r="N8" i="63"/>
  <c r="Y7" i="78"/>
  <c r="Y9" i="78"/>
  <c r="AA13" i="59"/>
  <c r="AC30" i="41"/>
  <c r="AB30" i="41"/>
  <c r="P87" i="63"/>
  <c r="E5" i="41"/>
  <c r="M15" i="41"/>
  <c r="Y87" i="19"/>
  <c r="H87" i="19"/>
  <c r="H10" i="19"/>
  <c r="AB32" i="41"/>
  <c r="AC32" i="41"/>
  <c r="R37" i="52"/>
  <c r="C9" i="68"/>
  <c r="C20" i="68"/>
  <c r="C19" i="68"/>
  <c r="D9" i="68"/>
  <c r="D20" i="68"/>
  <c r="AA77" i="63"/>
  <c r="F74" i="63"/>
  <c r="F72" i="63"/>
  <c r="F71" i="63"/>
  <c r="F67" i="63"/>
  <c r="Z83" i="19"/>
  <c r="AB8" i="19"/>
  <c r="AC8" i="19"/>
  <c r="AC27" i="19"/>
  <c r="AB27" i="19"/>
  <c r="Z72" i="63"/>
  <c r="H5" i="41"/>
  <c r="T41" i="41"/>
  <c r="T39" i="41"/>
  <c r="T42" i="41"/>
  <c r="T44" i="41"/>
  <c r="S39" i="41"/>
  <c r="S42" i="41"/>
  <c r="S44" i="41"/>
  <c r="D21" i="62"/>
  <c r="D26" i="62"/>
  <c r="D41" i="62"/>
  <c r="D40" i="62"/>
  <c r="D39" i="62"/>
  <c r="D43" i="62"/>
  <c r="D8" i="74"/>
  <c r="M5" i="19"/>
  <c r="E8" i="19"/>
  <c r="M83" i="19"/>
  <c r="G17" i="62"/>
  <c r="G91" i="19"/>
  <c r="G10" i="59"/>
  <c r="AC14" i="78"/>
  <c r="AC16" i="78"/>
  <c r="AB38" i="58"/>
  <c r="H15" i="78"/>
  <c r="AB35" i="35"/>
  <c r="M15" i="52"/>
  <c r="M18" i="52"/>
  <c r="M23" i="52"/>
  <c r="M26" i="52"/>
  <c r="AC13" i="61"/>
  <c r="AB23" i="65"/>
  <c r="AB6" i="63"/>
  <c r="AB7" i="64"/>
  <c r="H31" i="37"/>
  <c r="H20" i="37"/>
  <c r="T21" i="52"/>
  <c r="R21" i="52"/>
  <c r="AC31" i="37"/>
  <c r="Z5" i="58"/>
  <c r="H6" i="58"/>
  <c r="AC33" i="37"/>
  <c r="AB33" i="37"/>
  <c r="AB24" i="65"/>
  <c r="AB11" i="65"/>
  <c r="AB8" i="64"/>
  <c r="AB5" i="64"/>
  <c r="AC37" i="41"/>
  <c r="AB37" i="41"/>
  <c r="AA8" i="65"/>
  <c r="H25" i="35"/>
  <c r="H18" i="41"/>
  <c r="H5" i="68"/>
  <c r="H37" i="41"/>
  <c r="H15" i="68"/>
  <c r="H51" i="19"/>
  <c r="Y34" i="35"/>
  <c r="AB34" i="35"/>
  <c r="Y74" i="19"/>
  <c r="AB74" i="19"/>
  <c r="H36" i="58"/>
  <c r="H53" i="63"/>
  <c r="Y42" i="19"/>
  <c r="H43" i="19"/>
  <c r="AC22" i="37"/>
  <c r="AB22" i="37"/>
  <c r="H14" i="79"/>
  <c r="H5" i="79"/>
  <c r="Z13" i="74"/>
  <c r="J8" i="48"/>
  <c r="Z13" i="61"/>
  <c r="AB17" i="37"/>
  <c r="AC17" i="37"/>
  <c r="AA37" i="62"/>
  <c r="AA25" i="67"/>
  <c r="Y20" i="37"/>
  <c r="AB20" i="37"/>
  <c r="Y31" i="37"/>
  <c r="AB31" i="37"/>
  <c r="AB19" i="41"/>
  <c r="AC20" i="37"/>
  <c r="AB104" i="19"/>
  <c r="H104" i="19"/>
  <c r="Z8" i="67"/>
  <c r="H18" i="58"/>
  <c r="H8" i="67"/>
  <c r="AC5" i="37"/>
  <c r="AB5" i="37"/>
  <c r="Z14" i="37"/>
  <c r="AC14" i="37"/>
  <c r="H13" i="78"/>
  <c r="H12" i="78"/>
  <c r="H6" i="78"/>
  <c r="H5" i="78"/>
  <c r="AA5" i="66"/>
  <c r="Z42" i="19"/>
  <c r="AC43" i="19"/>
  <c r="AB43" i="19"/>
  <c r="AB18" i="65"/>
  <c r="AB5" i="65"/>
  <c r="AB6" i="65"/>
  <c r="H35" i="35"/>
  <c r="H75" i="19"/>
  <c r="E13" i="52"/>
  <c r="D13" i="52"/>
  <c r="O14" i="52"/>
  <c r="R14" i="52"/>
  <c r="T14" i="52"/>
  <c r="AC36" i="35"/>
  <c r="AB36" i="35"/>
  <c r="AB57" i="19"/>
  <c r="H57" i="19"/>
  <c r="T17" i="52"/>
  <c r="R17" i="52"/>
  <c r="R10" i="52"/>
  <c r="AC75" i="19"/>
  <c r="AB75" i="19"/>
  <c r="AB28" i="37"/>
  <c r="AC28" i="37"/>
  <c r="H17" i="37"/>
  <c r="H5" i="37"/>
  <c r="AC18" i="41"/>
  <c r="AB18" i="41"/>
  <c r="AA5" i="58"/>
  <c r="H14" i="58"/>
  <c r="Z34" i="58"/>
  <c r="Z17" i="58"/>
  <c r="H33" i="37"/>
  <c r="H22" i="37"/>
  <c r="AB13" i="35"/>
  <c r="AC13" i="35"/>
  <c r="AA6" i="65"/>
  <c r="AA18" i="65"/>
  <c r="AC99" i="19"/>
  <c r="AB99" i="19"/>
  <c r="N15" i="52"/>
  <c r="E16" i="52"/>
  <c r="D16" i="52"/>
  <c r="R12" i="52"/>
  <c r="T12" i="52"/>
  <c r="Z18" i="37"/>
  <c r="Z23" i="37"/>
  <c r="AC23" i="37"/>
  <c r="Z29" i="37"/>
  <c r="AC9" i="37"/>
  <c r="AB96" i="19"/>
  <c r="H96" i="19"/>
  <c r="H56" i="63"/>
  <c r="H37" i="58"/>
  <c r="H6" i="66"/>
  <c r="H5" i="66"/>
  <c r="H13" i="66"/>
  <c r="H13" i="74"/>
  <c r="H50" i="63"/>
  <c r="H35" i="58"/>
  <c r="AB27" i="37"/>
  <c r="AC27" i="37"/>
  <c r="Z26" i="37"/>
  <c r="Z22" i="35"/>
  <c r="AC16" i="35"/>
  <c r="AA19" i="60"/>
  <c r="AB51" i="19"/>
  <c r="AB13" i="61"/>
  <c r="AA7" i="65"/>
  <c r="Y16" i="35"/>
  <c r="Y22" i="35"/>
  <c r="Y26" i="35"/>
  <c r="H26" i="35"/>
  <c r="Z14" i="60"/>
  <c r="Z19" i="60"/>
  <c r="H36" i="35"/>
  <c r="H76" i="19"/>
  <c r="AA13" i="65"/>
  <c r="Z14" i="79"/>
  <c r="Z5" i="79"/>
  <c r="AB65" i="19"/>
  <c r="AC65" i="19"/>
  <c r="AB38" i="41"/>
  <c r="H17" i="35"/>
  <c r="H6" i="61"/>
  <c r="H13" i="61"/>
  <c r="H19" i="65"/>
  <c r="L10" i="52"/>
  <c r="L12" i="52"/>
  <c r="AB13" i="74"/>
  <c r="L8" i="48"/>
  <c r="AC101" i="19"/>
  <c r="AB101" i="19"/>
  <c r="Z6" i="65"/>
  <c r="Z18" i="65"/>
  <c r="Z5" i="65"/>
  <c r="AC102" i="19"/>
  <c r="AB102" i="19"/>
  <c r="H26" i="37"/>
  <c r="AA13" i="61"/>
  <c r="AC103" i="19"/>
  <c r="AB103" i="19"/>
  <c r="R20" i="52"/>
  <c r="T20" i="52"/>
  <c r="M8" i="48"/>
  <c r="AC13" i="74"/>
  <c r="M12" i="48"/>
  <c r="AC6" i="65"/>
  <c r="AC18" i="65"/>
  <c r="AC5" i="65"/>
  <c r="AC24" i="65"/>
  <c r="AC11" i="65"/>
  <c r="AC8" i="64"/>
  <c r="AC5" i="64"/>
  <c r="AC7" i="67"/>
  <c r="AC33" i="58"/>
  <c r="AC38" i="58"/>
  <c r="AC11" i="59"/>
  <c r="AC15" i="62"/>
  <c r="AC16" i="62"/>
  <c r="AC42" i="62"/>
  <c r="J19" i="48"/>
  <c r="H36" i="20"/>
  <c r="H8" i="78"/>
  <c r="H7" i="78"/>
  <c r="H9" i="78"/>
  <c r="L42" i="52"/>
  <c r="AC8" i="68"/>
  <c r="AC19" i="68"/>
  <c r="X110" i="19"/>
  <c r="AB47" i="62"/>
  <c r="U110" i="19"/>
  <c r="W17" i="51"/>
  <c r="W15" i="51"/>
  <c r="AC16" i="51"/>
  <c r="W110" i="19"/>
  <c r="T17" i="51"/>
  <c r="T15" i="51"/>
  <c r="S15" i="51"/>
  <c r="G16" i="51"/>
  <c r="V17" i="51"/>
  <c r="H71" i="63"/>
  <c r="H87" i="63"/>
  <c r="C7" i="68"/>
  <c r="C10" i="68"/>
  <c r="C12" i="68"/>
  <c r="C16" i="74"/>
  <c r="S110" i="19"/>
  <c r="J15" i="51"/>
  <c r="Q110" i="19"/>
  <c r="AA15" i="76"/>
  <c r="L110" i="19"/>
  <c r="M17" i="51"/>
  <c r="M15" i="51"/>
  <c r="L15" i="51"/>
  <c r="L18" i="48"/>
  <c r="N40" i="52"/>
  <c r="AB8" i="68"/>
  <c r="K19" i="48"/>
  <c r="AA8" i="78"/>
  <c r="AA7" i="78"/>
  <c r="M42" i="52"/>
  <c r="R42" i="52"/>
  <c r="M15" i="19"/>
  <c r="E5" i="19"/>
  <c r="Z71" i="63"/>
  <c r="N8" i="68"/>
  <c r="E15" i="76"/>
  <c r="E8" i="68"/>
  <c r="Q15" i="19"/>
  <c r="F5" i="19"/>
  <c r="F17" i="48"/>
  <c r="G5" i="62"/>
  <c r="V87" i="63"/>
  <c r="W87" i="63"/>
  <c r="D7" i="68"/>
  <c r="D10" i="68"/>
  <c r="D12" i="68"/>
  <c r="D16" i="74"/>
  <c r="O17" i="51"/>
  <c r="O15" i="51"/>
  <c r="N15" i="51"/>
  <c r="Z15" i="76"/>
  <c r="T110" i="19"/>
  <c r="Z84" i="19"/>
  <c r="AC85" i="19"/>
  <c r="H39" i="20"/>
  <c r="AA15" i="78"/>
  <c r="AA14" i="78"/>
  <c r="D12" i="19"/>
  <c r="D15" i="19"/>
  <c r="D17" i="19"/>
  <c r="H90" i="63"/>
  <c r="AA7" i="59"/>
  <c r="K20" i="68"/>
  <c r="K18" i="68"/>
  <c r="K22" i="68"/>
  <c r="K7" i="68"/>
  <c r="K10" i="68"/>
  <c r="K12" i="68"/>
  <c r="K16" i="74"/>
  <c r="K17" i="48"/>
  <c r="D110" i="19"/>
  <c r="J110" i="19"/>
  <c r="D80" i="19"/>
  <c r="D107" i="19"/>
  <c r="AB87" i="19"/>
  <c r="AC87" i="19"/>
  <c r="AB5" i="19"/>
  <c r="Z15" i="19"/>
  <c r="AC5" i="19"/>
  <c r="K24" i="63"/>
  <c r="K34" i="63"/>
  <c r="K17" i="63"/>
  <c r="K7" i="63"/>
  <c r="K9" i="63"/>
  <c r="K9" i="74"/>
  <c r="AB85" i="19"/>
  <c r="H85" i="19"/>
  <c r="F83" i="19"/>
  <c r="R110" i="19"/>
  <c r="K110" i="19"/>
  <c r="G16" i="62"/>
  <c r="G42" i="62"/>
  <c r="AC47" i="62"/>
  <c r="M17" i="48"/>
  <c r="D18" i="68"/>
  <c r="D22" i="68"/>
  <c r="H83" i="19"/>
  <c r="Z110" i="19"/>
  <c r="U15" i="19"/>
  <c r="G5" i="19"/>
  <c r="Y25" i="19"/>
  <c r="H25" i="19"/>
  <c r="H26" i="19"/>
  <c r="AC18" i="74"/>
  <c r="M31" i="48"/>
  <c r="D24" i="63"/>
  <c r="D23" i="63"/>
  <c r="D7" i="63"/>
  <c r="D9" i="63"/>
  <c r="D9" i="74"/>
  <c r="D17" i="63"/>
  <c r="D16" i="63"/>
  <c r="D18" i="63"/>
  <c r="D10" i="74"/>
  <c r="O110" i="19"/>
  <c r="G70" i="63"/>
  <c r="G11" i="59"/>
  <c r="N24" i="63"/>
  <c r="N34" i="63"/>
  <c r="N17" i="63"/>
  <c r="N7" i="63"/>
  <c r="N9" i="63"/>
  <c r="N9" i="74"/>
  <c r="AB81" i="19"/>
  <c r="AC81" i="19"/>
  <c r="K87" i="63"/>
  <c r="L87" i="63"/>
  <c r="AC26" i="19"/>
  <c r="AB26" i="19"/>
  <c r="Z25" i="19"/>
  <c r="W91" i="63"/>
  <c r="V91" i="63"/>
  <c r="H79" i="63"/>
  <c r="H31" i="62"/>
  <c r="H30" i="62"/>
  <c r="M7" i="63"/>
  <c r="M9" i="63"/>
  <c r="M9" i="74"/>
  <c r="M24" i="63"/>
  <c r="M17" i="63"/>
  <c r="G83" i="19"/>
  <c r="V110" i="19"/>
  <c r="D87" i="63"/>
  <c r="D61" i="63"/>
  <c r="AA75" i="63"/>
  <c r="G113" i="19"/>
  <c r="C18" i="68"/>
  <c r="C22" i="68"/>
  <c r="E15" i="41"/>
  <c r="M21" i="41"/>
  <c r="M20" i="41"/>
  <c r="M23" i="41"/>
  <c r="M25" i="41"/>
  <c r="N22" i="41"/>
  <c r="N20" i="41"/>
  <c r="N23" i="41"/>
  <c r="N25" i="41"/>
  <c r="AA76" i="63"/>
  <c r="E64" i="63"/>
  <c r="F87" i="63"/>
  <c r="E14" i="59"/>
  <c r="E23" i="59"/>
  <c r="E8" i="63"/>
  <c r="N41" i="41"/>
  <c r="N39" i="41"/>
  <c r="N42" i="41"/>
  <c r="N44" i="41"/>
  <c r="M39" i="41"/>
  <c r="M42" i="41"/>
  <c r="M44" i="41"/>
  <c r="AB91" i="63"/>
  <c r="Z40" i="41"/>
  <c r="AB34" i="41"/>
  <c r="AC34" i="41"/>
  <c r="R87" i="63"/>
  <c r="S87" i="63"/>
  <c r="N87" i="63"/>
  <c r="V16" i="62"/>
  <c r="V42" i="62"/>
  <c r="U9" i="68"/>
  <c r="T19" i="68"/>
  <c r="T18" i="68"/>
  <c r="T22" i="68"/>
  <c r="T7" i="68"/>
  <c r="T10" i="68"/>
  <c r="T12" i="68"/>
  <c r="AC83" i="19"/>
  <c r="AB83" i="19"/>
  <c r="F41" i="41"/>
  <c r="F39" i="41"/>
  <c r="F42" i="41"/>
  <c r="F44" i="41"/>
  <c r="E39" i="41"/>
  <c r="E42" i="41"/>
  <c r="E44" i="41"/>
  <c r="AC25" i="36"/>
  <c r="AB25" i="36"/>
  <c r="Z15" i="41"/>
  <c r="AC11" i="41"/>
  <c r="AB11" i="41"/>
  <c r="C20" i="41"/>
  <c r="C23" i="41"/>
  <c r="C25" i="41"/>
  <c r="AC53" i="36"/>
  <c r="AB53" i="36"/>
  <c r="AC82" i="19"/>
  <c r="AB82" i="19"/>
  <c r="L17" i="63"/>
  <c r="L24" i="63"/>
  <c r="L7" i="63"/>
  <c r="L9" i="63"/>
  <c r="L9" i="74"/>
  <c r="Z70" i="63"/>
  <c r="Z11" i="59"/>
  <c r="Z15" i="62"/>
  <c r="H15" i="62"/>
  <c r="G87" i="63"/>
  <c r="H5" i="19"/>
  <c r="Y15" i="19"/>
  <c r="AB87" i="63"/>
  <c r="F15" i="41"/>
  <c r="Q21" i="41"/>
  <c r="Q20" i="41"/>
  <c r="Q23" i="41"/>
  <c r="Q25" i="41"/>
  <c r="R22" i="41"/>
  <c r="R20" i="41"/>
  <c r="R23" i="41"/>
  <c r="R25" i="41"/>
  <c r="AC39" i="19"/>
  <c r="AB39" i="19"/>
  <c r="Z37" i="19"/>
  <c r="T42" i="52"/>
  <c r="M110" i="19"/>
  <c r="N110" i="19"/>
  <c r="E83" i="19"/>
  <c r="Y15" i="41"/>
  <c r="F90" i="63"/>
  <c r="G90" i="63"/>
  <c r="Y40" i="41"/>
  <c r="H34" i="41"/>
  <c r="H40" i="41"/>
  <c r="H39" i="41"/>
  <c r="H42" i="41"/>
  <c r="H44" i="41"/>
  <c r="AA30" i="62"/>
  <c r="C34" i="63"/>
  <c r="C23" i="63"/>
  <c r="M87" i="63"/>
  <c r="Z113" i="19"/>
  <c r="Y113" i="19"/>
  <c r="AC91" i="63"/>
  <c r="Y110" i="19"/>
  <c r="Z14" i="78"/>
  <c r="Z16" i="78"/>
  <c r="AD9" i="68"/>
  <c r="AA72" i="63"/>
  <c r="R8" i="68"/>
  <c r="F15" i="76"/>
  <c r="F8" i="68"/>
  <c r="AA87" i="63"/>
  <c r="P110" i="19"/>
  <c r="M19" i="48"/>
  <c r="AC8" i="78"/>
  <c r="D41" i="41"/>
  <c r="D39" i="41"/>
  <c r="D42" i="41"/>
  <c r="D44" i="41"/>
  <c r="C39" i="41"/>
  <c r="C42" i="41"/>
  <c r="C44" i="41"/>
  <c r="AB90" i="63"/>
  <c r="R41" i="41"/>
  <c r="R39" i="41"/>
  <c r="R42" i="41"/>
  <c r="R44" i="41"/>
  <c r="Q39" i="41"/>
  <c r="Q42" i="41"/>
  <c r="Q44" i="41"/>
  <c r="H17" i="62"/>
  <c r="H91" i="19"/>
  <c r="H113" i="19"/>
  <c r="H10" i="59"/>
  <c r="H14" i="78"/>
  <c r="H16" i="78"/>
  <c r="H18" i="74"/>
  <c r="J17" i="48"/>
  <c r="H5" i="62"/>
  <c r="D20" i="41"/>
  <c r="D23" i="41"/>
  <c r="D25" i="41"/>
  <c r="H14" i="60"/>
  <c r="H19" i="60"/>
  <c r="E27" i="52"/>
  <c r="H18" i="65"/>
  <c r="H5" i="65"/>
  <c r="H6" i="65"/>
  <c r="AB20" i="35"/>
  <c r="H20" i="35"/>
  <c r="H16" i="35"/>
  <c r="H22" i="35"/>
  <c r="AB16" i="35"/>
  <c r="AA5" i="65"/>
  <c r="AB9" i="79"/>
  <c r="AB26" i="18"/>
  <c r="L13" i="48"/>
  <c r="AC29" i="37"/>
  <c r="H34" i="58"/>
  <c r="H17" i="58"/>
  <c r="Z73" i="19"/>
  <c r="Z33" i="35"/>
  <c r="AC42" i="19"/>
  <c r="AB42" i="19"/>
  <c r="Y27" i="35"/>
  <c r="Z26" i="35"/>
  <c r="AC22" i="35"/>
  <c r="AB22" i="35"/>
  <c r="AC18" i="37"/>
  <c r="Q14" i="52"/>
  <c r="S14" i="52"/>
  <c r="H34" i="35"/>
  <c r="H74" i="19"/>
  <c r="H8" i="64"/>
  <c r="H5" i="64"/>
  <c r="H24" i="65"/>
  <c r="H11" i="65"/>
  <c r="AA12" i="65"/>
  <c r="AC26" i="37"/>
  <c r="Z34" i="37"/>
  <c r="AC34" i="37"/>
  <c r="AB26" i="37"/>
  <c r="AA7" i="67"/>
  <c r="AA33" i="58"/>
  <c r="AA13" i="66"/>
  <c r="H30" i="58"/>
  <c r="N18" i="52"/>
  <c r="R15" i="52"/>
  <c r="T15" i="52"/>
  <c r="Y33" i="35"/>
  <c r="Y32" i="35"/>
  <c r="H42" i="19"/>
  <c r="Y73" i="19"/>
  <c r="Y77" i="19"/>
  <c r="Y6" i="36"/>
  <c r="Z7" i="67"/>
  <c r="Z33" i="58"/>
  <c r="Z38" i="58"/>
  <c r="H5" i="58"/>
  <c r="AB6" i="64"/>
  <c r="AB9" i="64"/>
  <c r="AB11" i="74"/>
  <c r="AA8" i="64"/>
  <c r="AA24" i="65"/>
  <c r="AB5" i="63"/>
  <c r="AB21" i="63"/>
  <c r="AB22" i="63"/>
  <c r="AB14" i="63"/>
  <c r="Z8" i="64"/>
  <c r="Z5" i="64"/>
  <c r="Z24" i="65"/>
  <c r="Z11" i="65"/>
  <c r="K13" i="48"/>
  <c r="AA9" i="79"/>
  <c r="AA26" i="18"/>
  <c r="AB22" i="65"/>
  <c r="AB26" i="65"/>
  <c r="E15" i="52"/>
  <c r="D15" i="52"/>
  <c r="AB10" i="65"/>
  <c r="AB9" i="65"/>
  <c r="AB15" i="65"/>
  <c r="AC23" i="65"/>
  <c r="AC7" i="64"/>
  <c r="AC6" i="64"/>
  <c r="AC9" i="64"/>
  <c r="AC11" i="74"/>
  <c r="AC6" i="63"/>
  <c r="F110" i="19"/>
  <c r="M40" i="52"/>
  <c r="M41" i="52"/>
  <c r="K18" i="48"/>
  <c r="V15" i="51"/>
  <c r="AC17" i="51"/>
  <c r="H17" i="51"/>
  <c r="H15" i="51"/>
  <c r="G15" i="51"/>
  <c r="H16" i="62"/>
  <c r="H42" i="62"/>
  <c r="AA8" i="68"/>
  <c r="AB9" i="68"/>
  <c r="F19" i="68"/>
  <c r="G9" i="68"/>
  <c r="AA16" i="78"/>
  <c r="Z22" i="41"/>
  <c r="H15" i="41"/>
  <c r="H21" i="41"/>
  <c r="H20" i="41"/>
  <c r="H23" i="41"/>
  <c r="H25" i="41"/>
  <c r="Y21" i="41"/>
  <c r="Y20" i="41"/>
  <c r="Y23" i="41"/>
  <c r="Y25" i="41"/>
  <c r="L23" i="63"/>
  <c r="M23" i="63"/>
  <c r="L34" i="63"/>
  <c r="F22" i="41"/>
  <c r="E21" i="41"/>
  <c r="E20" i="41"/>
  <c r="E23" i="41"/>
  <c r="E25" i="41"/>
  <c r="O9" i="68"/>
  <c r="N19" i="68"/>
  <c r="N18" i="68"/>
  <c r="N22" i="68"/>
  <c r="N7" i="68"/>
  <c r="N10" i="68"/>
  <c r="N12" i="68"/>
  <c r="N16" i="74"/>
  <c r="R19" i="68"/>
  <c r="R18" i="68"/>
  <c r="R22" i="68"/>
  <c r="S9" i="68"/>
  <c r="R7" i="68"/>
  <c r="R10" i="68"/>
  <c r="R12" i="68"/>
  <c r="R16" i="74"/>
  <c r="D33" i="63"/>
  <c r="D36" i="63"/>
  <c r="D26" i="63"/>
  <c r="AC15" i="41"/>
  <c r="Z21" i="41"/>
  <c r="AB15" i="41"/>
  <c r="G15" i="19"/>
  <c r="U17" i="19"/>
  <c r="G17" i="19"/>
  <c r="Y17" i="19"/>
  <c r="H17" i="19"/>
  <c r="H15" i="19"/>
  <c r="E7" i="63"/>
  <c r="E9" i="63"/>
  <c r="E9" i="74"/>
  <c r="E24" i="63"/>
  <c r="E34" i="63"/>
  <c r="E17" i="63"/>
  <c r="E16" i="63"/>
  <c r="E18" i="63"/>
  <c r="E10" i="74"/>
  <c r="H110" i="19"/>
  <c r="AB25" i="19"/>
  <c r="AC25" i="19"/>
  <c r="N16" i="63"/>
  <c r="N18" i="63"/>
  <c r="N10" i="74"/>
  <c r="AB110" i="19"/>
  <c r="AC110" i="19"/>
  <c r="Z16" i="62"/>
  <c r="Z42" i="62"/>
  <c r="AA71" i="63"/>
  <c r="M16" i="63"/>
  <c r="M18" i="63"/>
  <c r="M10" i="74"/>
  <c r="D34" i="63"/>
  <c r="K23" i="63"/>
  <c r="AC15" i="19"/>
  <c r="Z17" i="19"/>
  <c r="AB15" i="19"/>
  <c r="E15" i="19"/>
  <c r="M17" i="19"/>
  <c r="E17" i="19"/>
  <c r="D29" i="48"/>
  <c r="T16" i="74"/>
  <c r="M34" i="63"/>
  <c r="N23" i="63"/>
  <c r="L16" i="63"/>
  <c r="L18" i="63"/>
  <c r="L10" i="74"/>
  <c r="K16" i="63"/>
  <c r="K18" i="63"/>
  <c r="K10" i="74"/>
  <c r="AB14" i="78"/>
  <c r="AB16" i="78"/>
  <c r="AB113" i="19"/>
  <c r="Z41" i="41"/>
  <c r="Z39" i="41"/>
  <c r="Y39" i="41"/>
  <c r="Y42" i="41"/>
  <c r="Y44" i="41"/>
  <c r="AB40" i="41"/>
  <c r="AC40" i="41"/>
  <c r="G91" i="63"/>
  <c r="AB19" i="68"/>
  <c r="AC9" i="68"/>
  <c r="H70" i="63"/>
  <c r="H11" i="59"/>
  <c r="AD20" i="68"/>
  <c r="Z91" i="63"/>
  <c r="AA91" i="63"/>
  <c r="U20" i="68"/>
  <c r="U18" i="68"/>
  <c r="U22" i="68"/>
  <c r="U7" i="68"/>
  <c r="U10" i="68"/>
  <c r="U12" i="68"/>
  <c r="D78" i="63"/>
  <c r="D81" i="63"/>
  <c r="D84" i="63"/>
  <c r="G110" i="19"/>
  <c r="F15" i="19"/>
  <c r="Q17" i="19"/>
  <c r="F17" i="19"/>
  <c r="AB7" i="78"/>
  <c r="N41" i="52"/>
  <c r="T41" i="52"/>
  <c r="T40" i="52"/>
  <c r="AC7" i="78"/>
  <c r="AC113" i="19"/>
  <c r="J31" i="48"/>
  <c r="Z18" i="74"/>
  <c r="C26" i="63"/>
  <c r="C33" i="63"/>
  <c r="C36" i="63"/>
  <c r="G22" i="41"/>
  <c r="G20" i="41"/>
  <c r="G23" i="41"/>
  <c r="G25" i="41"/>
  <c r="F21" i="41"/>
  <c r="J22" i="41"/>
  <c r="J20" i="41"/>
  <c r="J23" i="41"/>
  <c r="J25" i="41"/>
  <c r="E87" i="63"/>
  <c r="E110" i="19"/>
  <c r="Z8" i="68"/>
  <c r="J18" i="48"/>
  <c r="H15" i="76"/>
  <c r="H8" i="68"/>
  <c r="L40" i="52"/>
  <c r="L41" i="52"/>
  <c r="E7" i="68"/>
  <c r="E10" i="68"/>
  <c r="E12" i="68"/>
  <c r="E16" i="74"/>
  <c r="F9" i="68"/>
  <c r="F20" i="68"/>
  <c r="E19" i="68"/>
  <c r="E18" i="68"/>
  <c r="E22" i="68"/>
  <c r="J12" i="48"/>
  <c r="E19" i="52"/>
  <c r="D19" i="52"/>
  <c r="AA38" i="58"/>
  <c r="AA11" i="65"/>
  <c r="H33" i="58"/>
  <c r="H38" i="58"/>
  <c r="H7" i="67"/>
  <c r="N23" i="52"/>
  <c r="R18" i="52"/>
  <c r="T18" i="52"/>
  <c r="Z32" i="35"/>
  <c r="AC33" i="35"/>
  <c r="AB33" i="35"/>
  <c r="AB15" i="79"/>
  <c r="AB16" i="79"/>
  <c r="AB8" i="79"/>
  <c r="AB11" i="79"/>
  <c r="AA15" i="79"/>
  <c r="AA8" i="79"/>
  <c r="Z6" i="63"/>
  <c r="Z7" i="64"/>
  <c r="Z6" i="64"/>
  <c r="Z9" i="64"/>
  <c r="Z11" i="74"/>
  <c r="Z23" i="65"/>
  <c r="AB70" i="19"/>
  <c r="H70" i="19"/>
  <c r="Z77" i="19"/>
  <c r="AB73" i="19"/>
  <c r="AC73" i="19"/>
  <c r="AB6" i="78"/>
  <c r="AB5" i="78"/>
  <c r="AB9" i="78"/>
  <c r="AA5" i="64"/>
  <c r="Y30" i="37"/>
  <c r="AB30" i="37"/>
  <c r="Y19" i="37"/>
  <c r="AB19" i="37"/>
  <c r="Y9" i="37"/>
  <c r="AB10" i="37"/>
  <c r="AC26" i="35"/>
  <c r="AB26" i="35"/>
  <c r="Z27" i="35"/>
  <c r="Y5" i="36"/>
  <c r="Y17" i="36"/>
  <c r="Y31" i="36"/>
  <c r="Z10" i="67"/>
  <c r="L14" i="52"/>
  <c r="L15" i="52"/>
  <c r="L18" i="52"/>
  <c r="L23" i="52"/>
  <c r="L26" i="52"/>
  <c r="H33" i="35"/>
  <c r="H32" i="35"/>
  <c r="H73" i="19"/>
  <c r="H77" i="19"/>
  <c r="H6" i="36"/>
  <c r="H10" i="67"/>
  <c r="AB12" i="74"/>
  <c r="L30" i="48"/>
  <c r="AB31" i="63"/>
  <c r="AB13" i="63"/>
  <c r="Y21" i="37"/>
  <c r="AB21" i="37"/>
  <c r="Y32" i="37"/>
  <c r="AB32" i="37"/>
  <c r="AB12" i="37"/>
  <c r="AA13" i="74"/>
  <c r="K8" i="48"/>
  <c r="H27" i="35"/>
  <c r="Y30" i="35"/>
  <c r="Y37" i="35"/>
  <c r="Y31" i="35"/>
  <c r="AC22" i="65"/>
  <c r="AC26" i="65"/>
  <c r="AC10" i="65"/>
  <c r="AC9" i="65"/>
  <c r="AC15" i="65"/>
  <c r="AC22" i="63"/>
  <c r="AC5" i="63"/>
  <c r="AC21" i="63"/>
  <c r="AC14" i="63"/>
  <c r="F18" i="68"/>
  <c r="F22" i="68"/>
  <c r="AA19" i="68"/>
  <c r="R40" i="52"/>
  <c r="AC15" i="51"/>
  <c r="E23" i="63"/>
  <c r="E26" i="63"/>
  <c r="H91" i="63"/>
  <c r="O20" i="68"/>
  <c r="O18" i="68"/>
  <c r="O22" i="68"/>
  <c r="O7" i="68"/>
  <c r="O10" i="68"/>
  <c r="O12" i="68"/>
  <c r="O16" i="74"/>
  <c r="AB18" i="74"/>
  <c r="L31" i="48"/>
  <c r="K33" i="63"/>
  <c r="K36" i="63"/>
  <c r="K26" i="63"/>
  <c r="F20" i="41"/>
  <c r="F23" i="41"/>
  <c r="F25" i="41"/>
  <c r="K31" i="48"/>
  <c r="AA18" i="74"/>
  <c r="E29" i="48"/>
  <c r="U16" i="74"/>
  <c r="F7" i="68"/>
  <c r="F10" i="68"/>
  <c r="F12" i="68"/>
  <c r="F16" i="74"/>
  <c r="AB7" i="68"/>
  <c r="AB10" i="68"/>
  <c r="AB20" i="68"/>
  <c r="AB18" i="68"/>
  <c r="AB22" i="68"/>
  <c r="R41" i="52"/>
  <c r="M33" i="63"/>
  <c r="M36" i="63"/>
  <c r="M26" i="63"/>
  <c r="G20" i="68"/>
  <c r="G18" i="68"/>
  <c r="G22" i="68"/>
  <c r="G7" i="68"/>
  <c r="G10" i="68"/>
  <c r="G12" i="68"/>
  <c r="G16" i="74"/>
  <c r="H19" i="68"/>
  <c r="H18" i="68"/>
  <c r="H22" i="68"/>
  <c r="I9" i="68"/>
  <c r="H7" i="68"/>
  <c r="H10" i="68"/>
  <c r="H12" i="68"/>
  <c r="H16" i="74"/>
  <c r="Z42" i="41"/>
  <c r="AC39" i="41"/>
  <c r="AB39" i="41"/>
  <c r="N33" i="63"/>
  <c r="N36" i="63"/>
  <c r="N26" i="63"/>
  <c r="S7" i="68"/>
  <c r="S10" i="68"/>
  <c r="S12" i="68"/>
  <c r="S20" i="68"/>
  <c r="S18" i="68"/>
  <c r="S22" i="68"/>
  <c r="L33" i="63"/>
  <c r="L36" i="63"/>
  <c r="L26" i="63"/>
  <c r="Z7" i="68"/>
  <c r="Z10" i="68"/>
  <c r="Z12" i="68"/>
  <c r="Z19" i="68"/>
  <c r="Z18" i="68"/>
  <c r="Z22" i="68"/>
  <c r="AA9" i="68"/>
  <c r="AC20" i="68"/>
  <c r="AC18" i="68"/>
  <c r="AC22" i="68"/>
  <c r="AC7" i="68"/>
  <c r="AC10" i="68"/>
  <c r="AC12" i="68"/>
  <c r="AC41" i="41"/>
  <c r="AB41" i="41"/>
  <c r="AB17" i="19"/>
  <c r="AC17" i="19"/>
  <c r="AC21" i="41"/>
  <c r="Z20" i="41"/>
  <c r="AB21" i="41"/>
  <c r="AB22" i="41"/>
  <c r="AC22" i="41"/>
  <c r="E33" i="63"/>
  <c r="E36" i="63"/>
  <c r="Y38" i="35"/>
  <c r="AC38" i="35"/>
  <c r="Y13" i="36"/>
  <c r="Y16" i="36"/>
  <c r="N26" i="52"/>
  <c r="R23" i="52"/>
  <c r="T23" i="52"/>
  <c r="AA6" i="78"/>
  <c r="Z37" i="35"/>
  <c r="Z30" i="35"/>
  <c r="AC27" i="35"/>
  <c r="AB27" i="35"/>
  <c r="Z22" i="65"/>
  <c r="Z26" i="65"/>
  <c r="Z10" i="65"/>
  <c r="Z9" i="65"/>
  <c r="Z15" i="65"/>
  <c r="H30" i="35"/>
  <c r="H37" i="35"/>
  <c r="H31" i="35"/>
  <c r="AB12" i="63"/>
  <c r="AB29" i="63"/>
  <c r="AB30" i="63"/>
  <c r="H6" i="63"/>
  <c r="H7" i="64"/>
  <c r="H6" i="64"/>
  <c r="H9" i="64"/>
  <c r="H11" i="74"/>
  <c r="H23" i="65"/>
  <c r="Z14" i="63"/>
  <c r="Z5" i="63"/>
  <c r="Z21" i="63"/>
  <c r="Z22" i="63"/>
  <c r="H21" i="37"/>
  <c r="H32" i="37"/>
  <c r="H19" i="37"/>
  <c r="H30" i="37"/>
  <c r="H9" i="37"/>
  <c r="AA11" i="79"/>
  <c r="H17" i="36"/>
  <c r="H31" i="36"/>
  <c r="H5" i="36"/>
  <c r="Y30" i="36"/>
  <c r="Y29" i="36"/>
  <c r="Y39" i="36"/>
  <c r="Y44" i="36"/>
  <c r="Y43" i="36"/>
  <c r="Y42" i="36"/>
  <c r="Y18" i="37"/>
  <c r="Y29" i="37"/>
  <c r="AB9" i="37"/>
  <c r="Y14" i="37"/>
  <c r="AB14" i="37"/>
  <c r="AC32" i="35"/>
  <c r="AB32" i="35"/>
  <c r="Z31" i="35"/>
  <c r="AC31" i="35"/>
  <c r="AA7" i="64"/>
  <c r="AA23" i="65"/>
  <c r="AA6" i="63"/>
  <c r="Z6" i="36"/>
  <c r="AC77" i="19"/>
  <c r="AB77" i="19"/>
  <c r="AA16" i="79"/>
  <c r="M30" i="48"/>
  <c r="AC12" i="74"/>
  <c r="M13" i="48"/>
  <c r="AC26" i="18"/>
  <c r="AC9" i="79"/>
  <c r="AC13" i="63"/>
  <c r="AC31" i="63"/>
  <c r="Z23" i="41"/>
  <c r="AB20" i="41"/>
  <c r="AC20" i="41"/>
  <c r="M29" i="48"/>
  <c r="AC16" i="74"/>
  <c r="I20" i="68"/>
  <c r="S16" i="74"/>
  <c r="C29" i="48"/>
  <c r="AA20" i="68"/>
  <c r="AA7" i="68"/>
  <c r="E11" i="52"/>
  <c r="D11" i="52"/>
  <c r="AB12" i="68"/>
  <c r="Z16" i="74"/>
  <c r="J29" i="48"/>
  <c r="Z44" i="41"/>
  <c r="AC42" i="41"/>
  <c r="AB42" i="41"/>
  <c r="H38" i="35"/>
  <c r="AA5" i="63"/>
  <c r="AA14" i="63"/>
  <c r="AA22" i="63"/>
  <c r="T26" i="52"/>
  <c r="E26" i="52"/>
  <c r="R26" i="52"/>
  <c r="E25" i="52"/>
  <c r="Y34" i="37"/>
  <c r="AB34" i="37"/>
  <c r="AB29" i="37"/>
  <c r="AA10" i="65"/>
  <c r="AA22" i="65"/>
  <c r="Y23" i="37"/>
  <c r="AB23" i="37"/>
  <c r="AB18" i="37"/>
  <c r="Z13" i="63"/>
  <c r="Z31" i="63"/>
  <c r="AC30" i="35"/>
  <c r="Z38" i="35"/>
  <c r="AB38" i="35"/>
  <c r="AB30" i="35"/>
  <c r="AA6" i="64"/>
  <c r="H29" i="37"/>
  <c r="H34" i="37"/>
  <c r="H18" i="37"/>
  <c r="H23" i="37"/>
  <c r="H14" i="37"/>
  <c r="AC37" i="35"/>
  <c r="AB37" i="35"/>
  <c r="Z17" i="36"/>
  <c r="Z31" i="36"/>
  <c r="Z5" i="36"/>
  <c r="AC6" i="36"/>
  <c r="AB6" i="36"/>
  <c r="H22" i="65"/>
  <c r="H26" i="65"/>
  <c r="H10" i="65"/>
  <c r="H9" i="65"/>
  <c r="H15" i="65"/>
  <c r="H12" i="74"/>
  <c r="AA5" i="78"/>
  <c r="H13" i="36"/>
  <c r="H16" i="36"/>
  <c r="J13" i="48"/>
  <c r="Z26" i="18"/>
  <c r="Z9" i="79"/>
  <c r="AB31" i="35"/>
  <c r="H44" i="36"/>
  <c r="H43" i="36"/>
  <c r="H42" i="36"/>
  <c r="H30" i="36"/>
  <c r="H29" i="36"/>
  <c r="H39" i="36"/>
  <c r="H22" i="63"/>
  <c r="H5" i="63"/>
  <c r="H21" i="63"/>
  <c r="H14" i="63"/>
  <c r="Z12" i="74"/>
  <c r="J30" i="48"/>
  <c r="AC15" i="79"/>
  <c r="AC16" i="79"/>
  <c r="AC8" i="79"/>
  <c r="AC11" i="79"/>
  <c r="AC6" i="78"/>
  <c r="AC5" i="78"/>
  <c r="AC9" i="78"/>
  <c r="AC30" i="63"/>
  <c r="AC12" i="63"/>
  <c r="L29" i="48"/>
  <c r="AB16" i="74"/>
  <c r="AA10" i="68"/>
  <c r="AA18" i="68"/>
  <c r="AC44" i="41"/>
  <c r="AB44" i="41"/>
  <c r="Z25" i="41"/>
  <c r="AC23" i="41"/>
  <c r="AB23" i="41"/>
  <c r="Z30" i="63"/>
  <c r="Z12" i="63"/>
  <c r="Z29" i="63"/>
  <c r="Z16" i="36"/>
  <c r="Z13" i="36"/>
  <c r="AC5" i="36"/>
  <c r="AB5" i="36"/>
  <c r="H26" i="18"/>
  <c r="H9" i="79"/>
  <c r="Z30" i="36"/>
  <c r="Z44" i="36"/>
  <c r="AC31" i="36"/>
  <c r="AB31" i="36"/>
  <c r="AA9" i="78"/>
  <c r="AC17" i="36"/>
  <c r="AB17" i="36"/>
  <c r="AA9" i="64"/>
  <c r="Z8" i="79"/>
  <c r="Z11" i="79"/>
  <c r="Z15" i="79"/>
  <c r="Z16" i="79"/>
  <c r="AA26" i="65"/>
  <c r="AA9" i="65"/>
  <c r="H31" i="63"/>
  <c r="H13" i="63"/>
  <c r="AA13" i="63"/>
  <c r="AA31" i="63"/>
  <c r="AA21" i="63"/>
  <c r="AC29" i="63"/>
  <c r="AA12" i="68"/>
  <c r="AC25" i="41"/>
  <c r="AB25" i="41"/>
  <c r="AA22" i="68"/>
  <c r="H15" i="79"/>
  <c r="H16" i="79"/>
  <c r="H8" i="79"/>
  <c r="H11" i="79"/>
  <c r="AA15" i="65"/>
  <c r="AC13" i="36"/>
  <c r="AB13" i="36"/>
  <c r="AA30" i="63"/>
  <c r="AA12" i="63"/>
  <c r="AC16" i="36"/>
  <c r="AB16" i="36"/>
  <c r="H12" i="63"/>
  <c r="H29" i="63"/>
  <c r="H30" i="63"/>
  <c r="AA11" i="74"/>
  <c r="Z43" i="36"/>
  <c r="AB44" i="36"/>
  <c r="AC44" i="36"/>
  <c r="Z29" i="36"/>
  <c r="AC30" i="36"/>
  <c r="AB30" i="36"/>
  <c r="K29" i="48"/>
  <c r="AA16" i="74"/>
  <c r="Z42" i="36"/>
  <c r="AC43" i="36"/>
  <c r="AB43" i="36"/>
  <c r="AA12" i="74"/>
  <c r="K30" i="48"/>
  <c r="Z39" i="36"/>
  <c r="AC29" i="36"/>
  <c r="AB29" i="36"/>
  <c r="AA29" i="63"/>
  <c r="AC39" i="36"/>
  <c r="AB39" i="36"/>
  <c r="AC42" i="36"/>
  <c r="AB42" i="36"/>
  <c r="AE10" i="59"/>
  <c r="AE17" i="62"/>
  <c r="AH8" i="20"/>
  <c r="AH17" i="62"/>
  <c r="AE70" i="63"/>
  <c r="AH10" i="59"/>
  <c r="AH70" i="63"/>
  <c r="AH22" i="67"/>
  <c r="AH6" i="18"/>
  <c r="AE8" i="67"/>
  <c r="AH18" i="58"/>
  <c r="AH8" i="67"/>
  <c r="AH16" i="60"/>
  <c r="AE37" i="58"/>
  <c r="AE56" i="63"/>
  <c r="AH29" i="58"/>
  <c r="AH23" i="20"/>
  <c r="AH24" i="20"/>
  <c r="AE11" i="76"/>
  <c r="AH13" i="76"/>
  <c r="AH56" i="63"/>
  <c r="AH37" i="58"/>
  <c r="AH8" i="66"/>
  <c r="AH6" i="76"/>
  <c r="AH25" i="20"/>
  <c r="AH21" i="18"/>
  <c r="AH12" i="76"/>
  <c r="AH26" i="20"/>
  <c r="AE25" i="65"/>
  <c r="AH20" i="18"/>
  <c r="AE20" i="65"/>
  <c r="AH8" i="61"/>
  <c r="AH7" i="76"/>
  <c r="AH8" i="76"/>
  <c r="AH21" i="20"/>
  <c r="AH27" i="20"/>
  <c r="AH10" i="61"/>
  <c r="AH18" i="20"/>
  <c r="AH9" i="76"/>
  <c r="AE7" i="65"/>
  <c r="AH20" i="65"/>
  <c r="AE15" i="76"/>
  <c r="AH5" i="76"/>
  <c r="AH19" i="20"/>
  <c r="AE13" i="65"/>
  <c r="AH25" i="65"/>
  <c r="AH11" i="76"/>
  <c r="AH20" i="20"/>
  <c r="AH25" i="58"/>
  <c r="AH24" i="58"/>
  <c r="AH22" i="20"/>
  <c r="AH14" i="76"/>
  <c r="AH10" i="76"/>
  <c r="AH21" i="58"/>
  <c r="AH20" i="58"/>
  <c r="AH22" i="58"/>
  <c r="AE36" i="58"/>
  <c r="AE53" i="63"/>
  <c r="AH23" i="58"/>
  <c r="O18" i="48"/>
  <c r="AE8" i="68"/>
  <c r="AH15" i="76"/>
  <c r="AE35" i="58"/>
  <c r="AE50" i="63"/>
  <c r="AH19" i="58"/>
  <c r="AE12" i="65"/>
  <c r="AH13" i="65"/>
  <c r="AH7" i="65"/>
  <c r="AH50" i="63"/>
  <c r="AE47" i="63"/>
  <c r="AH10" i="58"/>
  <c r="AH53" i="63"/>
  <c r="AE48" i="63"/>
  <c r="AH11" i="58"/>
  <c r="AH35" i="58"/>
  <c r="AH36" i="58"/>
  <c r="AE49" i="63"/>
  <c r="AH12" i="58"/>
  <c r="AE57" i="63"/>
  <c r="AH13" i="58"/>
  <c r="AE41" i="63"/>
  <c r="AH7" i="58"/>
  <c r="AH12" i="65"/>
  <c r="R18" i="48"/>
  <c r="AE44" i="63"/>
  <c r="AH8" i="58"/>
  <c r="AE19" i="68"/>
  <c r="AH8" i="68"/>
  <c r="AE46" i="63"/>
  <c r="AH9" i="58"/>
  <c r="AH41" i="63"/>
  <c r="AH44" i="63"/>
  <c r="AH48" i="63"/>
  <c r="AH46" i="63"/>
  <c r="AH57" i="63"/>
  <c r="AH47" i="63"/>
  <c r="AH19" i="68"/>
  <c r="AH49" i="63"/>
  <c r="AH20" i="78"/>
  <c r="AE74" i="63"/>
  <c r="AH69" i="63"/>
  <c r="AE11" i="67"/>
  <c r="AH11" i="60"/>
  <c r="AH9" i="60"/>
  <c r="AE6" i="59"/>
  <c r="AH6" i="20"/>
  <c r="AE67" i="63"/>
  <c r="AH68" i="63"/>
  <c r="AH8" i="59"/>
  <c r="AE14" i="60"/>
  <c r="AH15" i="60"/>
  <c r="AH15" i="58"/>
  <c r="AE13" i="78"/>
  <c r="O14" i="48"/>
  <c r="AH29" i="18"/>
  <c r="AH8" i="60"/>
  <c r="AE5" i="59"/>
  <c r="AH5" i="20"/>
  <c r="AH80" i="63"/>
  <c r="AH16" i="58"/>
  <c r="AH17" i="60"/>
  <c r="AE5" i="58"/>
  <c r="AH6" i="58"/>
  <c r="AH6" i="60"/>
  <c r="AE9" i="59"/>
  <c r="AH7" i="20"/>
  <c r="AH18" i="60"/>
  <c r="AH7" i="60"/>
  <c r="AH10" i="60"/>
  <c r="AH19" i="78"/>
  <c r="AH24" i="78"/>
  <c r="AE13" i="59"/>
  <c r="AH9" i="20"/>
  <c r="AE31" i="62"/>
  <c r="AE79" i="63"/>
  <c r="AH22" i="59"/>
  <c r="AH10" i="20"/>
  <c r="AH13" i="20"/>
  <c r="AH11" i="20"/>
  <c r="AH14" i="20"/>
  <c r="AE19" i="60"/>
  <c r="AH14" i="60"/>
  <c r="AH19" i="18"/>
  <c r="AH15" i="20"/>
  <c r="AH35" i="20"/>
  <c r="AE75" i="63"/>
  <c r="AH9" i="59"/>
  <c r="AE6" i="79"/>
  <c r="AE12" i="61"/>
  <c r="AH25" i="18"/>
  <c r="AH27" i="67"/>
  <c r="AE21" i="65"/>
  <c r="AH9" i="61"/>
  <c r="AE34" i="58"/>
  <c r="AE17" i="58"/>
  <c r="AH14" i="58"/>
  <c r="AH9" i="66"/>
  <c r="AE6" i="66"/>
  <c r="AH7" i="66"/>
  <c r="AH5" i="18"/>
  <c r="AH10" i="18"/>
  <c r="AH4" i="18"/>
  <c r="AH31" i="20"/>
  <c r="AH32" i="20"/>
  <c r="R14" i="48"/>
  <c r="AH18" i="18"/>
  <c r="AE5" i="68"/>
  <c r="AH6" i="68"/>
  <c r="AH13" i="60"/>
  <c r="AH21" i="67"/>
  <c r="AE25" i="67"/>
  <c r="AH11" i="67"/>
  <c r="AH33" i="20"/>
  <c r="AE38" i="62"/>
  <c r="AE5" i="61"/>
  <c r="AH14" i="18"/>
  <c r="AE9" i="67"/>
  <c r="AH9" i="18"/>
  <c r="AE19" i="65"/>
  <c r="AE6" i="61"/>
  <c r="AH7" i="61"/>
  <c r="AE15" i="68"/>
  <c r="AH16" i="68"/>
  <c r="AH5" i="60"/>
  <c r="AE32" i="63"/>
  <c r="AH15" i="63"/>
  <c r="AH23" i="67"/>
  <c r="AE7" i="67"/>
  <c r="AE33" i="58"/>
  <c r="AH5" i="58"/>
  <c r="AE12" i="78"/>
  <c r="AH13" i="78"/>
  <c r="AH74" i="63"/>
  <c r="AH12" i="20"/>
  <c r="AE73" i="63"/>
  <c r="AH5" i="59"/>
  <c r="AH67" i="63"/>
  <c r="AE7" i="59"/>
  <c r="AH6" i="59"/>
  <c r="AH23" i="78"/>
  <c r="AH7" i="59"/>
  <c r="AE10" i="67"/>
  <c r="AH11" i="18"/>
  <c r="AH9" i="62"/>
  <c r="AH79" i="63"/>
  <c r="AH12" i="59"/>
  <c r="AE11" i="59"/>
  <c r="AH33" i="58"/>
  <c r="AE38" i="58"/>
  <c r="AH6" i="61"/>
  <c r="AE37" i="62"/>
  <c r="AH38" i="62"/>
  <c r="AH24" i="67"/>
  <c r="AH17" i="58"/>
  <c r="AE24" i="65"/>
  <c r="AE8" i="64"/>
  <c r="AH19" i="60"/>
  <c r="AE30" i="62"/>
  <c r="AH31" i="62"/>
  <c r="AE13" i="61"/>
  <c r="AH5" i="61"/>
  <c r="AH7" i="67"/>
  <c r="AH7" i="62"/>
  <c r="AE6" i="65"/>
  <c r="AE18" i="65"/>
  <c r="AH19" i="65"/>
  <c r="AH34" i="58"/>
  <c r="AH12" i="61"/>
  <c r="AH10" i="62"/>
  <c r="AH6" i="62"/>
  <c r="AE14" i="79"/>
  <c r="AE5" i="79"/>
  <c r="AH6" i="79"/>
  <c r="AE77" i="63"/>
  <c r="AH21" i="59"/>
  <c r="AE63" i="63"/>
  <c r="AH16" i="59"/>
  <c r="AH9" i="67"/>
  <c r="AE62" i="63"/>
  <c r="AH15" i="59"/>
  <c r="AH25" i="67"/>
  <c r="AH5" i="68"/>
  <c r="AE15" i="78"/>
  <c r="AH30" i="20"/>
  <c r="AH8" i="62"/>
  <c r="O12" i="48"/>
  <c r="AH12" i="18"/>
  <c r="AH30" i="58"/>
  <c r="AE8" i="65"/>
  <c r="AH21" i="65"/>
  <c r="AE64" i="63"/>
  <c r="AH17" i="59"/>
  <c r="AE76" i="63"/>
  <c r="AH13" i="59"/>
  <c r="AH12" i="78"/>
  <c r="AH15" i="68"/>
  <c r="AE72" i="63"/>
  <c r="AH73" i="63"/>
  <c r="AH32" i="63"/>
  <c r="AH7" i="18"/>
  <c r="AE5" i="66"/>
  <c r="AH6" i="66"/>
  <c r="AH75" i="63"/>
  <c r="AH19" i="59"/>
  <c r="AH22" i="78"/>
  <c r="AH62" i="63"/>
  <c r="AH77" i="63"/>
  <c r="AE13" i="66"/>
  <c r="AH5" i="66"/>
  <c r="AH64" i="63"/>
  <c r="O17" i="48"/>
  <c r="AH5" i="62"/>
  <c r="R12" i="48"/>
  <c r="AH30" i="62"/>
  <c r="AH5" i="79"/>
  <c r="AH63" i="63"/>
  <c r="AH14" i="79"/>
  <c r="AE5" i="64"/>
  <c r="AH8" i="64"/>
  <c r="AE15" i="62"/>
  <c r="AH11" i="59"/>
  <c r="AH76" i="63"/>
  <c r="AE5" i="65"/>
  <c r="AH18" i="65"/>
  <c r="AE11" i="65"/>
  <c r="AH24" i="65"/>
  <c r="AH10" i="67"/>
  <c r="AH37" i="62"/>
  <c r="O19" i="48"/>
  <c r="AE8" i="78"/>
  <c r="AH36" i="20"/>
  <c r="AE71" i="63"/>
  <c r="AH72" i="63"/>
  <c r="AH15" i="78"/>
  <c r="AH6" i="65"/>
  <c r="AH13" i="61"/>
  <c r="AH8" i="65"/>
  <c r="AE7" i="64"/>
  <c r="AE23" i="65"/>
  <c r="AE6" i="63"/>
  <c r="AH38" i="58"/>
  <c r="AE22" i="63"/>
  <c r="AE5" i="63"/>
  <c r="AE14" i="63"/>
  <c r="AH6" i="63"/>
  <c r="AH5" i="64"/>
  <c r="O8" i="48"/>
  <c r="AE13" i="74"/>
  <c r="AH13" i="66"/>
  <c r="AE10" i="65"/>
  <c r="AE22" i="65"/>
  <c r="AH23" i="65"/>
  <c r="AH71" i="63"/>
  <c r="AE6" i="64"/>
  <c r="AH7" i="64"/>
  <c r="AH39" i="20"/>
  <c r="R17" i="48"/>
  <c r="AH8" i="78"/>
  <c r="AH11" i="65"/>
  <c r="AH5" i="65"/>
  <c r="R19" i="48"/>
  <c r="AH15" i="62"/>
  <c r="AE16" i="62"/>
  <c r="AE9" i="65"/>
  <c r="AE15" i="65"/>
  <c r="AH10" i="65"/>
  <c r="AH6" i="64"/>
  <c r="AE9" i="64"/>
  <c r="AE13" i="63"/>
  <c r="AE31" i="63"/>
  <c r="AH14" i="63"/>
  <c r="AH13" i="74"/>
  <c r="AE21" i="63"/>
  <c r="AH5" i="63"/>
  <c r="AH16" i="62"/>
  <c r="AE42" i="62"/>
  <c r="AH22" i="65"/>
  <c r="AE26" i="65"/>
  <c r="R8" i="48"/>
  <c r="AH22" i="63"/>
  <c r="AH21" i="63"/>
  <c r="AH26" i="65"/>
  <c r="AE11" i="74"/>
  <c r="AH9" i="64"/>
  <c r="AH9" i="65"/>
  <c r="AH31" i="63"/>
  <c r="AH42" i="62"/>
  <c r="AE12" i="63"/>
  <c r="AE30" i="63"/>
  <c r="AH13" i="63"/>
  <c r="AH11" i="74"/>
  <c r="AH30" i="63"/>
  <c r="AE29" i="63"/>
  <c r="AH12" i="63"/>
  <c r="O30" i="48"/>
  <c r="AE12" i="74"/>
  <c r="AH15" i="65"/>
  <c r="AH12" i="74"/>
  <c r="AH15" i="18"/>
  <c r="R30" i="48"/>
  <c r="AH29" i="63"/>
  <c r="O13" i="48"/>
  <c r="AE26" i="18"/>
  <c r="AE9" i="79"/>
  <c r="AH23" i="18"/>
  <c r="AH26" i="18"/>
  <c r="R13" i="48"/>
  <c r="AH28" i="18"/>
  <c r="AE6" i="78"/>
  <c r="AE15" i="79"/>
  <c r="AE8" i="79"/>
  <c r="AH9" i="79"/>
  <c r="AH15" i="79"/>
  <c r="AE16" i="79"/>
  <c r="AE11" i="79"/>
  <c r="AH8" i="79"/>
  <c r="AE5" i="78"/>
  <c r="AH6" i="78"/>
  <c r="AH16" i="79"/>
  <c r="AH5" i="78"/>
  <c r="AH11" i="79"/>
  <c r="I11" i="20"/>
  <c r="AG11" i="20"/>
  <c r="AG12" i="20"/>
  <c r="AG24" i="78"/>
  <c r="I7" i="76"/>
  <c r="AG7" i="76"/>
  <c r="I12" i="76"/>
  <c r="AD11" i="76"/>
  <c r="AG12" i="76"/>
  <c r="I9" i="76"/>
  <c r="AG9" i="76"/>
  <c r="I23" i="20"/>
  <c r="AG23" i="20"/>
  <c r="I80" i="63"/>
  <c r="AG80" i="63"/>
  <c r="I13" i="76"/>
  <c r="AG13" i="76"/>
  <c r="I24" i="20"/>
  <c r="AG24" i="20"/>
  <c r="AG68" i="63"/>
  <c r="I68" i="63"/>
  <c r="AD67" i="63"/>
  <c r="I32" i="62"/>
  <c r="AG32" i="62"/>
  <c r="AG69" i="63"/>
  <c r="AD74" i="63"/>
  <c r="AG74" i="63"/>
  <c r="I69" i="63"/>
  <c r="I74" i="63"/>
  <c r="I13" i="20"/>
  <c r="AG13" i="20"/>
  <c r="I25" i="20"/>
  <c r="AG25" i="20"/>
  <c r="I26" i="20"/>
  <c r="AG26" i="20"/>
  <c r="I35" i="20"/>
  <c r="AG35" i="20"/>
  <c r="I22" i="59"/>
  <c r="AG22" i="59"/>
  <c r="AD31" i="62"/>
  <c r="AD79" i="63"/>
  <c r="AG79" i="63"/>
  <c r="I21" i="20"/>
  <c r="AG21" i="20"/>
  <c r="I27" i="20"/>
  <c r="AG27" i="20"/>
  <c r="AG6" i="76"/>
  <c r="I6" i="76"/>
  <c r="I15" i="20"/>
  <c r="AG15" i="20"/>
  <c r="I18" i="20"/>
  <c r="AG18" i="20"/>
  <c r="I8" i="76"/>
  <c r="AG8" i="76"/>
  <c r="AG31" i="20"/>
  <c r="I31" i="20"/>
  <c r="AG30" i="20"/>
  <c r="AD15" i="78"/>
  <c r="AD62" i="63"/>
  <c r="I15" i="59"/>
  <c r="AG15" i="59"/>
  <c r="AG9" i="20"/>
  <c r="AD13" i="59"/>
  <c r="I9" i="20"/>
  <c r="I13" i="59"/>
  <c r="I76" i="63"/>
  <c r="AG22" i="20"/>
  <c r="I22" i="20"/>
  <c r="I31" i="62"/>
  <c r="I30" i="62"/>
  <c r="I79" i="63"/>
  <c r="AG14" i="76"/>
  <c r="I14" i="76"/>
  <c r="AD10" i="59"/>
  <c r="AD17" i="62"/>
  <c r="AG8" i="20"/>
  <c r="I8" i="20"/>
  <c r="I19" i="20"/>
  <c r="AG19" i="20"/>
  <c r="AG5" i="76"/>
  <c r="I5" i="76"/>
  <c r="AD15" i="76"/>
  <c r="AD5" i="59"/>
  <c r="I5" i="20"/>
  <c r="I5" i="59"/>
  <c r="I73" i="63"/>
  <c r="I72" i="63"/>
  <c r="AG5" i="20"/>
  <c r="AE42" i="63"/>
  <c r="I10" i="20"/>
  <c r="AG10" i="20"/>
  <c r="I33" i="20"/>
  <c r="AG33" i="20"/>
  <c r="I7" i="62"/>
  <c r="AG7" i="62"/>
  <c r="I14" i="20"/>
  <c r="AG14" i="20"/>
  <c r="AG16" i="59"/>
  <c r="AD63" i="63"/>
  <c r="AG63" i="63"/>
  <c r="I16" i="59"/>
  <c r="I63" i="63"/>
  <c r="I10" i="62"/>
  <c r="AG10" i="62"/>
  <c r="I9" i="62"/>
  <c r="AG9" i="62"/>
  <c r="I8" i="62"/>
  <c r="AG8" i="62"/>
  <c r="AG67" i="63"/>
  <c r="AE90" i="63"/>
  <c r="AH90" i="63"/>
  <c r="AE45" i="63"/>
  <c r="AG8" i="59"/>
  <c r="I8" i="59"/>
  <c r="AD30" i="62"/>
  <c r="AG31" i="62"/>
  <c r="AG21" i="59"/>
  <c r="AD77" i="63"/>
  <c r="AG77" i="63"/>
  <c r="I21" i="59"/>
  <c r="I77" i="63"/>
  <c r="I19" i="59"/>
  <c r="AG19" i="59"/>
  <c r="I17" i="59"/>
  <c r="I64" i="63"/>
  <c r="AD64" i="63"/>
  <c r="AG17" i="59"/>
  <c r="I67" i="63"/>
  <c r="I11" i="76"/>
  <c r="AG11" i="76"/>
  <c r="AD9" i="59"/>
  <c r="AG7" i="20"/>
  <c r="I7" i="20"/>
  <c r="I9" i="59"/>
  <c r="I75" i="63"/>
  <c r="I20" i="20"/>
  <c r="AG20" i="20"/>
  <c r="I32" i="20"/>
  <c r="AG32" i="20"/>
  <c r="I6" i="20"/>
  <c r="AD6" i="59"/>
  <c r="AG6" i="20"/>
  <c r="I10" i="76"/>
  <c r="AG10" i="76"/>
  <c r="I6" i="62"/>
  <c r="AG6" i="62"/>
  <c r="AG64" i="63"/>
  <c r="AE87" i="63"/>
  <c r="AH87" i="63"/>
  <c r="N18" i="48"/>
  <c r="Q18" i="48"/>
  <c r="I15" i="76"/>
  <c r="I8" i="68"/>
  <c r="AD8" i="68"/>
  <c r="AG15" i="76"/>
  <c r="AG17" i="62"/>
  <c r="AD70" i="63"/>
  <c r="AG10" i="59"/>
  <c r="AD76" i="63"/>
  <c r="AG76" i="63"/>
  <c r="AG13" i="59"/>
  <c r="AE54" i="63"/>
  <c r="AE40" i="63"/>
  <c r="AG6" i="59"/>
  <c r="AD7" i="59"/>
  <c r="AG7" i="59"/>
  <c r="AD75" i="63"/>
  <c r="AG75" i="63"/>
  <c r="AG9" i="59"/>
  <c r="AG30" i="62"/>
  <c r="I15" i="78"/>
  <c r="I14" i="78"/>
  <c r="I6" i="59"/>
  <c r="I7" i="59"/>
  <c r="I5" i="62"/>
  <c r="I47" i="62"/>
  <c r="N17" i="48"/>
  <c r="Q17" i="48"/>
  <c r="AD47" i="62"/>
  <c r="AG47" i="62"/>
  <c r="AG5" i="62"/>
  <c r="I62" i="63"/>
  <c r="AG23" i="78"/>
  <c r="I71" i="63"/>
  <c r="I10" i="59"/>
  <c r="I70" i="63"/>
  <c r="I17" i="62"/>
  <c r="AG62" i="63"/>
  <c r="AD14" i="78"/>
  <c r="AE14" i="78"/>
  <c r="AG15" i="78"/>
  <c r="AE55" i="63"/>
  <c r="AE43" i="63"/>
  <c r="AD73" i="63"/>
  <c r="AG5" i="59"/>
  <c r="AD72" i="63"/>
  <c r="AG73" i="63"/>
  <c r="AE39" i="63"/>
  <c r="AE85" i="63"/>
  <c r="AE52" i="63"/>
  <c r="AE9" i="68"/>
  <c r="AD7" i="68"/>
  <c r="AG8" i="68"/>
  <c r="AD19" i="68"/>
  <c r="I19" i="68"/>
  <c r="I18" i="68"/>
  <c r="I7" i="68"/>
  <c r="AG22" i="78"/>
  <c r="AE86" i="63"/>
  <c r="AH14" i="78"/>
  <c r="AE16" i="78"/>
  <c r="AG14" i="78"/>
  <c r="AG70" i="63"/>
  <c r="AE91" i="63"/>
  <c r="AH91" i="63"/>
  <c r="K5" i="51"/>
  <c r="K13" i="51"/>
  <c r="K18" i="51"/>
  <c r="E32" i="19"/>
  <c r="N13" i="51"/>
  <c r="N18" i="51"/>
  <c r="N5" i="51"/>
  <c r="S100" i="19"/>
  <c r="S98" i="19"/>
  <c r="S109" i="19"/>
  <c r="T45" i="63"/>
  <c r="X45" i="63"/>
  <c r="W100" i="19"/>
  <c r="W98" i="19"/>
  <c r="W109" i="19"/>
  <c r="R50" i="36"/>
  <c r="R47" i="36"/>
  <c r="R22" i="36"/>
  <c r="R19" i="36"/>
  <c r="W50" i="36"/>
  <c r="W47" i="36"/>
  <c r="W22" i="36"/>
  <c r="W19" i="36"/>
  <c r="G32" i="19"/>
  <c r="N28" i="19"/>
  <c r="N29" i="19"/>
  <c r="F32" i="19"/>
  <c r="T28" i="19"/>
  <c r="T29" i="19"/>
  <c r="Q100" i="19"/>
  <c r="Q98" i="19"/>
  <c r="Q109" i="19"/>
  <c r="R45" i="63"/>
  <c r="O13" i="51"/>
  <c r="O18" i="51"/>
  <c r="O5" i="51"/>
  <c r="R13" i="51"/>
  <c r="R18" i="51"/>
  <c r="R5" i="51"/>
  <c r="V13" i="51"/>
  <c r="V18" i="51"/>
  <c r="V5" i="51"/>
  <c r="T42" i="63"/>
  <c r="S97" i="19"/>
  <c r="S95" i="19"/>
  <c r="X42" i="63"/>
  <c r="W97" i="19"/>
  <c r="W95" i="19"/>
  <c r="S22" i="36"/>
  <c r="S19" i="36"/>
  <c r="S18" i="36"/>
  <c r="S26" i="36"/>
  <c r="S50" i="36"/>
  <c r="S47" i="36"/>
  <c r="X28" i="19"/>
  <c r="X29" i="19"/>
  <c r="AE33" i="62"/>
  <c r="AG25" i="62"/>
  <c r="AD18" i="68"/>
  <c r="AG19" i="68"/>
  <c r="P28" i="19"/>
  <c r="P29" i="19"/>
  <c r="O28" i="19"/>
  <c r="O29" i="19"/>
  <c r="R42" i="63"/>
  <c r="Q97" i="19"/>
  <c r="Q95" i="19"/>
  <c r="N22" i="36"/>
  <c r="N19" i="36"/>
  <c r="N18" i="36"/>
  <c r="N26" i="36"/>
  <c r="N50" i="36"/>
  <c r="N47" i="36"/>
  <c r="N46" i="36"/>
  <c r="N54" i="36"/>
  <c r="Q22" i="36"/>
  <c r="Q19" i="36"/>
  <c r="Q50" i="36"/>
  <c r="Q47" i="36"/>
  <c r="W13" i="51"/>
  <c r="W18" i="51"/>
  <c r="W5" i="51"/>
  <c r="T100" i="19"/>
  <c r="T98" i="19"/>
  <c r="T109" i="19"/>
  <c r="U45" i="63"/>
  <c r="X100" i="19"/>
  <c r="X98" i="19"/>
  <c r="X109" i="19"/>
  <c r="Y45" i="63"/>
  <c r="T50" i="36"/>
  <c r="T47" i="36"/>
  <c r="T46" i="36"/>
  <c r="T54" i="36"/>
  <c r="T22" i="36"/>
  <c r="T19" i="36"/>
  <c r="T18" i="36"/>
  <c r="T26" i="36"/>
  <c r="AG20" i="62"/>
  <c r="J13" i="51"/>
  <c r="J18" i="51"/>
  <c r="J5" i="51"/>
  <c r="S28" i="19"/>
  <c r="S29" i="19"/>
  <c r="P100" i="19"/>
  <c r="P98" i="19"/>
  <c r="P109" i="19"/>
  <c r="Q45" i="63"/>
  <c r="S13" i="51"/>
  <c r="S18" i="51"/>
  <c r="S5" i="51"/>
  <c r="X13" i="51"/>
  <c r="X18" i="51"/>
  <c r="X5" i="51"/>
  <c r="T97" i="19"/>
  <c r="T95" i="19"/>
  <c r="U42" i="63"/>
  <c r="Y42" i="63"/>
  <c r="X97" i="19"/>
  <c r="X95" i="19"/>
  <c r="Z45" i="63"/>
  <c r="Y100" i="19"/>
  <c r="Y98" i="19"/>
  <c r="Y109" i="19"/>
  <c r="U22" i="36"/>
  <c r="U19" i="36"/>
  <c r="U18" i="36"/>
  <c r="U26" i="36"/>
  <c r="U50" i="36"/>
  <c r="U47" i="36"/>
  <c r="AC66" i="63"/>
  <c r="AC41" i="62"/>
  <c r="AC40" i="62"/>
  <c r="AC42" i="63"/>
  <c r="C13" i="51"/>
  <c r="C18" i="51"/>
  <c r="C5" i="51"/>
  <c r="L13" i="51"/>
  <c r="L18" i="51"/>
  <c r="L5" i="51"/>
  <c r="P97" i="19"/>
  <c r="P95" i="19"/>
  <c r="Q42" i="63"/>
  <c r="P5" i="51"/>
  <c r="P13" i="51"/>
  <c r="P18" i="51"/>
  <c r="T13" i="51"/>
  <c r="T18" i="51"/>
  <c r="T5" i="51"/>
  <c r="U100" i="19"/>
  <c r="U98" i="19"/>
  <c r="U109" i="19"/>
  <c r="V45" i="63"/>
  <c r="Y97" i="19"/>
  <c r="Y95" i="19"/>
  <c r="Z42" i="63"/>
  <c r="V28" i="19"/>
  <c r="V29" i="19"/>
  <c r="AC33" i="62"/>
  <c r="AC34" i="62"/>
  <c r="AE20" i="68"/>
  <c r="AG9" i="68"/>
  <c r="AH9" i="68"/>
  <c r="AE7" i="68"/>
  <c r="Q5" i="51"/>
  <c r="Q13" i="51"/>
  <c r="Q18" i="51"/>
  <c r="U13" i="51"/>
  <c r="U18" i="51"/>
  <c r="U5" i="51"/>
  <c r="E13" i="51"/>
  <c r="E18" i="51"/>
  <c r="E5" i="51"/>
  <c r="D5" i="51"/>
  <c r="D13" i="51"/>
  <c r="D18" i="51"/>
  <c r="F5" i="51"/>
  <c r="F13" i="51"/>
  <c r="F18" i="51"/>
  <c r="O100" i="19"/>
  <c r="O98" i="19"/>
  <c r="O109" i="19"/>
  <c r="P45" i="63"/>
  <c r="H32" i="19"/>
  <c r="O22" i="36"/>
  <c r="O19" i="36"/>
  <c r="O18" i="36"/>
  <c r="O26" i="36"/>
  <c r="O50" i="36"/>
  <c r="O47" i="36"/>
  <c r="O46" i="36"/>
  <c r="O54" i="36"/>
  <c r="U97" i="19"/>
  <c r="U95" i="19"/>
  <c r="V42" i="63"/>
  <c r="AH25" i="62"/>
  <c r="AD33" i="62"/>
  <c r="AC45" i="63"/>
  <c r="AD45" i="63"/>
  <c r="AG27" i="58"/>
  <c r="O31" i="48"/>
  <c r="R31" i="48"/>
  <c r="AH16" i="78"/>
  <c r="AE18" i="74"/>
  <c r="AH18" i="74"/>
  <c r="AD71" i="63"/>
  <c r="AG71" i="63"/>
  <c r="AG72" i="63"/>
  <c r="AB66" i="63"/>
  <c r="AB41" i="62"/>
  <c r="AB40" i="62"/>
  <c r="K28" i="19"/>
  <c r="K29" i="19"/>
  <c r="C29" i="19"/>
  <c r="G5" i="51"/>
  <c r="G13" i="51"/>
  <c r="G18" i="51"/>
  <c r="L28" i="19"/>
  <c r="L29" i="19"/>
  <c r="D29" i="19"/>
  <c r="J28" i="19"/>
  <c r="J29" i="19"/>
  <c r="P42" i="63"/>
  <c r="O97" i="19"/>
  <c r="O95" i="19"/>
  <c r="M13" i="51"/>
  <c r="M18" i="51"/>
  <c r="M5" i="51"/>
  <c r="AB45" i="63"/>
  <c r="AB33" i="62"/>
  <c r="AB34" i="62"/>
  <c r="AD42" i="63"/>
  <c r="AG26" i="58"/>
  <c r="AH25" i="78"/>
  <c r="AH21" i="78"/>
  <c r="AG21" i="78"/>
  <c r="R28" i="19"/>
  <c r="R29" i="19"/>
  <c r="AH20" i="62"/>
  <c r="P22" i="36"/>
  <c r="P19" i="36"/>
  <c r="P50" i="36"/>
  <c r="P47" i="36"/>
  <c r="AB42" i="63"/>
  <c r="W28" i="19"/>
  <c r="W29" i="19"/>
  <c r="AE66" i="63"/>
  <c r="AE51" i="63"/>
  <c r="AE58" i="63"/>
  <c r="P9" i="51"/>
  <c r="AG16" i="58"/>
  <c r="X9" i="51"/>
  <c r="H33" i="19"/>
  <c r="H21" i="19"/>
  <c r="AB33" i="19"/>
  <c r="F21" i="19"/>
  <c r="F22" i="19"/>
  <c r="S9" i="51"/>
  <c r="F34" i="19"/>
  <c r="F33" i="19"/>
  <c r="N9" i="51"/>
  <c r="L9" i="51"/>
  <c r="AB26" i="62"/>
  <c r="AC89" i="63"/>
  <c r="AB21" i="19"/>
  <c r="U46" i="36"/>
  <c r="U54" i="36"/>
  <c r="AG6" i="60"/>
  <c r="I21" i="58"/>
  <c r="AG21" i="58"/>
  <c r="AG25" i="18"/>
  <c r="AD6" i="79"/>
  <c r="AD12" i="61"/>
  <c r="AG12" i="61"/>
  <c r="AG10" i="61"/>
  <c r="AG16" i="60"/>
  <c r="AG4" i="18"/>
  <c r="X33" i="62"/>
  <c r="X34" i="62"/>
  <c r="Q25" i="63"/>
  <c r="Q35" i="63"/>
  <c r="Q18" i="59"/>
  <c r="Z88" i="19"/>
  <c r="AB11" i="19"/>
  <c r="AC11" i="19"/>
  <c r="Z12" i="19"/>
  <c r="H67" i="19"/>
  <c r="V100" i="19"/>
  <c r="AC39" i="62"/>
  <c r="AC43" i="62"/>
  <c r="AC8" i="74"/>
  <c r="N35" i="52"/>
  <c r="R12" i="19"/>
  <c r="R117" i="19"/>
  <c r="R88" i="19"/>
  <c r="AD25" i="63"/>
  <c r="AD35" i="63"/>
  <c r="AD18" i="59"/>
  <c r="P108" i="19"/>
  <c r="P94" i="19"/>
  <c r="X108" i="19"/>
  <c r="X94" i="19"/>
  <c r="AA18" i="59"/>
  <c r="AA25" i="63"/>
  <c r="AA35" i="63"/>
  <c r="U28" i="19"/>
  <c r="G20" i="19"/>
  <c r="U43" i="63"/>
  <c r="U86" i="63"/>
  <c r="U55" i="63"/>
  <c r="O25" i="63"/>
  <c r="O35" i="63"/>
  <c r="O18" i="59"/>
  <c r="S46" i="36"/>
  <c r="S54" i="36"/>
  <c r="S94" i="19"/>
  <c r="S108" i="19"/>
  <c r="L88" i="19"/>
  <c r="L12" i="19"/>
  <c r="X25" i="63"/>
  <c r="X35" i="63"/>
  <c r="X18" i="59"/>
  <c r="R18" i="36"/>
  <c r="R26" i="36"/>
  <c r="F50" i="36"/>
  <c r="F47" i="36"/>
  <c r="F46" i="36"/>
  <c r="F54" i="36"/>
  <c r="F22" i="36"/>
  <c r="F19" i="36"/>
  <c r="F18" i="36"/>
  <c r="F26" i="36"/>
  <c r="I25" i="63"/>
  <c r="I35" i="63"/>
  <c r="I18" i="59"/>
  <c r="G22" i="36"/>
  <c r="G19" i="36"/>
  <c r="G50" i="36"/>
  <c r="G47" i="36"/>
  <c r="Z9" i="51"/>
  <c r="H8" i="51"/>
  <c r="AG22" i="67"/>
  <c r="AG6" i="18"/>
  <c r="AG10" i="60"/>
  <c r="AG23" i="67"/>
  <c r="AG9" i="60"/>
  <c r="AG5" i="18"/>
  <c r="AG27" i="67"/>
  <c r="W12" i="19"/>
  <c r="W117" i="19"/>
  <c r="W88" i="19"/>
  <c r="T41" i="62"/>
  <c r="T40" i="62"/>
  <c r="T66" i="63"/>
  <c r="Q41" i="62"/>
  <c r="Q40" i="62"/>
  <c r="Q66" i="63"/>
  <c r="H27" i="58"/>
  <c r="H45" i="63"/>
  <c r="W45" i="63"/>
  <c r="AD55" i="63"/>
  <c r="AG55" i="63"/>
  <c r="AG45" i="63"/>
  <c r="I33" i="62"/>
  <c r="AD34" i="62"/>
  <c r="P25" i="63"/>
  <c r="P35" i="63"/>
  <c r="P18" i="59"/>
  <c r="Z40" i="63"/>
  <c r="Z54" i="63"/>
  <c r="V55" i="63"/>
  <c r="V43" i="63"/>
  <c r="V86" i="63"/>
  <c r="N88" i="19"/>
  <c r="N12" i="19"/>
  <c r="N117" i="19"/>
  <c r="Y54" i="63"/>
  <c r="Y40" i="63"/>
  <c r="T33" i="62"/>
  <c r="T34" i="62"/>
  <c r="T25" i="63"/>
  <c r="T35" i="63"/>
  <c r="T18" i="59"/>
  <c r="T54" i="63"/>
  <c r="T40" i="63"/>
  <c r="M66" i="63"/>
  <c r="M41" i="62"/>
  <c r="M40" i="62"/>
  <c r="R46" i="36"/>
  <c r="R54" i="36"/>
  <c r="U41" i="62"/>
  <c r="U40" i="62"/>
  <c r="U66" i="63"/>
  <c r="R9" i="51"/>
  <c r="R7" i="51"/>
  <c r="R10" i="51"/>
  <c r="I66" i="63"/>
  <c r="AD66" i="63"/>
  <c r="AE89" i="63"/>
  <c r="AG8" i="66"/>
  <c r="AG21" i="18"/>
  <c r="AG10" i="18"/>
  <c r="AG13" i="60"/>
  <c r="X66" i="63"/>
  <c r="X41" i="62"/>
  <c r="X40" i="62"/>
  <c r="S42" i="63"/>
  <c r="G26" i="58"/>
  <c r="G42" i="63"/>
  <c r="AC21" i="62"/>
  <c r="S88" i="19"/>
  <c r="S12" i="19"/>
  <c r="S117" i="19"/>
  <c r="P88" i="19"/>
  <c r="P12" i="19"/>
  <c r="P117" i="19"/>
  <c r="AD54" i="63"/>
  <c r="AG54" i="63"/>
  <c r="AG42" i="63"/>
  <c r="O94" i="19"/>
  <c r="O108" i="19"/>
  <c r="M33" i="62"/>
  <c r="M34" i="62"/>
  <c r="M26" i="62"/>
  <c r="AC55" i="63"/>
  <c r="AC43" i="63"/>
  <c r="AC86" i="63"/>
  <c r="AA33" i="62"/>
  <c r="AA34" i="62"/>
  <c r="V40" i="63"/>
  <c r="V54" i="63"/>
  <c r="Y12" i="19"/>
  <c r="H11" i="19"/>
  <c r="Y88" i="19"/>
  <c r="Y108" i="19"/>
  <c r="Y94" i="19"/>
  <c r="O41" i="62"/>
  <c r="O40" i="62"/>
  <c r="O66" i="63"/>
  <c r="AC40" i="63"/>
  <c r="AC54" i="63"/>
  <c r="AC52" i="63"/>
  <c r="AC51" i="63"/>
  <c r="AC92" i="63"/>
  <c r="V18" i="59"/>
  <c r="V25" i="63"/>
  <c r="V35" i="63"/>
  <c r="AE21" i="62"/>
  <c r="Q108" i="19"/>
  <c r="Q94" i="19"/>
  <c r="Q33" i="62"/>
  <c r="Q34" i="62"/>
  <c r="Q7" i="74"/>
  <c r="Q26" i="62"/>
  <c r="R43" i="63"/>
  <c r="R86" i="63"/>
  <c r="R55" i="63"/>
  <c r="S18" i="59"/>
  <c r="S25" i="63"/>
  <c r="S35" i="63"/>
  <c r="T88" i="19"/>
  <c r="T12" i="19"/>
  <c r="T117" i="19"/>
  <c r="H22" i="19"/>
  <c r="AG18" i="18"/>
  <c r="AE92" i="63"/>
  <c r="AB54" i="63"/>
  <c r="AB40" i="63"/>
  <c r="G66" i="19"/>
  <c r="R97" i="19"/>
  <c r="AC32" i="19"/>
  <c r="AB32" i="19"/>
  <c r="M21" i="62"/>
  <c r="AB7" i="74"/>
  <c r="L24" i="48"/>
  <c r="S45" i="63"/>
  <c r="G27" i="58"/>
  <c r="G45" i="63"/>
  <c r="P54" i="63"/>
  <c r="P40" i="63"/>
  <c r="Z28" i="19"/>
  <c r="AB20" i="19"/>
  <c r="AC20" i="19"/>
  <c r="U108" i="19"/>
  <c r="U94" i="19"/>
  <c r="Z21" i="62"/>
  <c r="K66" i="63"/>
  <c r="K41" i="62"/>
  <c r="K40" i="62"/>
  <c r="H66" i="63"/>
  <c r="AC26" i="62"/>
  <c r="O88" i="19"/>
  <c r="O12" i="19"/>
  <c r="O117" i="19"/>
  <c r="AB25" i="63"/>
  <c r="AB35" i="63"/>
  <c r="AB18" i="59"/>
  <c r="U18" i="59"/>
  <c r="U25" i="63"/>
  <c r="U35" i="63"/>
  <c r="R54" i="63"/>
  <c r="R40" i="63"/>
  <c r="AG33" i="62"/>
  <c r="AE34" i="62"/>
  <c r="O33" i="62"/>
  <c r="O34" i="62"/>
  <c r="O7" i="74"/>
  <c r="O26" i="62"/>
  <c r="O42" i="63"/>
  <c r="F26" i="58"/>
  <c r="F42" i="63"/>
  <c r="T21" i="62"/>
  <c r="L66" i="63"/>
  <c r="AD13" i="78"/>
  <c r="N14" i="48"/>
  <c r="Q14" i="48"/>
  <c r="AG29" i="18"/>
  <c r="AG7" i="60"/>
  <c r="AG18" i="60"/>
  <c r="H13" i="51"/>
  <c r="H18" i="51"/>
  <c r="H5" i="51"/>
  <c r="Y13" i="51"/>
  <c r="Y18" i="51"/>
  <c r="Y5" i="51"/>
  <c r="AG11" i="62"/>
  <c r="AH20" i="59"/>
  <c r="AE25" i="63"/>
  <c r="AG20" i="59"/>
  <c r="AE18" i="59"/>
  <c r="V88" i="19"/>
  <c r="W112" i="19"/>
  <c r="V12" i="19"/>
  <c r="V117" i="19"/>
  <c r="R100" i="19"/>
  <c r="G67" i="19"/>
  <c r="J88" i="19"/>
  <c r="J12" i="19"/>
  <c r="AG7" i="68"/>
  <c r="AH7" i="68"/>
  <c r="AE10" i="68"/>
  <c r="AC7" i="74"/>
  <c r="M24" i="48"/>
  <c r="P66" i="63"/>
  <c r="Q89" i="63"/>
  <c r="P41" i="62"/>
  <c r="P40" i="62"/>
  <c r="Q39" i="62"/>
  <c r="Q43" i="62"/>
  <c r="Q8" i="74"/>
  <c r="U40" i="63"/>
  <c r="U54" i="63"/>
  <c r="U52" i="63"/>
  <c r="U51" i="63"/>
  <c r="U92" i="63"/>
  <c r="Q43" i="63"/>
  <c r="Q86" i="63"/>
  <c r="Q55" i="63"/>
  <c r="Q46" i="36"/>
  <c r="Q54" i="36"/>
  <c r="F20" i="19"/>
  <c r="Q28" i="19"/>
  <c r="L21" i="62"/>
  <c r="W94" i="19"/>
  <c r="W108" i="19"/>
  <c r="U33" i="62"/>
  <c r="U34" i="62"/>
  <c r="U26" i="62"/>
  <c r="N66" i="63"/>
  <c r="E66" i="63"/>
  <c r="N97" i="19"/>
  <c r="F66" i="19"/>
  <c r="K88" i="19"/>
  <c r="K12" i="19"/>
  <c r="H28" i="58"/>
  <c r="H68" i="19"/>
  <c r="I12" i="59"/>
  <c r="I11" i="59"/>
  <c r="AG12" i="59"/>
  <c r="AD11" i="59"/>
  <c r="AG9" i="66"/>
  <c r="AG19" i="18"/>
  <c r="AG17" i="60"/>
  <c r="AG8" i="60"/>
  <c r="AE41" i="62"/>
  <c r="AG12" i="62"/>
  <c r="F67" i="19"/>
  <c r="N100" i="19"/>
  <c r="M28" i="19"/>
  <c r="E20" i="19"/>
  <c r="W66" i="63"/>
  <c r="X89" i="63"/>
  <c r="W41" i="62"/>
  <c r="W40" i="62"/>
  <c r="X39" i="62"/>
  <c r="X43" i="62"/>
  <c r="X8" i="74"/>
  <c r="K33" i="62"/>
  <c r="K34" i="62"/>
  <c r="K7" i="74"/>
  <c r="P55" i="63"/>
  <c r="P43" i="63"/>
  <c r="P86" i="63"/>
  <c r="Z33" i="62"/>
  <c r="Z26" i="62"/>
  <c r="T108" i="19"/>
  <c r="T94" i="19"/>
  <c r="Y55" i="63"/>
  <c r="Y43" i="63"/>
  <c r="Y86" i="63"/>
  <c r="R25" i="63"/>
  <c r="R35" i="63"/>
  <c r="R18" i="59"/>
  <c r="R33" i="62"/>
  <c r="Y33" i="62"/>
  <c r="Y34" i="62"/>
  <c r="X40" i="63"/>
  <c r="X54" i="63"/>
  <c r="M88" i="19"/>
  <c r="E11" i="19"/>
  <c r="M12" i="19"/>
  <c r="E12" i="19"/>
  <c r="X43" i="63"/>
  <c r="X86" i="63"/>
  <c r="X55" i="63"/>
  <c r="AB21" i="62"/>
  <c r="AC25" i="63"/>
  <c r="AC35" i="63"/>
  <c r="AC18" i="59"/>
  <c r="Y9" i="51"/>
  <c r="Y7" i="51"/>
  <c r="X7" i="51"/>
  <c r="X10" i="51"/>
  <c r="I24" i="58"/>
  <c r="AG24" i="58"/>
  <c r="I20" i="58"/>
  <c r="AG20" i="58"/>
  <c r="AG22" i="58"/>
  <c r="I22" i="58"/>
  <c r="I15" i="58"/>
  <c r="AG15" i="58"/>
  <c r="D9" i="51"/>
  <c r="D7" i="51"/>
  <c r="D10" i="51"/>
  <c r="C9" i="51"/>
  <c r="C7" i="51"/>
  <c r="C10" i="51"/>
  <c r="AG66" i="63"/>
  <c r="V97" i="19"/>
  <c r="H66" i="19"/>
  <c r="P46" i="36"/>
  <c r="P54" i="36"/>
  <c r="O45" i="63"/>
  <c r="F27" i="58"/>
  <c r="F45" i="63"/>
  <c r="N33" i="62"/>
  <c r="N26" i="62"/>
  <c r="AB55" i="63"/>
  <c r="AB43" i="63"/>
  <c r="AB86" i="63"/>
  <c r="AG27" i="62"/>
  <c r="I26" i="58"/>
  <c r="I42" i="63"/>
  <c r="I54" i="63"/>
  <c r="AA42" i="63"/>
  <c r="AH26" i="58"/>
  <c r="AC6" i="51"/>
  <c r="Z5" i="51"/>
  <c r="AB6" i="51"/>
  <c r="Y28" i="19"/>
  <c r="H20" i="19"/>
  <c r="AC67" i="19"/>
  <c r="Z100" i="19"/>
  <c r="AB67" i="19"/>
  <c r="Z55" i="63"/>
  <c r="Z43" i="63"/>
  <c r="Z86" i="63"/>
  <c r="R66" i="63"/>
  <c r="F66" i="63"/>
  <c r="Z50" i="36"/>
  <c r="Q18" i="36"/>
  <c r="Q26" i="36"/>
  <c r="P33" i="62"/>
  <c r="P34" i="62"/>
  <c r="P7" i="74"/>
  <c r="P26" i="62"/>
  <c r="U88" i="19"/>
  <c r="G11" i="19"/>
  <c r="U12" i="19"/>
  <c r="X88" i="19"/>
  <c r="Y112" i="19"/>
  <c r="X12" i="19"/>
  <c r="X117" i="19"/>
  <c r="J9" i="51"/>
  <c r="E9" i="51"/>
  <c r="Q9" i="51"/>
  <c r="Q7" i="51"/>
  <c r="Q10" i="51"/>
  <c r="P7" i="51"/>
  <c r="P10" i="51"/>
  <c r="G68" i="19"/>
  <c r="H26" i="58"/>
  <c r="H42" i="63"/>
  <c r="W42" i="63"/>
  <c r="P18" i="36"/>
  <c r="P26" i="36"/>
  <c r="S33" i="62"/>
  <c r="S34" i="62"/>
  <c r="W21" i="62"/>
  <c r="AH11" i="62"/>
  <c r="AA41" i="62"/>
  <c r="AA40" i="62"/>
  <c r="AA66" i="63"/>
  <c r="AB89" i="63"/>
  <c r="AG22" i="62"/>
  <c r="L33" i="62"/>
  <c r="L34" i="62"/>
  <c r="L26" i="62"/>
  <c r="AC66" i="19"/>
  <c r="AB66" i="19"/>
  <c r="Z97" i="19"/>
  <c r="AC14" i="51"/>
  <c r="AB14" i="51"/>
  <c r="Z13" i="51"/>
  <c r="S66" i="63"/>
  <c r="T89" i="63"/>
  <c r="S41" i="62"/>
  <c r="S40" i="62"/>
  <c r="T39" i="62"/>
  <c r="T43" i="62"/>
  <c r="T8" i="74"/>
  <c r="AG20" i="68"/>
  <c r="AH20" i="68"/>
  <c r="AE18" i="68"/>
  <c r="W33" i="62"/>
  <c r="W34" i="62"/>
  <c r="W26" i="62"/>
  <c r="AA45" i="63"/>
  <c r="I27" i="58"/>
  <c r="I45" i="63"/>
  <c r="I55" i="63"/>
  <c r="AH27" i="58"/>
  <c r="Q40" i="63"/>
  <c r="Q54" i="63"/>
  <c r="Q52" i="63"/>
  <c r="Q51" i="63"/>
  <c r="Q92" i="63"/>
  <c r="Q21" i="62"/>
  <c r="Q88" i="19"/>
  <c r="Q12" i="19"/>
  <c r="F11" i="19"/>
  <c r="Z22" i="36"/>
  <c r="V33" i="62"/>
  <c r="G66" i="63"/>
  <c r="H89" i="63"/>
  <c r="V66" i="63"/>
  <c r="W89" i="63"/>
  <c r="Y41" i="62"/>
  <c r="Y40" i="62"/>
  <c r="K35" i="52"/>
  <c r="T55" i="63"/>
  <c r="T43" i="63"/>
  <c r="T86" i="63"/>
  <c r="P21" i="62"/>
  <c r="E33" i="19"/>
  <c r="E22" i="19"/>
  <c r="E34" i="19"/>
  <c r="E21" i="19"/>
  <c r="U9" i="51"/>
  <c r="G21" i="19"/>
  <c r="G33" i="19"/>
  <c r="G22" i="19"/>
  <c r="H34" i="19"/>
  <c r="AB34" i="19"/>
  <c r="I11" i="67"/>
  <c r="I25" i="67"/>
  <c r="G18" i="36"/>
  <c r="G26" i="36"/>
  <c r="S26" i="62"/>
  <c r="V52" i="63"/>
  <c r="V51" i="63"/>
  <c r="V92" i="63"/>
  <c r="X21" i="62"/>
  <c r="S21" i="62"/>
  <c r="X86" i="19"/>
  <c r="X84" i="19"/>
  <c r="X37" i="19"/>
  <c r="G9" i="51"/>
  <c r="I15" i="68"/>
  <c r="I22" i="68"/>
  <c r="I5" i="68"/>
  <c r="I10" i="68"/>
  <c r="I12" i="68"/>
  <c r="I16" i="74"/>
  <c r="AG7" i="18"/>
  <c r="AG24" i="67"/>
  <c r="AB39" i="62"/>
  <c r="AB43" i="62"/>
  <c r="M35" i="52"/>
  <c r="W54" i="63"/>
  <c r="W40" i="63"/>
  <c r="AB5" i="51"/>
  <c r="AC5" i="51"/>
  <c r="F55" i="63"/>
  <c r="F43" i="63"/>
  <c r="F86" i="63"/>
  <c r="Y26" i="62"/>
  <c r="N21" i="62"/>
  <c r="N41" i="62"/>
  <c r="N40" i="62"/>
  <c r="O39" i="62"/>
  <c r="O43" i="62"/>
  <c r="O8" i="74"/>
  <c r="E41" i="62"/>
  <c r="E40" i="62"/>
  <c r="J80" i="19"/>
  <c r="K112" i="19"/>
  <c r="J112" i="19"/>
  <c r="Y10" i="51"/>
  <c r="L41" i="62"/>
  <c r="L40" i="62"/>
  <c r="M39" i="62"/>
  <c r="M43" i="62"/>
  <c r="M8" i="74"/>
  <c r="AH33" i="62"/>
  <c r="K89" i="63"/>
  <c r="L89" i="63"/>
  <c r="K61" i="63"/>
  <c r="AB28" i="19"/>
  <c r="AC28" i="19"/>
  <c r="Z29" i="19"/>
  <c r="P39" i="62"/>
  <c r="P43" i="62"/>
  <c r="P8" i="74"/>
  <c r="V85" i="63"/>
  <c r="V39" i="63"/>
  <c r="D34" i="62"/>
  <c r="D7" i="74"/>
  <c r="M7" i="74"/>
  <c r="Q112" i="19"/>
  <c r="P80" i="19"/>
  <c r="AH28" i="58"/>
  <c r="T39" i="63"/>
  <c r="T85" i="63"/>
  <c r="T7" i="74"/>
  <c r="D24" i="48"/>
  <c r="Z39" i="63"/>
  <c r="Z85" i="63"/>
  <c r="N24" i="48"/>
  <c r="I34" i="62"/>
  <c r="I7" i="74"/>
  <c r="AD7" i="74"/>
  <c r="W55" i="63"/>
  <c r="W43" i="63"/>
  <c r="W86" i="63"/>
  <c r="U21" i="62"/>
  <c r="AA65" i="63"/>
  <c r="AA14" i="59"/>
  <c r="AA23" i="59"/>
  <c r="I13" i="78"/>
  <c r="I12" i="78"/>
  <c r="I16" i="78"/>
  <c r="I18" i="74"/>
  <c r="N19" i="48"/>
  <c r="Q19" i="48"/>
  <c r="I36" i="20"/>
  <c r="I8" i="78"/>
  <c r="I7" i="78"/>
  <c r="AD8" i="78"/>
  <c r="AG36" i="20"/>
  <c r="Z19" i="36"/>
  <c r="C34" i="62"/>
  <c r="C7" i="74"/>
  <c r="L7" i="74"/>
  <c r="H40" i="63"/>
  <c r="H54" i="63"/>
  <c r="R21" i="62"/>
  <c r="O55" i="63"/>
  <c r="O43" i="63"/>
  <c r="O86" i="63"/>
  <c r="H33" i="62"/>
  <c r="Z34" i="62"/>
  <c r="AH12" i="62"/>
  <c r="E89" i="63"/>
  <c r="E61" i="63"/>
  <c r="F89" i="63"/>
  <c r="AG25" i="63"/>
  <c r="AH25" i="63"/>
  <c r="AE35" i="63"/>
  <c r="AE7" i="74"/>
  <c r="AG34" i="62"/>
  <c r="AH34" i="62"/>
  <c r="O24" i="48"/>
  <c r="AB39" i="63"/>
  <c r="AB85" i="63"/>
  <c r="AH27" i="62"/>
  <c r="AD44" i="63"/>
  <c r="I8" i="58"/>
  <c r="I44" i="63"/>
  <c r="I43" i="63"/>
  <c r="I86" i="63"/>
  <c r="AG8" i="58"/>
  <c r="AD41" i="62"/>
  <c r="AD26" i="62"/>
  <c r="AD21" i="62"/>
  <c r="AG21" i="62"/>
  <c r="T52" i="63"/>
  <c r="T51" i="63"/>
  <c r="T92" i="63"/>
  <c r="Y39" i="63"/>
  <c r="Y85" i="63"/>
  <c r="H43" i="63"/>
  <c r="H86" i="63"/>
  <c r="H55" i="63"/>
  <c r="X112" i="19"/>
  <c r="W80" i="19"/>
  <c r="AB9" i="51"/>
  <c r="I65" i="63"/>
  <c r="I61" i="63"/>
  <c r="I78" i="63"/>
  <c r="I81" i="63"/>
  <c r="I14" i="59"/>
  <c r="I23" i="59"/>
  <c r="I8" i="63"/>
  <c r="O65" i="63"/>
  <c r="O14" i="59"/>
  <c r="O23" i="59"/>
  <c r="O8" i="63"/>
  <c r="AD65" i="63"/>
  <c r="AD14" i="59"/>
  <c r="AD23" i="59"/>
  <c r="AD8" i="63"/>
  <c r="AC88" i="19"/>
  <c r="AB88" i="19"/>
  <c r="Z80" i="19"/>
  <c r="AG6" i="79"/>
  <c r="AD14" i="79"/>
  <c r="AD5" i="79"/>
  <c r="AD5" i="58"/>
  <c r="I6" i="58"/>
  <c r="AG6" i="58"/>
  <c r="G8" i="51"/>
  <c r="U7" i="51"/>
  <c r="U10" i="51"/>
  <c r="V9" i="51"/>
  <c r="AC9" i="51"/>
  <c r="I25" i="58"/>
  <c r="AG25" i="58"/>
  <c r="G24" i="48"/>
  <c r="W7" i="74"/>
  <c r="Z18" i="51"/>
  <c r="AB13" i="51"/>
  <c r="AC13" i="51"/>
  <c r="AD50" i="63"/>
  <c r="I19" i="58"/>
  <c r="AG19" i="58"/>
  <c r="AD35" i="58"/>
  <c r="AG35" i="58"/>
  <c r="AG13" i="58"/>
  <c r="I13" i="58"/>
  <c r="I57" i="63"/>
  <c r="AD57" i="63"/>
  <c r="AG57" i="63"/>
  <c r="G28" i="58"/>
  <c r="Y7" i="74"/>
  <c r="I24" i="48"/>
  <c r="O89" i="63"/>
  <c r="N61" i="63"/>
  <c r="N78" i="63"/>
  <c r="N81" i="63"/>
  <c r="AD12" i="78"/>
  <c r="AG13" i="78"/>
  <c r="P112" i="19"/>
  <c r="O80" i="19"/>
  <c r="AB52" i="63"/>
  <c r="AB51" i="63"/>
  <c r="AB92" i="63"/>
  <c r="AD14" i="60"/>
  <c r="AG14" i="60"/>
  <c r="AG15" i="60"/>
  <c r="O21" i="62"/>
  <c r="AA26" i="62"/>
  <c r="T112" i="19"/>
  <c r="S80" i="19"/>
  <c r="V89" i="63"/>
  <c r="T65" i="63"/>
  <c r="T14" i="59"/>
  <c r="T23" i="59"/>
  <c r="T8" i="63"/>
  <c r="Y52" i="63"/>
  <c r="Y51" i="63"/>
  <c r="Y92" i="63"/>
  <c r="M112" i="19"/>
  <c r="L80" i="19"/>
  <c r="R35" i="52"/>
  <c r="Q14" i="59"/>
  <c r="Q23" i="59"/>
  <c r="Q8" i="63"/>
  <c r="Q65" i="63"/>
  <c r="AD25" i="65"/>
  <c r="AG20" i="18"/>
  <c r="Y86" i="19"/>
  <c r="Y37" i="19"/>
  <c r="H38" i="19"/>
  <c r="AB38" i="19"/>
  <c r="I21" i="65"/>
  <c r="I8" i="65"/>
  <c r="I14" i="60"/>
  <c r="I6" i="79"/>
  <c r="I12" i="61"/>
  <c r="F12" i="19"/>
  <c r="Q117" i="19"/>
  <c r="F117" i="19"/>
  <c r="AG18" i="68"/>
  <c r="AH18" i="68"/>
  <c r="AE22" i="68"/>
  <c r="AH22" i="68"/>
  <c r="G12" i="19"/>
  <c r="U117" i="19"/>
  <c r="G117" i="19"/>
  <c r="AC100" i="19"/>
  <c r="AB100" i="19"/>
  <c r="Z98" i="19"/>
  <c r="AA40" i="63"/>
  <c r="AA54" i="63"/>
  <c r="AH42" i="63"/>
  <c r="R26" i="62"/>
  <c r="AH41" i="62"/>
  <c r="AG41" i="62"/>
  <c r="AE40" i="62"/>
  <c r="AG9" i="61"/>
  <c r="AD21" i="65"/>
  <c r="AB8" i="51"/>
  <c r="Z7" i="51"/>
  <c r="F28" i="19"/>
  <c r="Q29" i="19"/>
  <c r="F29" i="19"/>
  <c r="U39" i="63"/>
  <c r="U85" i="63"/>
  <c r="AH22" i="62"/>
  <c r="F54" i="63"/>
  <c r="F52" i="63"/>
  <c r="F51" i="63"/>
  <c r="F92" i="63"/>
  <c r="F40" i="63"/>
  <c r="R85" i="63"/>
  <c r="R39" i="63"/>
  <c r="P39" i="63"/>
  <c r="P85" i="63"/>
  <c r="Y21" i="62"/>
  <c r="K24" i="48"/>
  <c r="AA7" i="74"/>
  <c r="AD20" i="65"/>
  <c r="AG8" i="61"/>
  <c r="P14" i="59"/>
  <c r="P23" i="59"/>
  <c r="P8" i="63"/>
  <c r="P65" i="63"/>
  <c r="AD15" i="68"/>
  <c r="AG16" i="68"/>
  <c r="F18" i="59"/>
  <c r="F25" i="63"/>
  <c r="F35" i="63"/>
  <c r="P107" i="19"/>
  <c r="R80" i="19"/>
  <c r="S107" i="19"/>
  <c r="S112" i="19"/>
  <c r="AD37" i="58"/>
  <c r="AG37" i="58"/>
  <c r="I29" i="58"/>
  <c r="AD56" i="63"/>
  <c r="AG56" i="63"/>
  <c r="AG29" i="58"/>
  <c r="I20" i="65"/>
  <c r="I7" i="65"/>
  <c r="X12" i="67"/>
  <c r="E12" i="67"/>
  <c r="V12" i="67"/>
  <c r="P12" i="67"/>
  <c r="S12" i="67"/>
  <c r="F12" i="67"/>
  <c r="W12" i="67"/>
  <c r="K12" i="67"/>
  <c r="K26" i="67"/>
  <c r="K20" i="67"/>
  <c r="K19" i="67"/>
  <c r="K31" i="67"/>
  <c r="K15" i="74"/>
  <c r="U12" i="67"/>
  <c r="Y12" i="67"/>
  <c r="R12" i="67"/>
  <c r="M12" i="67"/>
  <c r="H12" i="67"/>
  <c r="L12" i="67"/>
  <c r="AB12" i="67"/>
  <c r="AA12" i="67"/>
  <c r="N12" i="67"/>
  <c r="AD12" i="67"/>
  <c r="AD26" i="67"/>
  <c r="AC12" i="67"/>
  <c r="O12" i="67"/>
  <c r="G12" i="67"/>
  <c r="Q12" i="67"/>
  <c r="I12" i="67"/>
  <c r="I26" i="67"/>
  <c r="Z12" i="67"/>
  <c r="C12" i="67"/>
  <c r="T12" i="67"/>
  <c r="D12" i="67"/>
  <c r="F9" i="51"/>
  <c r="F7" i="51"/>
  <c r="F10" i="51"/>
  <c r="E7" i="51"/>
  <c r="E10" i="51"/>
  <c r="I9" i="67"/>
  <c r="V21" i="62"/>
  <c r="Q80" i="19"/>
  <c r="F80" i="19"/>
  <c r="F88" i="19"/>
  <c r="G88" i="19"/>
  <c r="G112" i="19"/>
  <c r="R112" i="19"/>
  <c r="Q39" i="63"/>
  <c r="Q85" i="63"/>
  <c r="AD11" i="67"/>
  <c r="AG11" i="60"/>
  <c r="Z47" i="36"/>
  <c r="H97" i="19"/>
  <c r="V95" i="19"/>
  <c r="I12" i="58"/>
  <c r="I49" i="63"/>
  <c r="I90" i="63"/>
  <c r="AD49" i="63"/>
  <c r="AG12" i="58"/>
  <c r="AC65" i="63"/>
  <c r="AC61" i="63"/>
  <c r="AC78" i="63"/>
  <c r="AC81" i="63"/>
  <c r="AC14" i="59"/>
  <c r="AC23" i="59"/>
  <c r="AC8" i="63"/>
  <c r="K26" i="62"/>
  <c r="AE12" i="68"/>
  <c r="AH10" i="68"/>
  <c r="G100" i="19"/>
  <c r="R98" i="19"/>
  <c r="AA21" i="62"/>
  <c r="AH21" i="62"/>
  <c r="O54" i="63"/>
  <c r="O52" i="63"/>
  <c r="O51" i="63"/>
  <c r="O92" i="63"/>
  <c r="O40" i="63"/>
  <c r="R52" i="63"/>
  <c r="R51" i="63"/>
  <c r="R92" i="63"/>
  <c r="H41" i="62"/>
  <c r="H40" i="62"/>
  <c r="Z41" i="62"/>
  <c r="Z40" i="62"/>
  <c r="P52" i="63"/>
  <c r="P51" i="63"/>
  <c r="P92" i="63"/>
  <c r="V14" i="59"/>
  <c r="V23" i="59"/>
  <c r="V8" i="63"/>
  <c r="V65" i="63"/>
  <c r="Z112" i="19"/>
  <c r="H88" i="19"/>
  <c r="G54" i="63"/>
  <c r="G55" i="63"/>
  <c r="G52" i="63"/>
  <c r="G51" i="63"/>
  <c r="G92" i="63"/>
  <c r="G40" i="63"/>
  <c r="N80" i="19"/>
  <c r="O107" i="19"/>
  <c r="O112" i="19"/>
  <c r="K21" i="62"/>
  <c r="R89" i="63"/>
  <c r="I18" i="58"/>
  <c r="I8" i="67"/>
  <c r="AD8" i="67"/>
  <c r="AG8" i="67"/>
  <c r="AG18" i="58"/>
  <c r="G46" i="36"/>
  <c r="G54" i="36"/>
  <c r="H100" i="19"/>
  <c r="V98" i="19"/>
  <c r="H24" i="48"/>
  <c r="X7" i="74"/>
  <c r="AB97" i="19"/>
  <c r="AC97" i="19"/>
  <c r="Z95" i="19"/>
  <c r="U80" i="19"/>
  <c r="G80" i="19"/>
  <c r="V112" i="19"/>
  <c r="G89" i="63"/>
  <c r="AD38" i="62"/>
  <c r="AD5" i="61"/>
  <c r="AG14" i="18"/>
  <c r="M80" i="19"/>
  <c r="E80" i="19"/>
  <c r="E107" i="19"/>
  <c r="N112" i="19"/>
  <c r="E88" i="19"/>
  <c r="AD15" i="62"/>
  <c r="AG11" i="59"/>
  <c r="K80" i="19"/>
  <c r="L107" i="19"/>
  <c r="L112" i="19"/>
  <c r="U7" i="74"/>
  <c r="E24" i="48"/>
  <c r="AD53" i="63"/>
  <c r="AD36" i="58"/>
  <c r="AG36" i="58"/>
  <c r="AG23" i="58"/>
  <c r="I23" i="58"/>
  <c r="G43" i="63"/>
  <c r="G86" i="63"/>
  <c r="AD6" i="66"/>
  <c r="AG7" i="66"/>
  <c r="T80" i="19"/>
  <c r="U112" i="19"/>
  <c r="S40" i="63"/>
  <c r="S54" i="63"/>
  <c r="I14" i="58"/>
  <c r="AD17" i="58"/>
  <c r="AG17" i="58"/>
  <c r="AD34" i="58"/>
  <c r="AG34" i="58"/>
  <c r="AG14" i="58"/>
  <c r="G18" i="59"/>
  <c r="G25" i="63"/>
  <c r="G35" i="63"/>
  <c r="X26" i="62"/>
  <c r="AG21" i="67"/>
  <c r="I39" i="20"/>
  <c r="AG39" i="20"/>
  <c r="V86" i="19"/>
  <c r="AC38" i="19"/>
  <c r="V37" i="19"/>
  <c r="AC37" i="19"/>
  <c r="I32" i="63"/>
  <c r="V34" i="62"/>
  <c r="G33" i="62"/>
  <c r="C24" i="48"/>
  <c r="S7" i="74"/>
  <c r="S89" i="63"/>
  <c r="H28" i="19"/>
  <c r="Y29" i="19"/>
  <c r="H29" i="19"/>
  <c r="E26" i="62"/>
  <c r="AH66" i="63"/>
  <c r="AD32" i="63"/>
  <c r="AG32" i="63"/>
  <c r="AG15" i="63"/>
  <c r="X52" i="63"/>
  <c r="X51" i="63"/>
  <c r="X92" i="63"/>
  <c r="R34" i="62"/>
  <c r="F33" i="62"/>
  <c r="E28" i="19"/>
  <c r="M29" i="19"/>
  <c r="E29" i="19"/>
  <c r="U14" i="59"/>
  <c r="U23" i="59"/>
  <c r="U8" i="63"/>
  <c r="U65" i="63"/>
  <c r="AA89" i="63"/>
  <c r="AH89" i="63"/>
  <c r="S43" i="63"/>
  <c r="S86" i="63"/>
  <c r="S55" i="63"/>
  <c r="AD48" i="63"/>
  <c r="I11" i="58"/>
  <c r="I48" i="63"/>
  <c r="I89" i="63"/>
  <c r="AG11" i="58"/>
  <c r="Q107" i="19"/>
  <c r="AC39" i="63"/>
  <c r="AC85" i="63"/>
  <c r="H12" i="19"/>
  <c r="Y117" i="19"/>
  <c r="H117" i="19"/>
  <c r="Y39" i="62"/>
  <c r="Y43" i="62"/>
  <c r="Y8" i="74"/>
  <c r="J35" i="52"/>
  <c r="T35" i="52"/>
  <c r="F68" i="19"/>
  <c r="N39" i="62"/>
  <c r="N43" i="62"/>
  <c r="N8" i="74"/>
  <c r="T26" i="62"/>
  <c r="U89" i="63"/>
  <c r="AD9" i="67"/>
  <c r="AG9" i="67"/>
  <c r="AG9" i="18"/>
  <c r="AH26" i="62"/>
  <c r="AG26" i="62"/>
  <c r="G28" i="19"/>
  <c r="U29" i="19"/>
  <c r="G29" i="19"/>
  <c r="Z117" i="19"/>
  <c r="AC12" i="19"/>
  <c r="AB12" i="19"/>
  <c r="AB22" i="19"/>
  <c r="I25" i="65"/>
  <c r="I13" i="65"/>
  <c r="I12" i="65"/>
  <c r="V26" i="62"/>
  <c r="V41" i="62"/>
  <c r="V40" i="62"/>
  <c r="W39" i="62"/>
  <c r="W43" i="62"/>
  <c r="W8" i="74"/>
  <c r="G41" i="62"/>
  <c r="G40" i="62"/>
  <c r="AA55" i="63"/>
  <c r="AH55" i="63"/>
  <c r="AA43" i="63"/>
  <c r="AH45" i="63"/>
  <c r="R41" i="62"/>
  <c r="R40" i="62"/>
  <c r="S39" i="62"/>
  <c r="S43" i="62"/>
  <c r="S8" i="74"/>
  <c r="F41" i="62"/>
  <c r="F40" i="62"/>
  <c r="N34" i="62"/>
  <c r="E33" i="62"/>
  <c r="E21" i="62"/>
  <c r="X85" i="63"/>
  <c r="X39" i="63"/>
  <c r="R14" i="59"/>
  <c r="R23" i="59"/>
  <c r="R8" i="63"/>
  <c r="R65" i="63"/>
  <c r="N98" i="19"/>
  <c r="F100" i="19"/>
  <c r="I9" i="58"/>
  <c r="I46" i="63"/>
  <c r="I87" i="63"/>
  <c r="AD46" i="63"/>
  <c r="AG9" i="58"/>
  <c r="N95" i="19"/>
  <c r="F97" i="19"/>
  <c r="AG18" i="59"/>
  <c r="AE65" i="63"/>
  <c r="AH18" i="59"/>
  <c r="AE14" i="59"/>
  <c r="AG20" i="78"/>
  <c r="M89" i="63"/>
  <c r="L61" i="63"/>
  <c r="AB65" i="63"/>
  <c r="AB14" i="59"/>
  <c r="AB23" i="59"/>
  <c r="K39" i="62"/>
  <c r="K43" i="62"/>
  <c r="K8" i="74"/>
  <c r="L39" i="62"/>
  <c r="L43" i="62"/>
  <c r="L8" i="74"/>
  <c r="G97" i="19"/>
  <c r="R95" i="19"/>
  <c r="I10" i="58"/>
  <c r="I47" i="63"/>
  <c r="AD47" i="63"/>
  <c r="AG10" i="58"/>
  <c r="AG7" i="61"/>
  <c r="AD19" i="65"/>
  <c r="AD6" i="61"/>
  <c r="AG6" i="61"/>
  <c r="S14" i="59"/>
  <c r="S23" i="59"/>
  <c r="S8" i="63"/>
  <c r="S65" i="63"/>
  <c r="P89" i="63"/>
  <c r="Y89" i="63"/>
  <c r="AC68" i="19"/>
  <c r="AB68" i="19"/>
  <c r="F28" i="58"/>
  <c r="M61" i="63"/>
  <c r="N89" i="63"/>
  <c r="Z52" i="63"/>
  <c r="Z51" i="63"/>
  <c r="Z92" i="63"/>
  <c r="U39" i="62"/>
  <c r="U43" i="62"/>
  <c r="U8" i="74"/>
  <c r="AG6" i="68"/>
  <c r="AD5" i="68"/>
  <c r="X65" i="63"/>
  <c r="X14" i="59"/>
  <c r="X23" i="59"/>
  <c r="I7" i="58"/>
  <c r="I41" i="63"/>
  <c r="I40" i="63"/>
  <c r="AD41" i="63"/>
  <c r="AG7" i="58"/>
  <c r="G34" i="19"/>
  <c r="AC8" i="51"/>
  <c r="AC21" i="19"/>
  <c r="AC33" i="19"/>
  <c r="AG28" i="58"/>
  <c r="U107" i="19"/>
  <c r="F26" i="62"/>
  <c r="W52" i="63"/>
  <c r="W51" i="63"/>
  <c r="W92" i="63"/>
  <c r="H39" i="62"/>
  <c r="H43" i="62"/>
  <c r="H8" i="74"/>
  <c r="H21" i="62"/>
  <c r="G39" i="62"/>
  <c r="G43" i="62"/>
  <c r="G8" i="74"/>
  <c r="T107" i="19"/>
  <c r="X22" i="36"/>
  <c r="X19" i="36"/>
  <c r="X18" i="36"/>
  <c r="X26" i="36"/>
  <c r="X50" i="36"/>
  <c r="X47" i="36"/>
  <c r="X46" i="36"/>
  <c r="X54" i="36"/>
  <c r="L78" i="63"/>
  <c r="L81" i="63"/>
  <c r="M84" i="63"/>
  <c r="N7" i="74"/>
  <c r="E34" i="62"/>
  <c r="E7" i="74"/>
  <c r="AC58" i="63"/>
  <c r="V88" i="63"/>
  <c r="U61" i="63"/>
  <c r="U78" i="63"/>
  <c r="U81" i="63"/>
  <c r="AC86" i="19"/>
  <c r="V84" i="19"/>
  <c r="I36" i="58"/>
  <c r="I53" i="63"/>
  <c r="I52" i="63"/>
  <c r="I19" i="65"/>
  <c r="I6" i="61"/>
  <c r="AE16" i="74"/>
  <c r="AH16" i="74"/>
  <c r="O29" i="48"/>
  <c r="R29" i="48"/>
  <c r="AH12" i="68"/>
  <c r="AC24" i="63"/>
  <c r="AC17" i="63"/>
  <c r="Q26" i="67"/>
  <c r="Q20" i="67"/>
  <c r="Q19" i="67"/>
  <c r="Q31" i="67"/>
  <c r="Q15" i="74"/>
  <c r="Q6" i="67"/>
  <c r="Q5" i="67"/>
  <c r="Q16" i="67"/>
  <c r="Q14" i="74"/>
  <c r="AB6" i="67"/>
  <c r="AB26" i="67"/>
  <c r="AB20" i="67"/>
  <c r="AB19" i="67"/>
  <c r="AB31" i="67"/>
  <c r="AB15" i="74"/>
  <c r="W26" i="67"/>
  <c r="W20" i="67"/>
  <c r="W19" i="67"/>
  <c r="W31" i="67"/>
  <c r="W15" i="74"/>
  <c r="W6" i="67"/>
  <c r="F65" i="63"/>
  <c r="F14" i="59"/>
  <c r="F23" i="59"/>
  <c r="F8" i="63"/>
  <c r="AA39" i="63"/>
  <c r="AA85" i="63"/>
  <c r="AH85" i="63"/>
  <c r="AH40" i="63"/>
  <c r="I14" i="79"/>
  <c r="I5" i="79"/>
  <c r="Y84" i="19"/>
  <c r="AB86" i="19"/>
  <c r="H86" i="19"/>
  <c r="M107" i="19"/>
  <c r="T7" i="63"/>
  <c r="T9" i="63"/>
  <c r="T17" i="63"/>
  <c r="T24" i="63"/>
  <c r="I35" i="58"/>
  <c r="I50" i="63"/>
  <c r="I91" i="63"/>
  <c r="AG5" i="79"/>
  <c r="Y58" i="63"/>
  <c r="AG8" i="78"/>
  <c r="AD7" i="78"/>
  <c r="AE7" i="78"/>
  <c r="AB29" i="19"/>
  <c r="AC29" i="19"/>
  <c r="E39" i="62"/>
  <c r="E43" i="62"/>
  <c r="E8" i="74"/>
  <c r="F39" i="62"/>
  <c r="F43" i="62"/>
  <c r="F8" i="74"/>
  <c r="N12" i="48"/>
  <c r="Q12" i="48"/>
  <c r="AG12" i="18"/>
  <c r="M9" i="51"/>
  <c r="M7" i="51"/>
  <c r="M10" i="51"/>
  <c r="L7" i="51"/>
  <c r="L10" i="51"/>
  <c r="N108" i="19"/>
  <c r="F95" i="19"/>
  <c r="F108" i="19"/>
  <c r="N94" i="19"/>
  <c r="S88" i="63"/>
  <c r="R61" i="63"/>
  <c r="R78" i="63"/>
  <c r="R81" i="63"/>
  <c r="U17" i="63"/>
  <c r="U7" i="63"/>
  <c r="U9" i="63"/>
  <c r="U24" i="63"/>
  <c r="G26" i="62"/>
  <c r="V109" i="19"/>
  <c r="H98" i="19"/>
  <c r="H109" i="19"/>
  <c r="AC112" i="19"/>
  <c r="AB112" i="19"/>
  <c r="O85" i="63"/>
  <c r="O39" i="63"/>
  <c r="G6" i="67"/>
  <c r="G5" i="67"/>
  <c r="G16" i="67"/>
  <c r="G14" i="74"/>
  <c r="G26" i="67"/>
  <c r="G20" i="67"/>
  <c r="G19" i="67"/>
  <c r="G31" i="67"/>
  <c r="G15" i="74"/>
  <c r="L6" i="67"/>
  <c r="L5" i="67"/>
  <c r="L16" i="67"/>
  <c r="L14" i="74"/>
  <c r="L26" i="67"/>
  <c r="L20" i="67"/>
  <c r="L19" i="67"/>
  <c r="L31" i="67"/>
  <c r="L15" i="74"/>
  <c r="F6" i="67"/>
  <c r="F5" i="67"/>
  <c r="F16" i="67"/>
  <c r="F14" i="74"/>
  <c r="F26" i="67"/>
  <c r="F20" i="67"/>
  <c r="F19" i="67"/>
  <c r="F31" i="67"/>
  <c r="F15" i="74"/>
  <c r="U58" i="63"/>
  <c r="T61" i="63"/>
  <c r="U84" i="63"/>
  <c r="AH40" i="62"/>
  <c r="Z109" i="19"/>
  <c r="AC98" i="19"/>
  <c r="AB98" i="19"/>
  <c r="T78" i="63"/>
  <c r="T81" i="63"/>
  <c r="U88" i="63"/>
  <c r="AD16" i="78"/>
  <c r="AG12" i="78"/>
  <c r="F21" i="62"/>
  <c r="AD91" i="63"/>
  <c r="AG91" i="63"/>
  <c r="AG50" i="63"/>
  <c r="AG14" i="79"/>
  <c r="AD7" i="63"/>
  <c r="AD24" i="63"/>
  <c r="AD17" i="63"/>
  <c r="AG44" i="63"/>
  <c r="AD43" i="63"/>
  <c r="I28" i="58"/>
  <c r="R7" i="63"/>
  <c r="R9" i="63"/>
  <c r="R9" i="74"/>
  <c r="R24" i="63"/>
  <c r="R17" i="63"/>
  <c r="I5" i="61"/>
  <c r="I13" i="61"/>
  <c r="I38" i="62"/>
  <c r="I37" i="62"/>
  <c r="F112" i="19"/>
  <c r="E112" i="19"/>
  <c r="V61" i="63"/>
  <c r="V78" i="63"/>
  <c r="V81" i="63"/>
  <c r="O26" i="67"/>
  <c r="O20" i="67"/>
  <c r="O19" i="67"/>
  <c r="O31" i="67"/>
  <c r="O15" i="74"/>
  <c r="O6" i="67"/>
  <c r="O5" i="67"/>
  <c r="O16" i="67"/>
  <c r="O14" i="74"/>
  <c r="H6" i="67"/>
  <c r="H5" i="67"/>
  <c r="H16" i="67"/>
  <c r="H14" i="74"/>
  <c r="H26" i="67"/>
  <c r="H20" i="67"/>
  <c r="H19" i="67"/>
  <c r="H31" i="67"/>
  <c r="H15" i="74"/>
  <c r="S6" i="67"/>
  <c r="S26" i="67"/>
  <c r="S20" i="67"/>
  <c r="S19" i="67"/>
  <c r="S31" i="67"/>
  <c r="S15" i="74"/>
  <c r="AD7" i="65"/>
  <c r="AG7" i="65"/>
  <c r="AG20" i="65"/>
  <c r="AD13" i="65"/>
  <c r="AG25" i="65"/>
  <c r="AE88" i="63"/>
  <c r="AD61" i="63"/>
  <c r="AG5" i="74"/>
  <c r="Q23" i="48"/>
  <c r="Q24" i="48"/>
  <c r="R24" i="48"/>
  <c r="E84" i="63"/>
  <c r="E78" i="63"/>
  <c r="E81" i="63"/>
  <c r="AD10" i="67"/>
  <c r="AG10" i="67"/>
  <c r="AG11" i="18"/>
  <c r="AD40" i="63"/>
  <c r="AG41" i="63"/>
  <c r="AG47" i="63"/>
  <c r="AD88" i="63"/>
  <c r="N34" i="52"/>
  <c r="AB8" i="63"/>
  <c r="AC7" i="63"/>
  <c r="AC9" i="63"/>
  <c r="AG19" i="78"/>
  <c r="AG25" i="78"/>
  <c r="AD87" i="63"/>
  <c r="AG87" i="63"/>
  <c r="AG46" i="63"/>
  <c r="X58" i="63"/>
  <c r="F24" i="48"/>
  <c r="G34" i="62"/>
  <c r="G7" i="74"/>
  <c r="V7" i="74"/>
  <c r="I34" i="58"/>
  <c r="I17" i="58"/>
  <c r="AD5" i="66"/>
  <c r="AG6" i="66"/>
  <c r="AG53" i="63"/>
  <c r="AD52" i="63"/>
  <c r="H112" i="19"/>
  <c r="AB95" i="19"/>
  <c r="Z108" i="19"/>
  <c r="Z94" i="19"/>
  <c r="AC95" i="19"/>
  <c r="V17" i="63"/>
  <c r="V16" i="63"/>
  <c r="V18" i="63"/>
  <c r="V7" i="63"/>
  <c r="V9" i="63"/>
  <c r="V24" i="63"/>
  <c r="Z39" i="62"/>
  <c r="Z43" i="62"/>
  <c r="Z8" i="74"/>
  <c r="AA39" i="62"/>
  <c r="AA43" i="62"/>
  <c r="AA8" i="74"/>
  <c r="L35" i="52"/>
  <c r="AH5" i="74"/>
  <c r="AD90" i="63"/>
  <c r="AG90" i="63"/>
  <c r="AG49" i="63"/>
  <c r="AD25" i="67"/>
  <c r="AG11" i="67"/>
  <c r="D6" i="67"/>
  <c r="D5" i="67"/>
  <c r="D16" i="67"/>
  <c r="D14" i="74"/>
  <c r="D26" i="67"/>
  <c r="D20" i="67"/>
  <c r="D19" i="67"/>
  <c r="D31" i="67"/>
  <c r="D15" i="74"/>
  <c r="AC26" i="67"/>
  <c r="AC20" i="67"/>
  <c r="AC19" i="67"/>
  <c r="AC31" i="67"/>
  <c r="AC15" i="74"/>
  <c r="AC6" i="67"/>
  <c r="M26" i="67"/>
  <c r="M20" i="67"/>
  <c r="M19" i="67"/>
  <c r="M31" i="67"/>
  <c r="M15" i="74"/>
  <c r="M6" i="67"/>
  <c r="M5" i="67"/>
  <c r="M16" i="67"/>
  <c r="M14" i="74"/>
  <c r="P6" i="67"/>
  <c r="P5" i="67"/>
  <c r="P16" i="67"/>
  <c r="P14" i="74"/>
  <c r="P26" i="67"/>
  <c r="P20" i="67"/>
  <c r="P19" i="67"/>
  <c r="P31" i="67"/>
  <c r="P15" i="74"/>
  <c r="R58" i="63"/>
  <c r="R88" i="63"/>
  <c r="Q61" i="63"/>
  <c r="Q78" i="63"/>
  <c r="Q81" i="63"/>
  <c r="Q22" i="48"/>
  <c r="AG6" i="74"/>
  <c r="Z58" i="63"/>
  <c r="R23" i="48"/>
  <c r="K78" i="63"/>
  <c r="K81" i="63"/>
  <c r="K84" i="63"/>
  <c r="L84" i="63"/>
  <c r="W39" i="63"/>
  <c r="W85" i="63"/>
  <c r="N7" i="51"/>
  <c r="N10" i="51"/>
  <c r="O9" i="51"/>
  <c r="O7" i="51"/>
  <c r="O10" i="51"/>
  <c r="K9" i="51"/>
  <c r="K7" i="51"/>
  <c r="K10" i="51"/>
  <c r="J7" i="51"/>
  <c r="J10" i="51"/>
  <c r="I39" i="63"/>
  <c r="I85" i="63"/>
  <c r="AD10" i="68"/>
  <c r="AG5" i="68"/>
  <c r="M78" i="63"/>
  <c r="M81" i="63"/>
  <c r="N84" i="63"/>
  <c r="AC88" i="63"/>
  <c r="AB61" i="63"/>
  <c r="AB78" i="63"/>
  <c r="AB81" i="63"/>
  <c r="AG14" i="59"/>
  <c r="AH14" i="59"/>
  <c r="AE23" i="59"/>
  <c r="AG48" i="63"/>
  <c r="AD89" i="63"/>
  <c r="AG89" i="63"/>
  <c r="G21" i="62"/>
  <c r="R39" i="62"/>
  <c r="R43" i="62"/>
  <c r="R8" i="74"/>
  <c r="I15" i="62"/>
  <c r="I16" i="62"/>
  <c r="I42" i="62"/>
  <c r="AG15" i="62"/>
  <c r="AD16" i="62"/>
  <c r="G98" i="19"/>
  <c r="G109" i="19"/>
  <c r="R109" i="19"/>
  <c r="T26" i="67"/>
  <c r="T20" i="67"/>
  <c r="T19" i="67"/>
  <c r="T31" i="67"/>
  <c r="T15" i="74"/>
  <c r="T6" i="67"/>
  <c r="R26" i="67"/>
  <c r="R20" i="67"/>
  <c r="R19" i="67"/>
  <c r="R31" i="67"/>
  <c r="R15" i="74"/>
  <c r="R6" i="67"/>
  <c r="R5" i="67"/>
  <c r="R16" i="67"/>
  <c r="R14" i="74"/>
  <c r="V6" i="67"/>
  <c r="V26" i="67"/>
  <c r="V20" i="67"/>
  <c r="V19" i="67"/>
  <c r="V31" i="67"/>
  <c r="V15" i="74"/>
  <c r="I56" i="63"/>
  <c r="I37" i="58"/>
  <c r="AG15" i="68"/>
  <c r="AD22" i="68"/>
  <c r="AG22" i="68"/>
  <c r="Q7" i="63"/>
  <c r="Q9" i="63"/>
  <c r="Q9" i="74"/>
  <c r="Q24" i="63"/>
  <c r="Q17" i="63"/>
  <c r="AG5" i="58"/>
  <c r="AD7" i="67"/>
  <c r="AD33" i="58"/>
  <c r="I5" i="58"/>
  <c r="O7" i="63"/>
  <c r="O9" i="63"/>
  <c r="O9" i="74"/>
  <c r="O17" i="63"/>
  <c r="O16" i="63"/>
  <c r="O18" i="63"/>
  <c r="O10" i="74"/>
  <c r="O24" i="63"/>
  <c r="I41" i="62"/>
  <c r="I40" i="62"/>
  <c r="I39" i="62"/>
  <c r="I43" i="62"/>
  <c r="I8" i="74"/>
  <c r="I21" i="62"/>
  <c r="I26" i="62"/>
  <c r="AG19" i="65"/>
  <c r="AD18" i="65"/>
  <c r="AD6" i="65"/>
  <c r="AG6" i="65"/>
  <c r="T88" i="63"/>
  <c r="S61" i="63"/>
  <c r="S78" i="63"/>
  <c r="S81" i="63"/>
  <c r="G65" i="63"/>
  <c r="G14" i="59"/>
  <c r="G23" i="59"/>
  <c r="G8" i="63"/>
  <c r="V108" i="19"/>
  <c r="H95" i="19"/>
  <c r="H108" i="19"/>
  <c r="V94" i="19"/>
  <c r="C26" i="67"/>
  <c r="C20" i="67"/>
  <c r="C19" i="67"/>
  <c r="C31" i="67"/>
  <c r="C15" i="74"/>
  <c r="C6" i="67"/>
  <c r="C5" i="67"/>
  <c r="C16" i="67"/>
  <c r="C14" i="74"/>
  <c r="N6" i="67"/>
  <c r="N5" i="67"/>
  <c r="N16" i="67"/>
  <c r="N14" i="74"/>
  <c r="N26" i="67"/>
  <c r="N20" i="67"/>
  <c r="N19" i="67"/>
  <c r="N31" i="67"/>
  <c r="N15" i="74"/>
  <c r="Y6" i="67"/>
  <c r="Y26" i="67"/>
  <c r="Y20" i="67"/>
  <c r="Y19" i="67"/>
  <c r="Y31" i="67"/>
  <c r="Y15" i="74"/>
  <c r="E26" i="67"/>
  <c r="E20" i="67"/>
  <c r="E19" i="67"/>
  <c r="E31" i="67"/>
  <c r="E15" i="74"/>
  <c r="E6" i="67"/>
  <c r="E5" i="67"/>
  <c r="E16" i="67"/>
  <c r="E14" i="74"/>
  <c r="Q88" i="63"/>
  <c r="P61" i="63"/>
  <c r="P78" i="63"/>
  <c r="P81" i="63"/>
  <c r="F85" i="63"/>
  <c r="F39" i="63"/>
  <c r="AB7" i="51"/>
  <c r="AH6" i="74"/>
  <c r="R22" i="48"/>
  <c r="O88" i="63"/>
  <c r="O61" i="63"/>
  <c r="O78" i="63"/>
  <c r="O81" i="63"/>
  <c r="P88" i="63"/>
  <c r="AH7" i="74"/>
  <c r="AG7" i="74"/>
  <c r="H34" i="62"/>
  <c r="H7" i="74"/>
  <c r="J24" i="48"/>
  <c r="Z7" i="74"/>
  <c r="H26" i="62"/>
  <c r="I30" i="58"/>
  <c r="AG30" i="58"/>
  <c r="T9" i="51"/>
  <c r="T7" i="51"/>
  <c r="S7" i="51"/>
  <c r="S10" i="51"/>
  <c r="I20" i="67"/>
  <c r="I19" i="67"/>
  <c r="I31" i="67"/>
  <c r="I15" i="74"/>
  <c r="I10" i="67"/>
  <c r="W9" i="51"/>
  <c r="W7" i="51"/>
  <c r="W10" i="51"/>
  <c r="V7" i="51"/>
  <c r="V10" i="51"/>
  <c r="Z10" i="51"/>
  <c r="AC10" i="51"/>
  <c r="S7" i="63"/>
  <c r="S9" i="63"/>
  <c r="S17" i="63"/>
  <c r="S24" i="63"/>
  <c r="AG65" i="63"/>
  <c r="AH65" i="63"/>
  <c r="AE61" i="63"/>
  <c r="F98" i="19"/>
  <c r="F109" i="19"/>
  <c r="N109" i="19"/>
  <c r="AD19" i="60"/>
  <c r="I5" i="60"/>
  <c r="I19" i="60"/>
  <c r="AG5" i="60"/>
  <c r="S52" i="63"/>
  <c r="S51" i="63"/>
  <c r="S92" i="63"/>
  <c r="AD13" i="61"/>
  <c r="AG13" i="61"/>
  <c r="AG5" i="61"/>
  <c r="I6" i="66"/>
  <c r="I5" i="66"/>
  <c r="I13" i="66"/>
  <c r="I13" i="74"/>
  <c r="G85" i="63"/>
  <c r="G39" i="63"/>
  <c r="Z26" i="67"/>
  <c r="Z20" i="67"/>
  <c r="Z19" i="67"/>
  <c r="Z31" i="67"/>
  <c r="Z15" i="74"/>
  <c r="Z6" i="67"/>
  <c r="AA6" i="67"/>
  <c r="AA26" i="67"/>
  <c r="AA20" i="67"/>
  <c r="AA19" i="67"/>
  <c r="AA31" i="67"/>
  <c r="AA15" i="74"/>
  <c r="U26" i="67"/>
  <c r="U20" i="67"/>
  <c r="U19" i="67"/>
  <c r="U31" i="67"/>
  <c r="U15" i="74"/>
  <c r="U6" i="67"/>
  <c r="X26" i="67"/>
  <c r="X20" i="67"/>
  <c r="X19" i="67"/>
  <c r="X31" i="67"/>
  <c r="X15" i="74"/>
  <c r="X6" i="67"/>
  <c r="P7" i="63"/>
  <c r="P9" i="63"/>
  <c r="P9" i="74"/>
  <c r="P17" i="63"/>
  <c r="P16" i="63"/>
  <c r="P18" i="63"/>
  <c r="P10" i="74"/>
  <c r="P24" i="63"/>
  <c r="P58" i="63"/>
  <c r="P84" i="63"/>
  <c r="AC18" i="51"/>
  <c r="AB18" i="51"/>
  <c r="I17" i="63"/>
  <c r="I24" i="63"/>
  <c r="I34" i="63"/>
  <c r="AG35" i="63"/>
  <c r="AH35" i="63"/>
  <c r="H52" i="63"/>
  <c r="H51" i="63"/>
  <c r="H92" i="63"/>
  <c r="AA8" i="63"/>
  <c r="M34" i="52"/>
  <c r="M36" i="52"/>
  <c r="V58" i="63"/>
  <c r="V84" i="63"/>
  <c r="J107" i="19"/>
  <c r="K107" i="19"/>
  <c r="AB10" i="51"/>
  <c r="E14" i="52"/>
  <c r="D14" i="52"/>
  <c r="AB8" i="74"/>
  <c r="AC22" i="19"/>
  <c r="X61" i="63"/>
  <c r="X78" i="63"/>
  <c r="X81" i="63"/>
  <c r="J34" i="52"/>
  <c r="J36" i="52"/>
  <c r="X8" i="63"/>
  <c r="G95" i="19"/>
  <c r="G108" i="19"/>
  <c r="R94" i="19"/>
  <c r="R108" i="19"/>
  <c r="AA86" i="63"/>
  <c r="AH86" i="63"/>
  <c r="AH43" i="63"/>
  <c r="AC117" i="19"/>
  <c r="AB117" i="19"/>
  <c r="F34" i="62"/>
  <c r="F7" i="74"/>
  <c r="R7" i="74"/>
  <c r="S85" i="63"/>
  <c r="S39" i="63"/>
  <c r="AD37" i="62"/>
  <c r="AG37" i="62"/>
  <c r="AG38" i="62"/>
  <c r="Q58" i="63"/>
  <c r="Q84" i="63"/>
  <c r="AE12" i="67"/>
  <c r="AH12" i="60"/>
  <c r="AG12" i="60"/>
  <c r="V39" i="62"/>
  <c r="V43" i="62"/>
  <c r="V8" i="74"/>
  <c r="AG21" i="65"/>
  <c r="AD8" i="65"/>
  <c r="AG8" i="65"/>
  <c r="AA52" i="63"/>
  <c r="AH54" i="63"/>
  <c r="H37" i="19"/>
  <c r="AB37" i="19"/>
  <c r="H9" i="51"/>
  <c r="H7" i="51"/>
  <c r="H10" i="51"/>
  <c r="G7" i="51"/>
  <c r="G10" i="51"/>
  <c r="AB58" i="63"/>
  <c r="H39" i="63"/>
  <c r="H85" i="63"/>
  <c r="AA61" i="63"/>
  <c r="AA78" i="63"/>
  <c r="AA81" i="63"/>
  <c r="AB88" i="63"/>
  <c r="T58" i="63"/>
  <c r="T84" i="63"/>
  <c r="X80" i="19"/>
  <c r="X111" i="19"/>
  <c r="AC34" i="19"/>
  <c r="AG15" i="18"/>
  <c r="R84" i="63"/>
  <c r="R16" i="63"/>
  <c r="R18" i="63"/>
  <c r="R10" i="74"/>
  <c r="AD16" i="63"/>
  <c r="U16" i="63"/>
  <c r="U18" i="63"/>
  <c r="AC9" i="74"/>
  <c r="M27" i="48"/>
  <c r="S84" i="63"/>
  <c r="S58" i="63"/>
  <c r="AB84" i="63"/>
  <c r="AE6" i="67"/>
  <c r="AE26" i="67"/>
  <c r="AH12" i="67"/>
  <c r="AG12" i="67"/>
  <c r="X5" i="67"/>
  <c r="X16" i="67"/>
  <c r="H11" i="48"/>
  <c r="AG61" i="63"/>
  <c r="AH61" i="63"/>
  <c r="AE78" i="63"/>
  <c r="Z18" i="59"/>
  <c r="Z25" i="63"/>
  <c r="Z35" i="63"/>
  <c r="Q16" i="63"/>
  <c r="Q18" i="63"/>
  <c r="Q10" i="74"/>
  <c r="V10" i="74"/>
  <c r="F28" i="48"/>
  <c r="AG88" i="63"/>
  <c r="C11" i="48"/>
  <c r="S5" i="67"/>
  <c r="S16" i="67"/>
  <c r="AD34" i="63"/>
  <c r="T9" i="74"/>
  <c r="D27" i="48"/>
  <c r="H58" i="63"/>
  <c r="Y50" i="36"/>
  <c r="AB52" i="36"/>
  <c r="R23" i="63"/>
  <c r="Q34" i="63"/>
  <c r="AC5" i="67"/>
  <c r="AC16" i="67"/>
  <c r="M11" i="48"/>
  <c r="AD13" i="66"/>
  <c r="AG5" i="66"/>
  <c r="O84" i="63"/>
  <c r="O58" i="63"/>
  <c r="AH39" i="63"/>
  <c r="AA51" i="63"/>
  <c r="AA58" i="63"/>
  <c r="AH58" i="63"/>
  <c r="AH52" i="63"/>
  <c r="U5" i="67"/>
  <c r="U16" i="67"/>
  <c r="E11" i="48"/>
  <c r="H94" i="19"/>
  <c r="V5" i="67"/>
  <c r="V16" i="67"/>
  <c r="F11" i="48"/>
  <c r="W58" i="63"/>
  <c r="AC94" i="19"/>
  <c r="AB94" i="19"/>
  <c r="AD18" i="74"/>
  <c r="AG18" i="74"/>
  <c r="N31" i="48"/>
  <c r="Q31" i="48"/>
  <c r="AG16" i="78"/>
  <c r="F24" i="63"/>
  <c r="F17" i="63"/>
  <c r="F16" i="63"/>
  <c r="F18" i="63"/>
  <c r="F10" i="74"/>
  <c r="F7" i="63"/>
  <c r="F9" i="63"/>
  <c r="F9" i="74"/>
  <c r="I18" i="65"/>
  <c r="I5" i="65"/>
  <c r="I6" i="65"/>
  <c r="AA24" i="63"/>
  <c r="AA17" i="63"/>
  <c r="S34" i="63"/>
  <c r="T23" i="63"/>
  <c r="G24" i="63"/>
  <c r="G17" i="63"/>
  <c r="G7" i="63"/>
  <c r="G9" i="63"/>
  <c r="G9" i="74"/>
  <c r="V50" i="36"/>
  <c r="AC52" i="36"/>
  <c r="AD42" i="62"/>
  <c r="AG16" i="62"/>
  <c r="AB108" i="19"/>
  <c r="AC108" i="19"/>
  <c r="AC109" i="19"/>
  <c r="AB109" i="19"/>
  <c r="G88" i="63"/>
  <c r="F88" i="63"/>
  <c r="F61" i="63"/>
  <c r="F78" i="63"/>
  <c r="F81" i="63"/>
  <c r="H22" i="36"/>
  <c r="H19" i="36"/>
  <c r="H18" i="36"/>
  <c r="H26" i="36"/>
  <c r="H50" i="36"/>
  <c r="H47" i="36"/>
  <c r="H46" i="36"/>
  <c r="H54" i="36"/>
  <c r="R107" i="19"/>
  <c r="G94" i="19"/>
  <c r="G107" i="19"/>
  <c r="I24" i="65"/>
  <c r="I11" i="65"/>
  <c r="I8" i="64"/>
  <c r="I5" i="64"/>
  <c r="S16" i="63"/>
  <c r="S18" i="63"/>
  <c r="AC7" i="51"/>
  <c r="G61" i="63"/>
  <c r="G78" i="63"/>
  <c r="G81" i="63"/>
  <c r="V22" i="36"/>
  <c r="AC24" i="36"/>
  <c r="AD5" i="65"/>
  <c r="AG18" i="65"/>
  <c r="I33" i="58"/>
  <c r="I38" i="58"/>
  <c r="I7" i="67"/>
  <c r="I6" i="67"/>
  <c r="I5" i="67"/>
  <c r="I16" i="67"/>
  <c r="I14" i="74"/>
  <c r="AG23" i="59"/>
  <c r="AH23" i="59"/>
  <c r="AE8" i="63"/>
  <c r="AD12" i="65"/>
  <c r="AG12" i="65"/>
  <c r="AG13" i="65"/>
  <c r="N107" i="19"/>
  <c r="F94" i="19"/>
  <c r="F107" i="19"/>
  <c r="AH7" i="78"/>
  <c r="AG7" i="78"/>
  <c r="AE9" i="78"/>
  <c r="AH9" i="78"/>
  <c r="Y111" i="19"/>
  <c r="AB84" i="19"/>
  <c r="H84" i="19"/>
  <c r="H111" i="19"/>
  <c r="Y80" i="19"/>
  <c r="Z111" i="19"/>
  <c r="W5" i="67"/>
  <c r="W16" i="67"/>
  <c r="G11" i="48"/>
  <c r="AC34" i="63"/>
  <c r="AD23" i="63"/>
  <c r="AD33" i="63"/>
  <c r="Y25" i="63"/>
  <c r="Y35" i="63"/>
  <c r="Y18" i="59"/>
  <c r="P34" i="63"/>
  <c r="Q23" i="63"/>
  <c r="K11" i="48"/>
  <c r="AA5" i="67"/>
  <c r="AA16" i="67"/>
  <c r="G58" i="63"/>
  <c r="G84" i="63"/>
  <c r="AD24" i="65"/>
  <c r="AD8" i="64"/>
  <c r="AG19" i="60"/>
  <c r="C27" i="48"/>
  <c r="S9" i="74"/>
  <c r="Y5" i="67"/>
  <c r="Y16" i="67"/>
  <c r="I11" i="48"/>
  <c r="W25" i="63"/>
  <c r="W35" i="63"/>
  <c r="W18" i="59"/>
  <c r="AG33" i="58"/>
  <c r="AD38" i="58"/>
  <c r="T5" i="67"/>
  <c r="T16" i="67"/>
  <c r="D11" i="48"/>
  <c r="AD12" i="68"/>
  <c r="AG10" i="68"/>
  <c r="AD86" i="63"/>
  <c r="AG86" i="63"/>
  <c r="AG43" i="63"/>
  <c r="V23" i="63"/>
  <c r="U34" i="63"/>
  <c r="I51" i="63"/>
  <c r="I92" i="63"/>
  <c r="AC84" i="63"/>
  <c r="X24" i="63"/>
  <c r="X17" i="63"/>
  <c r="Z5" i="67"/>
  <c r="Z16" i="67"/>
  <c r="J11" i="48"/>
  <c r="F58" i="63"/>
  <c r="AD6" i="67"/>
  <c r="AG7" i="67"/>
  <c r="AG25" i="67"/>
  <c r="AD20" i="67"/>
  <c r="AD19" i="67"/>
  <c r="AD31" i="67"/>
  <c r="AD15" i="74"/>
  <c r="V34" i="63"/>
  <c r="AD51" i="63"/>
  <c r="AG52" i="63"/>
  <c r="AB17" i="63"/>
  <c r="AB24" i="63"/>
  <c r="AB7" i="63"/>
  <c r="AB9" i="63"/>
  <c r="AD39" i="63"/>
  <c r="AD85" i="63"/>
  <c r="AG85" i="63"/>
  <c r="AG40" i="63"/>
  <c r="R34" i="63"/>
  <c r="S23" i="63"/>
  <c r="E27" i="48"/>
  <c r="U9" i="74"/>
  <c r="T34" i="63"/>
  <c r="U23" i="63"/>
  <c r="Y22" i="36"/>
  <c r="AB24" i="36"/>
  <c r="O34" i="63"/>
  <c r="P23" i="63"/>
  <c r="O23" i="63"/>
  <c r="F27" i="48"/>
  <c r="V9" i="74"/>
  <c r="N36" i="52"/>
  <c r="R36" i="52"/>
  <c r="E18" i="52"/>
  <c r="D18" i="52"/>
  <c r="O34" i="52"/>
  <c r="O35" i="52"/>
  <c r="O17" i="52"/>
  <c r="T34" i="52"/>
  <c r="R34" i="52"/>
  <c r="AD78" i="63"/>
  <c r="AD81" i="63"/>
  <c r="AE84" i="63"/>
  <c r="E28" i="48"/>
  <c r="U10" i="74"/>
  <c r="T16" i="63"/>
  <c r="T18" i="63"/>
  <c r="L11" i="48"/>
  <c r="AB5" i="67"/>
  <c r="AB16" i="67"/>
  <c r="V80" i="19"/>
  <c r="V107" i="19"/>
  <c r="V111" i="19"/>
  <c r="AC111" i="19"/>
  <c r="W111" i="19"/>
  <c r="AC84" i="19"/>
  <c r="X107" i="19"/>
  <c r="AB111" i="19"/>
  <c r="G16" i="63"/>
  <c r="G18" i="63"/>
  <c r="G10" i="74"/>
  <c r="S17" i="52"/>
  <c r="Q17" i="52"/>
  <c r="AC16" i="63"/>
  <c r="AC18" i="63"/>
  <c r="AB16" i="63"/>
  <c r="AB18" i="63"/>
  <c r="W14" i="74"/>
  <c r="G7" i="48"/>
  <c r="V19" i="36"/>
  <c r="AC22" i="36"/>
  <c r="U14" i="74"/>
  <c r="E7" i="48"/>
  <c r="AG13" i="66"/>
  <c r="AD13" i="74"/>
  <c r="AG13" i="74"/>
  <c r="N8" i="48"/>
  <c r="Q8" i="48"/>
  <c r="Y47" i="36"/>
  <c r="AB50" i="36"/>
  <c r="Z14" i="59"/>
  <c r="Z23" i="59"/>
  <c r="Z65" i="63"/>
  <c r="AH26" i="67"/>
  <c r="AE20" i="67"/>
  <c r="AG26" i="67"/>
  <c r="U33" i="63"/>
  <c r="U36" i="63"/>
  <c r="U26" i="63"/>
  <c r="S26" i="63"/>
  <c r="S33" i="63"/>
  <c r="S36" i="63"/>
  <c r="F84" i="63"/>
  <c r="AD16" i="74"/>
  <c r="AG16" i="74"/>
  <c r="N29" i="48"/>
  <c r="Q29" i="48"/>
  <c r="AG12" i="68"/>
  <c r="AD5" i="64"/>
  <c r="AG8" i="64"/>
  <c r="V47" i="36"/>
  <c r="AC50" i="36"/>
  <c r="AB23" i="63"/>
  <c r="AA34" i="63"/>
  <c r="C7" i="48"/>
  <c r="S14" i="74"/>
  <c r="AG78" i="63"/>
  <c r="AE81" i="63"/>
  <c r="AH78" i="63"/>
  <c r="AH6" i="67"/>
  <c r="O11" i="48"/>
  <c r="AE5" i="67"/>
  <c r="AG6" i="67"/>
  <c r="O33" i="63"/>
  <c r="O36" i="63"/>
  <c r="O26" i="63"/>
  <c r="AD11" i="65"/>
  <c r="AG11" i="65"/>
  <c r="AG24" i="65"/>
  <c r="H80" i="19"/>
  <c r="H107" i="19"/>
  <c r="AB80" i="19"/>
  <c r="V14" i="74"/>
  <c r="F7" i="48"/>
  <c r="AC14" i="74"/>
  <c r="M7" i="48"/>
  <c r="O40" i="52"/>
  <c r="Q34" i="52"/>
  <c r="S34" i="52"/>
  <c r="P26" i="63"/>
  <c r="P33" i="63"/>
  <c r="P36" i="63"/>
  <c r="AD5" i="67"/>
  <c r="AD16" i="67"/>
  <c r="N11" i="48"/>
  <c r="V33" i="63"/>
  <c r="V36" i="63"/>
  <c r="V26" i="63"/>
  <c r="T14" i="74"/>
  <c r="D7" i="48"/>
  <c r="Y65" i="63"/>
  <c r="Y14" i="59"/>
  <c r="Y23" i="59"/>
  <c r="I7" i="64"/>
  <c r="I6" i="64"/>
  <c r="I9" i="64"/>
  <c r="I11" i="74"/>
  <c r="I6" i="63"/>
  <c r="I23" i="65"/>
  <c r="Y107" i="19"/>
  <c r="H18" i="59"/>
  <c r="H25" i="63"/>
  <c r="H35" i="63"/>
  <c r="G34" i="63"/>
  <c r="Z107" i="19"/>
  <c r="AA92" i="63"/>
  <c r="AH92" i="63"/>
  <c r="AH51" i="63"/>
  <c r="I58" i="63"/>
  <c r="S35" i="52"/>
  <c r="Q35" i="52"/>
  <c r="J7" i="48"/>
  <c r="Z14" i="74"/>
  <c r="AB14" i="74"/>
  <c r="L7" i="48"/>
  <c r="AD84" i="63"/>
  <c r="AG84" i="63"/>
  <c r="AD58" i="63"/>
  <c r="AG58" i="63"/>
  <c r="AG39" i="63"/>
  <c r="AD92" i="63"/>
  <c r="AG92" i="63"/>
  <c r="AG51" i="63"/>
  <c r="I7" i="48"/>
  <c r="Y14" i="74"/>
  <c r="K7" i="48"/>
  <c r="AA14" i="74"/>
  <c r="T33" i="63"/>
  <c r="T36" i="63"/>
  <c r="T26" i="63"/>
  <c r="X14" i="74"/>
  <c r="H7" i="48"/>
  <c r="AD9" i="79"/>
  <c r="AD26" i="18"/>
  <c r="AG26" i="18"/>
  <c r="N13" i="48"/>
  <c r="Q13" i="48"/>
  <c r="AG23" i="18"/>
  <c r="W107" i="19"/>
  <c r="AC80" i="19"/>
  <c r="T36" i="52"/>
  <c r="O36" i="52"/>
  <c r="O37" i="52"/>
  <c r="Y19" i="36"/>
  <c r="AB22" i="36"/>
  <c r="AB9" i="74"/>
  <c r="E12" i="52"/>
  <c r="D12" i="52"/>
  <c r="L27" i="48"/>
  <c r="W65" i="63"/>
  <c r="W14" i="59"/>
  <c r="W23" i="59"/>
  <c r="W8" i="63"/>
  <c r="AG5" i="65"/>
  <c r="R33" i="63"/>
  <c r="R36" i="63"/>
  <c r="R26" i="63"/>
  <c r="AD23" i="65"/>
  <c r="AD6" i="63"/>
  <c r="AD7" i="64"/>
  <c r="AG38" i="58"/>
  <c r="D28" i="48"/>
  <c r="T10" i="74"/>
  <c r="AB34" i="63"/>
  <c r="AC23" i="63"/>
  <c r="X34" i="63"/>
  <c r="Q26" i="63"/>
  <c r="Q33" i="63"/>
  <c r="Q36" i="63"/>
  <c r="AG8" i="63"/>
  <c r="AE24" i="63"/>
  <c r="AE17" i="63"/>
  <c r="AH8" i="63"/>
  <c r="AE7" i="63"/>
  <c r="C28" i="48"/>
  <c r="S10" i="74"/>
  <c r="AG42" i="62"/>
  <c r="AD40" i="62"/>
  <c r="G23" i="63"/>
  <c r="F23" i="63"/>
  <c r="F34" i="63"/>
  <c r="AB107" i="19"/>
  <c r="O43" i="52"/>
  <c r="Q37" i="52"/>
  <c r="S37" i="52"/>
  <c r="W17" i="63"/>
  <c r="W7" i="63"/>
  <c r="W9" i="63"/>
  <c r="W24" i="63"/>
  <c r="X7" i="63"/>
  <c r="X9" i="63"/>
  <c r="N7" i="48"/>
  <c r="AD14" i="74"/>
  <c r="Y46" i="36"/>
  <c r="Y54" i="36"/>
  <c r="Z46" i="36"/>
  <c r="AB47" i="36"/>
  <c r="V18" i="36"/>
  <c r="V26" i="36"/>
  <c r="W18" i="36"/>
  <c r="W26" i="36"/>
  <c r="AC19" i="36"/>
  <c r="Y8" i="63"/>
  <c r="K34" i="52"/>
  <c r="K36" i="52"/>
  <c r="G33" i="63"/>
  <c r="G36" i="63"/>
  <c r="G26" i="63"/>
  <c r="AG24" i="63"/>
  <c r="AE34" i="63"/>
  <c r="AH24" i="63"/>
  <c r="AE23" i="63"/>
  <c r="AC33" i="63"/>
  <c r="AC36" i="63"/>
  <c r="AC26" i="63"/>
  <c r="AD6" i="64"/>
  <c r="AG6" i="64"/>
  <c r="AG7" i="64"/>
  <c r="W61" i="63"/>
  <c r="X88" i="63"/>
  <c r="W88" i="63"/>
  <c r="I26" i="18"/>
  <c r="I9" i="79"/>
  <c r="AE39" i="62"/>
  <c r="AD39" i="62"/>
  <c r="AD43" i="62"/>
  <c r="AD8" i="74"/>
  <c r="AG40" i="62"/>
  <c r="AG6" i="63"/>
  <c r="AD22" i="63"/>
  <c r="AG22" i="63"/>
  <c r="AD14" i="63"/>
  <c r="AD5" i="63"/>
  <c r="Y61" i="63"/>
  <c r="Z88" i="63"/>
  <c r="Y88" i="63"/>
  <c r="AG5" i="67"/>
  <c r="AE16" i="67"/>
  <c r="AH5" i="67"/>
  <c r="F26" i="63"/>
  <c r="F33" i="63"/>
  <c r="F36" i="63"/>
  <c r="Q11" i="48"/>
  <c r="R11" i="48"/>
  <c r="AB26" i="63"/>
  <c r="AB33" i="63"/>
  <c r="AB36" i="63"/>
  <c r="AG20" i="67"/>
  <c r="AE19" i="67"/>
  <c r="AH20" i="67"/>
  <c r="L28" i="48"/>
  <c r="AB10" i="74"/>
  <c r="O12" i="52"/>
  <c r="O22" i="52"/>
  <c r="AC10" i="74"/>
  <c r="M28" i="48"/>
  <c r="AD10" i="65"/>
  <c r="AD22" i="65"/>
  <c r="AG23" i="65"/>
  <c r="V46" i="36"/>
  <c r="V54" i="36"/>
  <c r="W46" i="36"/>
  <c r="W54" i="36"/>
  <c r="AC47" i="36"/>
  <c r="Z61" i="63"/>
  <c r="AA88" i="63"/>
  <c r="AH88" i="63"/>
  <c r="AC107" i="19"/>
  <c r="AD15" i="79"/>
  <c r="AD8" i="79"/>
  <c r="AG9" i="79"/>
  <c r="H65" i="63"/>
  <c r="H14" i="59"/>
  <c r="H23" i="59"/>
  <c r="H8" i="63"/>
  <c r="I22" i="65"/>
  <c r="I26" i="65"/>
  <c r="I10" i="65"/>
  <c r="I9" i="65"/>
  <c r="I15" i="65"/>
  <c r="I12" i="74"/>
  <c r="Q40" i="52"/>
  <c r="O11" i="52"/>
  <c r="S40" i="52"/>
  <c r="AG81" i="63"/>
  <c r="AH81" i="63"/>
  <c r="Z8" i="63"/>
  <c r="L34" i="52"/>
  <c r="L36" i="52"/>
  <c r="AH17" i="63"/>
  <c r="AG17" i="63"/>
  <c r="AE16" i="63"/>
  <c r="AG7" i="63"/>
  <c r="AE9" i="63"/>
  <c r="Y18" i="36"/>
  <c r="Y26" i="36"/>
  <c r="AB19" i="36"/>
  <c r="Z18" i="36"/>
  <c r="S36" i="52"/>
  <c r="Q36" i="52"/>
  <c r="I14" i="63"/>
  <c r="I22" i="63"/>
  <c r="I5" i="63"/>
  <c r="I21" i="63"/>
  <c r="AG5" i="64"/>
  <c r="AG28" i="18"/>
  <c r="AD6" i="78"/>
  <c r="I13" i="63"/>
  <c r="I31" i="63"/>
  <c r="X9" i="74"/>
  <c r="H27" i="48"/>
  <c r="W34" i="63"/>
  <c r="X23" i="63"/>
  <c r="W23" i="63"/>
  <c r="AD9" i="64"/>
  <c r="Y7" i="63"/>
  <c r="Y9" i="63"/>
  <c r="Y17" i="63"/>
  <c r="Y16" i="63"/>
  <c r="Y18" i="63"/>
  <c r="Y24" i="63"/>
  <c r="W9" i="74"/>
  <c r="G27" i="48"/>
  <c r="Z78" i="63"/>
  <c r="Z81" i="63"/>
  <c r="AA84" i="63"/>
  <c r="AH84" i="63"/>
  <c r="Z24" i="63"/>
  <c r="Z7" i="63"/>
  <c r="Z9" i="63"/>
  <c r="Z17" i="63"/>
  <c r="AA7" i="63"/>
  <c r="W16" i="63"/>
  <c r="W18" i="63"/>
  <c r="X16" i="63"/>
  <c r="X18" i="63"/>
  <c r="AC18" i="36"/>
  <c r="Z26" i="36"/>
  <c r="AB18" i="36"/>
  <c r="AG22" i="65"/>
  <c r="AD26" i="65"/>
  <c r="AG26" i="65"/>
  <c r="AD9" i="65"/>
  <c r="AG10" i="65"/>
  <c r="AE31" i="67"/>
  <c r="AG19" i="67"/>
  <c r="AH19" i="67"/>
  <c r="AH39" i="62"/>
  <c r="AG39" i="62"/>
  <c r="AE43" i="62"/>
  <c r="H7" i="63"/>
  <c r="H9" i="63"/>
  <c r="H9" i="74"/>
  <c r="H17" i="63"/>
  <c r="H24" i="63"/>
  <c r="I7" i="63"/>
  <c r="I9" i="63"/>
  <c r="I9" i="74"/>
  <c r="Y78" i="63"/>
  <c r="Y81" i="63"/>
  <c r="Z84" i="63"/>
  <c r="Y84" i="63"/>
  <c r="I15" i="79"/>
  <c r="I16" i="79"/>
  <c r="I8" i="79"/>
  <c r="I11" i="79"/>
  <c r="H61" i="63"/>
  <c r="I88" i="63"/>
  <c r="H88" i="63"/>
  <c r="AD9" i="63"/>
  <c r="AG9" i="63"/>
  <c r="AD21" i="63"/>
  <c r="AG5" i="63"/>
  <c r="AG23" i="63"/>
  <c r="AE26" i="63"/>
  <c r="AE33" i="63"/>
  <c r="AE9" i="74"/>
  <c r="O27" i="48"/>
  <c r="S22" i="52"/>
  <c r="Q22" i="52"/>
  <c r="AD13" i="63"/>
  <c r="AG14" i="63"/>
  <c r="AD31" i="63"/>
  <c r="AG31" i="63"/>
  <c r="AC46" i="36"/>
  <c r="AB46" i="36"/>
  <c r="Z54" i="36"/>
  <c r="AG8" i="79"/>
  <c r="AD11" i="79"/>
  <c r="AG11" i="79"/>
  <c r="S12" i="52"/>
  <c r="Q12" i="52"/>
  <c r="O10" i="52"/>
  <c r="O15" i="52"/>
  <c r="AH34" i="63"/>
  <c r="AG34" i="63"/>
  <c r="AG16" i="63"/>
  <c r="AE18" i="63"/>
  <c r="Q11" i="52"/>
  <c r="S11" i="52"/>
  <c r="AG15" i="79"/>
  <c r="AD16" i="79"/>
  <c r="AG16" i="79"/>
  <c r="AH16" i="67"/>
  <c r="O7" i="48"/>
  <c r="AE14" i="74"/>
  <c r="AG16" i="67"/>
  <c r="W78" i="63"/>
  <c r="W81" i="63"/>
  <c r="X84" i="63"/>
  <c r="W84" i="63"/>
  <c r="S43" i="52"/>
  <c r="Q43" i="52"/>
  <c r="I6" i="78"/>
  <c r="I5" i="78"/>
  <c r="I9" i="78"/>
  <c r="I23" i="63"/>
  <c r="H34" i="63"/>
  <c r="H23" i="63"/>
  <c r="AG31" i="67"/>
  <c r="AH31" i="67"/>
  <c r="AE15" i="74"/>
  <c r="H28" i="48"/>
  <c r="X10" i="74"/>
  <c r="X33" i="63"/>
  <c r="X36" i="63"/>
  <c r="X26" i="63"/>
  <c r="H16" i="63"/>
  <c r="H18" i="63"/>
  <c r="H10" i="74"/>
  <c r="I16" i="63"/>
  <c r="G28" i="48"/>
  <c r="W10" i="74"/>
  <c r="AG9" i="65"/>
  <c r="AD15" i="65"/>
  <c r="AA9" i="63"/>
  <c r="AH7" i="63"/>
  <c r="Y34" i="63"/>
  <c r="Z23" i="63"/>
  <c r="Y23" i="63"/>
  <c r="H78" i="63"/>
  <c r="H81" i="63"/>
  <c r="H84" i="63"/>
  <c r="I84" i="63"/>
  <c r="AC54" i="36"/>
  <c r="AB54" i="36"/>
  <c r="Z16" i="63"/>
  <c r="Z18" i="63"/>
  <c r="AA16" i="63"/>
  <c r="I28" i="48"/>
  <c r="Y10" i="74"/>
  <c r="AG21" i="63"/>
  <c r="AD26" i="63"/>
  <c r="AG26" i="63"/>
  <c r="J27" i="48"/>
  <c r="Z9" i="74"/>
  <c r="Y9" i="74"/>
  <c r="I27" i="48"/>
  <c r="I12" i="63"/>
  <c r="I30" i="63"/>
  <c r="AE10" i="74"/>
  <c r="O28" i="48"/>
  <c r="AG13" i="63"/>
  <c r="AD12" i="63"/>
  <c r="AD30" i="63"/>
  <c r="AG30" i="63"/>
  <c r="AG33" i="63"/>
  <c r="AE36" i="63"/>
  <c r="AH14" i="74"/>
  <c r="AG14" i="74"/>
  <c r="O18" i="52"/>
  <c r="D27" i="52"/>
  <c r="Q15" i="52"/>
  <c r="O21" i="52"/>
  <c r="S15" i="52"/>
  <c r="N27" i="48"/>
  <c r="Q27" i="48"/>
  <c r="AD9" i="74"/>
  <c r="AG9" i="74"/>
  <c r="AB26" i="36"/>
  <c r="AC26" i="36"/>
  <c r="AA23" i="63"/>
  <c r="Z34" i="63"/>
  <c r="AG9" i="64"/>
  <c r="AD11" i="74"/>
  <c r="AG11" i="74"/>
  <c r="AD5" i="78"/>
  <c r="AG6" i="78"/>
  <c r="AH43" i="62"/>
  <c r="AE8" i="74"/>
  <c r="AG43" i="62"/>
  <c r="Q7" i="48"/>
  <c r="R7" i="48"/>
  <c r="Q10" i="52"/>
  <c r="S10" i="52"/>
  <c r="W26" i="63"/>
  <c r="W33" i="63"/>
  <c r="W36" i="63"/>
  <c r="AD9" i="78"/>
  <c r="AG9" i="78"/>
  <c r="AG5" i="78"/>
  <c r="N30" i="48"/>
  <c r="Q30" i="48"/>
  <c r="AD12" i="74"/>
  <c r="AG12" i="74"/>
  <c r="AG15" i="65"/>
  <c r="Q21" i="52"/>
  <c r="S21" i="52"/>
  <c r="O20" i="52"/>
  <c r="AH15" i="74"/>
  <c r="AG15" i="74"/>
  <c r="I29" i="63"/>
  <c r="I18" i="63"/>
  <c r="I10" i="74"/>
  <c r="Y26" i="63"/>
  <c r="Y33" i="63"/>
  <c r="Y36" i="63"/>
  <c r="S18" i="52"/>
  <c r="Q18" i="52"/>
  <c r="Z10" i="74"/>
  <c r="J28" i="48"/>
  <c r="H26" i="63"/>
  <c r="H33" i="63"/>
  <c r="H36" i="63"/>
  <c r="AA33" i="63"/>
  <c r="AA26" i="63"/>
  <c r="AH26" i="63"/>
  <c r="AH23" i="63"/>
  <c r="AD29" i="63"/>
  <c r="AD18" i="63"/>
  <c r="AG12" i="63"/>
  <c r="AA18" i="63"/>
  <c r="AH16" i="63"/>
  <c r="Z33" i="63"/>
  <c r="Z36" i="63"/>
  <c r="Z26" i="63"/>
  <c r="AH8" i="74"/>
  <c r="AG8" i="74"/>
  <c r="AA9" i="74"/>
  <c r="AH9" i="74"/>
  <c r="K27" i="48"/>
  <c r="R27" i="48"/>
  <c r="AH9" i="63"/>
  <c r="I33" i="63"/>
  <c r="I36" i="63"/>
  <c r="I26" i="63"/>
  <c r="O23" i="52"/>
  <c r="S20" i="52"/>
  <c r="Q20" i="52"/>
  <c r="AG29" i="63"/>
  <c r="AD36" i="63"/>
  <c r="AG36" i="63"/>
  <c r="AA36" i="63"/>
  <c r="AH36" i="63"/>
  <c r="AH33" i="63"/>
  <c r="K28" i="48"/>
  <c r="R28" i="48"/>
  <c r="AA10" i="74"/>
  <c r="AH10" i="74"/>
  <c r="AH18" i="63"/>
  <c r="N28" i="48"/>
  <c r="Q28" i="48"/>
  <c r="AD10" i="74"/>
  <c r="AG10" i="74"/>
  <c r="AG18" i="63"/>
  <c r="S23" i="52"/>
  <c r="Q23" i="52"/>
  <c r="O25" i="52"/>
  <c r="O26" i="52"/>
  <c r="S25" i="52"/>
  <c r="Q25" i="52"/>
  <c r="O42" i="52"/>
  <c r="Q26" i="52"/>
  <c r="S26" i="52"/>
  <c r="D26" i="52"/>
  <c r="D25" i="52"/>
  <c r="Q42" i="52"/>
  <c r="S42" i="52"/>
  <c r="O41" i="52"/>
  <c r="S41" i="52"/>
  <c r="Q41" i="52"/>
</calcChain>
</file>

<file path=xl/sharedStrings.xml><?xml version="1.0" encoding="utf-8"?>
<sst xmlns="http://schemas.openxmlformats.org/spreadsheetml/2006/main" count="1816" uniqueCount="1198">
  <si>
    <t>N#</t>
  </si>
  <si>
    <t>Language</t>
  </si>
  <si>
    <t>Quarters</t>
  </si>
  <si>
    <t>Trimestres</t>
  </si>
  <si>
    <t>Quarters 1</t>
  </si>
  <si>
    <t>Trimestres 1</t>
  </si>
  <si>
    <t>x</t>
  </si>
  <si>
    <t>y</t>
  </si>
  <si>
    <t>Menu - EN</t>
  </si>
  <si>
    <t>Menu - PT</t>
  </si>
  <si>
    <t>Balance Sheet (IFRS, R$ Thousands)</t>
  </si>
  <si>
    <t>Balanço Patrimonial (IFRS, R$ Mil)</t>
  </si>
  <si>
    <t>Income Statement (IFRS, R$ Thousands)</t>
  </si>
  <si>
    <t>Demonstração de Resultado (IFRS, R$ Mil)</t>
  </si>
  <si>
    <t>Credit (IFRS, R$ Thousands)</t>
  </si>
  <si>
    <t>NIM &amp; Yields (IFRS, R$ Thousands)</t>
  </si>
  <si>
    <t>NIM &amp; Yields (IFRS, R$ Mil)</t>
  </si>
  <si>
    <t>Asset Quality (IFRS, R$ Thousands)</t>
  </si>
  <si>
    <t>Asset Quality (IFRS, R$ Mil)</t>
  </si>
  <si>
    <t>NII (IFRS, R$ Thousands)</t>
  </si>
  <si>
    <t>NII (IFRS, R$ Mil)</t>
  </si>
  <si>
    <t>IEP (IFRS, R$ Thousands)</t>
  </si>
  <si>
    <t>IEP (IFRS, R$ Mil)</t>
  </si>
  <si>
    <t>Expenses (IFRS, R$ Thousands)</t>
  </si>
  <si>
    <t>Despesas (IFRS, R$ Mil)</t>
  </si>
  <si>
    <t>Carteira de Crédito (IFRS, R$ Mil)</t>
  </si>
  <si>
    <t>Funding (IFRS, R$ Thousands)</t>
  </si>
  <si>
    <t>Funding (IFRS, R$ Mil)</t>
  </si>
  <si>
    <t>Fee Revenues (IFRS, R$ Thousands)</t>
  </si>
  <si>
    <t>Receitas de serviços e comissões (IFRS, R$ Mil)</t>
  </si>
  <si>
    <t>Financials KPIs</t>
  </si>
  <si>
    <t>KPIs Financeiros</t>
  </si>
  <si>
    <t>Capital Ratio (Banco Inter S.A., R$ Thousands)</t>
  </si>
  <si>
    <t>Índice de Basiléia (Banco Inter S.A., R$ Mil)</t>
  </si>
  <si>
    <t>NIMs (R$ Thousands)</t>
  </si>
  <si>
    <t>NIMs (R$ Mil)</t>
  </si>
  <si>
    <t>Cost of Risk (R$ Thousands)</t>
  </si>
  <si>
    <t>Cost of Risk (R$ Mil)</t>
  </si>
  <si>
    <t>Asset Quality</t>
  </si>
  <si>
    <t>Monthly Cost-to-serve (R$ Thousands)</t>
  </si>
  <si>
    <t>Custo de Servir Mensal (R$ Mil)</t>
  </si>
  <si>
    <t>Monthly ARPAC (R$ Thousands)</t>
  </si>
  <si>
    <t>ARPAC Mensal (R$ Mil)</t>
  </si>
  <si>
    <t>Inter Seguros (Managerial, Million)</t>
  </si>
  <si>
    <t>Inter Seguros (Gerencial, Milhão)</t>
  </si>
  <si>
    <t>Inter Shop (Managerial, Million)</t>
  </si>
  <si>
    <t>Inter Shop (Gerencial, Milhões)</t>
  </si>
  <si>
    <t>Digital Account (Managerial, Million)</t>
  </si>
  <si>
    <t>Conta Digital (Gerencial, Milhões)</t>
  </si>
  <si>
    <t>Operational KPIs</t>
  </si>
  <si>
    <t>KPIs Operacionais</t>
  </si>
  <si>
    <t>Back to summary</t>
  </si>
  <si>
    <t>Voltar ao sumário</t>
  </si>
  <si>
    <t>Note 1: New methodology for NIMs since 1Q23. Considering derivatives.</t>
  </si>
  <si>
    <t>Nota 1: Nova metodologia para NIMs desde o 1T23. Considerando derivativos.</t>
  </si>
  <si>
    <t> Efficiency Ratio (R$ Thousands)</t>
  </si>
  <si>
    <t>Índice de Eficiência (R$ Mil)</t>
  </si>
  <si>
    <t>Inter Invest (Managerial, R$ Million)</t>
  </si>
  <si>
    <t>Inter Invest (Gerencial, R$ Milhão)</t>
  </si>
  <si>
    <t>Managerial KPIs Effects in 2Q25 Financial Statements</t>
  </si>
  <si>
    <t>Efeitos Gerenciais dos KPIs nas Demonstrações Financeiras do 2T25</t>
  </si>
  <si>
    <t>Market Data - Brazil (Millions)</t>
  </si>
  <si>
    <t>Dados de Mercado - Brasil (Milhões)</t>
  </si>
  <si>
    <t>Inter Pag (Managerial, R$ Million)</t>
  </si>
  <si>
    <t>Inter Pag (Gerencial, R$ Milhão)</t>
  </si>
  <si>
    <t>ROE (IFRS, R$ Thousands)</t>
  </si>
  <si>
    <t>ROE (IFRS, R$ Mil)</t>
  </si>
  <si>
    <t>Português</t>
  </si>
  <si>
    <t>4Q19</t>
  </si>
  <si>
    <t>4T19</t>
  </si>
  <si>
    <t>Operational Data</t>
  </si>
  <si>
    <t>Dados Operacionais</t>
  </si>
  <si>
    <t>Balance Sheet</t>
  </si>
  <si>
    <t>Balanço Patrimonial</t>
  </si>
  <si>
    <t>Assets</t>
  </si>
  <si>
    <t>Ativos</t>
  </si>
  <si>
    <t>Interest income</t>
  </si>
  <si>
    <t>Receitas de juros</t>
  </si>
  <si>
    <t>Loan portfolio</t>
  </si>
  <si>
    <t>(-) Hedge accounting from real estate loans</t>
  </si>
  <si>
    <t>(-) Resultado de hedge accounting de crédito imobiliário</t>
  </si>
  <si>
    <t>Average portfolio that generates provision expenses</t>
  </si>
  <si>
    <t>Portfólio médio que gera despesas de provisão</t>
  </si>
  <si>
    <t>Amounts due from financial institutions excl. interbank onlending</t>
  </si>
  <si>
    <t xml:space="preserve"> Empréstimos e adiantamento a instituições financeiras excl. repasses interfinanceiros</t>
  </si>
  <si>
    <t>Total Expenses</t>
  </si>
  <si>
    <t>Despesas Totais</t>
  </si>
  <si>
    <t>Carteira de crédito</t>
  </si>
  <si>
    <t>Funding - including other interest bearing liabilities</t>
  </si>
  <si>
    <t>Funding - incluindo outros passivos que geram despesas de juros</t>
  </si>
  <si>
    <t>KPIs financeiros</t>
  </si>
  <si>
    <t>Cost of risk  (Excl. Antic. of CC Receivables)</t>
  </si>
  <si>
    <t>Cost of risk  (Excl. Antec. de Recebíveis CC)</t>
  </si>
  <si>
    <t>Cost of risk (%)</t>
  </si>
  <si>
    <t>Inter seguros</t>
  </si>
  <si>
    <t>Inter shop</t>
  </si>
  <si>
    <t>Digital account</t>
  </si>
  <si>
    <t>Conta digital</t>
  </si>
  <si>
    <t>KPIs operacionais</t>
  </si>
  <si>
    <t>Note 1: New methodology for Efficiency Ratio since 1Q23. Considering D&amp;A as expanses and excluding tax expenses from revenues.</t>
  </si>
  <si>
    <t>Note 1: Nova metodologia para Índice de Eficiência desde o 1T23. Considerando D&amp;A em despesas e excluindo despesas tributárias na receita.</t>
  </si>
  <si>
    <t>Variation %</t>
  </si>
  <si>
    <t>Variação %</t>
  </si>
  <si>
    <t>Instructions for Use:
1. Read the disclaimer bellow before using this sheet.
2. The simulation is pre-set with Q2'25 Key Performance Indicators (KPIs) in column D. You can modify the simulation by entering your desired KPI values in the green cells in Column D.
3. Once you input the new KPI values, the corresponding results will be updated in column O of the Income Statement, Balance Sheet, or both, depending on the specific KPI. The values that may alter are marked in orange.
4. Additionally, the KPI Output in column D will change dynamically based on your input, allowing you to observe the effects of different KPI values.</t>
  </si>
  <si>
    <t>Instruções de Uso:
1. Leia o disclaimer abaixo antes de utilizar esta planilha.
2. A simulação está pré-configurada com Indicadores-Chave de Desempenho (KPIs) do 2º trimestre de 2025 na coluna D. Você pode modificar a simulação inserindo os valores desejados para os KPIs nas células em verde na coluna D.
3. Uma vez que você inserir os novos valores dos KPIs, os resultados correspondentes serão automaticamente atualizados na coluna O da Demonstração de Resultados, Balanço Patrimonial ou em ambos, dependendo da KPI. Os valores que podem ser alterados estão marcados em laranja.
4. Além disso, o resultado dos KPIs na coluna D mudará dinamicamente de acordo com a sua entrada, permitindo que você observe os efeitos de diferentes valores de KPI.
Aviso Legal: Esta simulação é fornecida apenas para fins ilustrativos e não representa dados financeiros reais. As informações apresentadas são baseadas em cenários hipotéticos e suposições. Ela é destinada apenas como uma ferramenta de aprendizado e não oferece qualquer tipo de conselho de investimento, recomendações ou orientações.
Recomenda-se que os usuários tenham cautela ao interpretar os resultados e que consultem profissionais financeiros qualificados ou se refiram às regras e diretrizes oficiais fornecidas pelas autoridades reguladoras relevantes antes de tomar quaisquer decisões financeiras no mundo real.</t>
  </si>
  <si>
    <t>Source</t>
  </si>
  <si>
    <t>Fonte</t>
  </si>
  <si>
    <t>English</t>
  </si>
  <si>
    <t>4Q20</t>
  </si>
  <si>
    <t>4T20</t>
  </si>
  <si>
    <t>Others</t>
  </si>
  <si>
    <t>Outros</t>
  </si>
  <si>
    <t>Income Statement</t>
  </si>
  <si>
    <t>DRE</t>
  </si>
  <si>
    <t>Cash and equivalents</t>
  </si>
  <si>
    <t>Caixa e equivalentes de caixa</t>
  </si>
  <si>
    <t>Interest expenses</t>
  </si>
  <si>
    <t>Despesas de juros</t>
  </si>
  <si>
    <t>Gross loans and advances to customers</t>
  </si>
  <si>
    <t>(-) Hedge accounting from personal loans</t>
  </si>
  <si>
    <t>(-) Resultado de hedge accounting de crédito pessoal</t>
  </si>
  <si>
    <t>Portfolio that generates provision expenses</t>
  </si>
  <si>
    <t>Portfólio que gera despesas de provisão</t>
  </si>
  <si>
    <t>(-) Interbank on-lending</t>
  </si>
  <si>
    <t>(-) Repasses interfinanceiros</t>
  </si>
  <si>
    <t>Total expenses</t>
  </si>
  <si>
    <t>Depesas totais</t>
  </si>
  <si>
    <t>Empréstimos e adiantamentos a clientes</t>
  </si>
  <si>
    <t>Deposits from customers</t>
  </si>
  <si>
    <t>Passivos com clientes</t>
  </si>
  <si>
    <t xml:space="preserve">Revenues from services and commissions </t>
  </si>
  <si>
    <t>Receitas de serviços e comissões</t>
  </si>
  <si>
    <t>Tier I Ratio</t>
  </si>
  <si>
    <t>Tier I ratio (%)</t>
  </si>
  <si>
    <t>Índice de basileia (%)</t>
  </si>
  <si>
    <t>Capital ratio</t>
  </si>
  <si>
    <t>Índice de basiléia</t>
  </si>
  <si>
    <t>NIM 1.0 - IEP + non-interest credit card receivables</t>
  </si>
  <si>
    <t>NIM 1.0 - carteira remunerada + recebíveis CC que não geram juros</t>
  </si>
  <si>
    <t>Anuallized impairment losses on financial assets</t>
  </si>
  <si>
    <t>Resultado de perdas esperadas anualizado</t>
  </si>
  <si>
    <t>NPL &gt; 90 days (including anticipation of credit card receivables, %)</t>
  </si>
  <si>
    <t>NPL &gt; 90 dias (incluindo antecipação de recebíveis de cartão de crédito, %)</t>
  </si>
  <si>
    <t>Cost-to-serve</t>
  </si>
  <si>
    <t>Custo de servir</t>
  </si>
  <si>
    <t>ARPAC (gross of cost of funding)</t>
  </si>
  <si>
    <t>ARPAC (bruto de custo de funding)</t>
  </si>
  <si>
    <t>Active contracts</t>
  </si>
  <si>
    <t>Contratos ativos</t>
  </si>
  <si>
    <t>Gross merchandise volume</t>
  </si>
  <si>
    <t>Volume transacionado</t>
  </si>
  <si>
    <t>Number of cards used (in thousands)</t>
  </si>
  <si>
    <t>Número de cartões utilizados (em mil)</t>
  </si>
  <si>
    <t>CAC</t>
  </si>
  <si>
    <t>Note 1: New methodology for Total cost-to-serve since 1Q23 Considering D&amp;A as expanses.</t>
  </si>
  <si>
    <t>Note 1: Nova metodologia para Custo de servir desde o 1T23. Considerando D&amp;A nas depesas e excluindo despesas tributárias.</t>
  </si>
  <si>
    <t>Efficiency ratio </t>
  </si>
  <si>
    <t>Índice de eficiência</t>
  </si>
  <si>
    <t>Inter invest</t>
  </si>
  <si>
    <t>KPIs</t>
  </si>
  <si>
    <t>KPI Inputs</t>
  </si>
  <si>
    <t>Input KPI</t>
  </si>
  <si>
    <t>Inter Pag</t>
  </si>
  <si>
    <t>ROE Including Minority Interest (%)</t>
  </si>
  <si>
    <t>ROE Incluindo Minoritários (%)</t>
  </si>
  <si>
    <t>1Q21</t>
  </si>
  <si>
    <t>1T21</t>
  </si>
  <si>
    <t xml:space="preserve">Credit </t>
  </si>
  <si>
    <t>Crédito</t>
  </si>
  <si>
    <t>Amounts due from financial institutions, net of provisions for expected credit losses</t>
  </si>
  <si>
    <t>Empréstimos e adiantamento a instituições financeiras, líquidos de provisões para perdas esperadas</t>
  </si>
  <si>
    <t>Income from securities, derivatives and foreign exchange</t>
  </si>
  <si>
    <t>Resultado de títulos e valores mobiliários, derivativos e câmbio</t>
  </si>
  <si>
    <t>Real estate</t>
  </si>
  <si>
    <t>Income from derivatives excl. loan hedge accouting</t>
  </si>
  <si>
    <t>Resultado de derivativos excl. excl. hedge accouting de empréstimos</t>
  </si>
  <si>
    <t>All-in Cost of Risk (%)</t>
  </si>
  <si>
    <t>Custo de Risco Amplo (%)</t>
  </si>
  <si>
    <t>Total Interest Earning Assets</t>
  </si>
  <si>
    <t>Total de Ativos que Geram Juros</t>
  </si>
  <si>
    <t>Imobiliário</t>
  </si>
  <si>
    <t>Demand deposits</t>
  </si>
  <si>
    <t>Depósitos à vista</t>
  </si>
  <si>
    <t>Interchange</t>
  </si>
  <si>
    <t xml:space="preserve">Receitas de intercâmbio </t>
  </si>
  <si>
    <t>NIM 1.0 - IEP + Non-interest credit card receivables</t>
  </si>
  <si>
    <t>NIM 1.0 - IEP + non-interest credit card receivables (%)</t>
  </si>
  <si>
    <t>NIM 1.0 - Carteira remunerada + recebíveis CC que não geram juros (%)</t>
  </si>
  <si>
    <t>Referential equity (RE)</t>
  </si>
  <si>
    <t xml:space="preserve">Patrimônio de referência (PR) </t>
  </si>
  <si>
    <t>Annualized NII</t>
  </si>
  <si>
    <t>NII anualizado</t>
  </si>
  <si>
    <t>Impairment losses on financial assets</t>
  </si>
  <si>
    <t>Resultado de perdas esperadas</t>
  </si>
  <si>
    <t>NPL 15-90 days (including anticipation of credit card receivables, %)</t>
  </si>
  <si>
    <t>NPL 15-90 dias (incluindo antecipação de recebíveis de cartão de crédito, %)</t>
  </si>
  <si>
    <t>Monthly average of cost-to-serve</t>
  </si>
  <si>
    <t>Custo de servir médio mensal</t>
  </si>
  <si>
    <t>Monthly average of total gross revenues</t>
  </si>
  <si>
    <t>Receita bruta total mensal média</t>
  </si>
  <si>
    <t>Inter Seguros net revenues</t>
  </si>
  <si>
    <t>Receita líquida Inter Seguros</t>
  </si>
  <si>
    <t>Inter Shop net revenues</t>
  </si>
  <si>
    <t>Receita líquida Inter Shop</t>
  </si>
  <si>
    <t>Debit cards used</t>
  </si>
  <si>
    <t>Débito</t>
  </si>
  <si>
    <t>NPS</t>
  </si>
  <si>
    <t>Source: CDI Rate according to CETIP</t>
  </si>
  <si>
    <t>Fonte: Taxa do CDI de acordo com a CETIP</t>
  </si>
  <si>
    <t>Total operational expenses</t>
  </si>
  <si>
    <t>Despesas operacionais totais</t>
  </si>
  <si>
    <t>Total AUC</t>
  </si>
  <si>
    <t>AuC/AuM Total</t>
  </si>
  <si>
    <t>Unit Economics</t>
  </si>
  <si>
    <t>Banking Accounts - Brazil</t>
  </si>
  <si>
    <t>Contas Bancárias - Brasil</t>
  </si>
  <si>
    <t>Active Clients</t>
  </si>
  <si>
    <t>Clientes Ativos</t>
  </si>
  <si>
    <t>Annualized net income including minority interest</t>
  </si>
  <si>
    <t>Lucro líquido incluindo minoritários anualizado</t>
  </si>
  <si>
    <t>2Q21</t>
  </si>
  <si>
    <t>2T21</t>
  </si>
  <si>
    <t>Funding</t>
  </si>
  <si>
    <t>Deposits at Central Bank of Brazil</t>
  </si>
  <si>
    <t>Depósitos compulsórios no Banco Central do Brasil</t>
  </si>
  <si>
    <t>Net interest income and income from securities, derivatives and foreing exchange</t>
  </si>
  <si>
    <t>Resultado líquido de juros e receita de títulos, derivativos e câmbio</t>
  </si>
  <si>
    <t>Personal</t>
  </si>
  <si>
    <t>Gross interest income</t>
  </si>
  <si>
    <t>Receita bruta de juros</t>
  </si>
  <si>
    <t>All-in cost of risk (%)</t>
  </si>
  <si>
    <t>Custo de risco amplo (%)</t>
  </si>
  <si>
    <t>Sovereign securities</t>
  </si>
  <si>
    <t>Títulos soberanos</t>
  </si>
  <si>
    <t>Pessoal</t>
  </si>
  <si>
    <t>Time deposits</t>
  </si>
  <si>
    <t>Depósitos a prazo</t>
  </si>
  <si>
    <t>Comissions</t>
  </si>
  <si>
    <t xml:space="preserve">Receitas de comissões </t>
  </si>
  <si>
    <t>NIM 2.0 - IEP only</t>
  </si>
  <si>
    <t>NIM 2.0 - IEP only (%)</t>
  </si>
  <si>
    <t>NIM 2.0 - Apenas carteira remunerada (%)</t>
  </si>
  <si>
    <t>Tier I referential equity</t>
  </si>
  <si>
    <t xml:space="preserve">Patrimônio de referência nível I </t>
  </si>
  <si>
    <t>NII</t>
  </si>
  <si>
    <t>(÷) Avg of the last two periods of gross loans and advances to customers</t>
  </si>
  <si>
    <t>(÷) Média dos últimos dois períodos de empréstimos e adiantamentos a clientes</t>
  </si>
  <si>
    <t>Efficiency</t>
  </si>
  <si>
    <t>Eficiência</t>
  </si>
  <si>
    <t>Total cost-to-serve</t>
  </si>
  <si>
    <t>Custo de servir total</t>
  </si>
  <si>
    <t>Total gross revenues</t>
  </si>
  <si>
    <t>Receita bruta total</t>
  </si>
  <si>
    <t>Inter Seguros net fee revenues</t>
  </si>
  <si>
    <t>Receita líquida de serviços e comissões Inter Seguros</t>
  </si>
  <si>
    <t>Inter Shop net fee revenues</t>
  </si>
  <si>
    <t>Receita líquida de serviços e comissões Inter Shop</t>
  </si>
  <si>
    <t>Credit cards used</t>
  </si>
  <si>
    <t>Total clients (million)</t>
  </si>
  <si>
    <t>Clientes totais (milhões)</t>
  </si>
  <si>
    <t>Personnel expenses</t>
  </si>
  <si>
    <t>Despesa de pessoal</t>
  </si>
  <si>
    <t>Funding (includes deposits and other on-balance funding)</t>
  </si>
  <si>
    <t>Funding (incluindo outras operações)</t>
  </si>
  <si>
    <t>Total Clients (mm)</t>
  </si>
  <si>
    <t>Total de Clientes (mm)</t>
  </si>
  <si>
    <t>Cost of funding (%)</t>
  </si>
  <si>
    <t>Custo de funding (%)</t>
  </si>
  <si>
    <t>Individuals with Banking Accounts</t>
  </si>
  <si>
    <t>CPFs com Contas Bancárias</t>
  </si>
  <si>
    <t>Estatísticas do CCS - Banco Central do Brasil</t>
  </si>
  <si>
    <t>Total TPV</t>
  </si>
  <si>
    <t>TPV Total</t>
  </si>
  <si>
    <t>Net income including minority interest</t>
  </si>
  <si>
    <t>Lucro líquido incluindo minoritários</t>
  </si>
  <si>
    <t>3Q21</t>
  </si>
  <si>
    <t>3T21</t>
  </si>
  <si>
    <t>Fee Revenue</t>
  </si>
  <si>
    <t>Receita Líquida</t>
  </si>
  <si>
    <t>Securities, net of provisions for expected credit losses</t>
  </si>
  <si>
    <t>Títulos e valores mobiliários, líquidos de provisões para perdas esperadas</t>
  </si>
  <si>
    <t>Net revenues from services and commissions</t>
  </si>
  <si>
    <t>Receitas líquidas de serviços e comissões</t>
  </si>
  <si>
    <t>SME</t>
  </si>
  <si>
    <t>Other IEPs Rate (%)</t>
  </si>
  <si>
    <t>Other IEP rate (%)</t>
  </si>
  <si>
    <t>Taxa de outros IEPs (%)</t>
  </si>
  <si>
    <t>Private securities</t>
  </si>
  <si>
    <t>Títulos e valores mobiliários privados</t>
  </si>
  <si>
    <t>Empresas</t>
  </si>
  <si>
    <t>Savings deposits</t>
  </si>
  <si>
    <t>Depósitos de poupança</t>
  </si>
  <si>
    <t>Banking</t>
  </si>
  <si>
    <t xml:space="preserve">Receitas de tarifas bancárias </t>
  </si>
  <si>
    <t>Efficiency Ratio</t>
  </si>
  <si>
    <t>Efficiency ratio (%)</t>
  </si>
  <si>
    <t>Índice de eficiência (%)</t>
  </si>
  <si>
    <t>Core capital (CC)</t>
  </si>
  <si>
    <t xml:space="preserve">Capital principal (CP) </t>
  </si>
  <si>
    <t>Net interest income</t>
  </si>
  <si>
    <t>Resultado líquido de juros</t>
  </si>
  <si>
    <t>CAC (R$)</t>
  </si>
  <si>
    <t>Inter Seguros net interest revenues</t>
  </si>
  <si>
    <t>Receita líquida de juros Inter Seguros</t>
  </si>
  <si>
    <t>Inter Shop net interest revenues</t>
  </si>
  <si>
    <t>Receita líquida de juros Inter Shop</t>
  </si>
  <si>
    <t>Total cards used</t>
  </si>
  <si>
    <t>Número total de cartões utilizados</t>
  </si>
  <si>
    <t>Active clients (million)</t>
  </si>
  <si>
    <t>Clientes ativos (milhões)</t>
  </si>
  <si>
    <t>Administrative expenses</t>
  </si>
  <si>
    <t>Despesas administrativas</t>
  </si>
  <si>
    <t>Inter Asset AuM + Inter Securities AuM</t>
  </si>
  <si>
    <t>Active Clients (mm)</t>
  </si>
  <si>
    <t>Clientes Ativos (mm)</t>
  </si>
  <si>
    <t>NIM (%) 2.0 - IEP only</t>
  </si>
  <si>
    <t>NIM 2.0 - carteira remunerada</t>
  </si>
  <si>
    <t>Business with Banking Accounts</t>
  </si>
  <si>
    <t>CNPJs com Contas Bancárias</t>
  </si>
  <si>
    <t>Credit TPV</t>
  </si>
  <si>
    <t>TPV Crédito</t>
  </si>
  <si>
    <t xml:space="preserve"> (÷) Average total equity of the last two periods</t>
  </si>
  <si>
    <t xml:space="preserve"> (÷) Total do patrimônio líquido médio dos últimos dois períodos</t>
  </si>
  <si>
    <t>4Q21</t>
  </si>
  <si>
    <t>4T21</t>
  </si>
  <si>
    <t>Financial KPIs</t>
  </si>
  <si>
    <t>Derivative financial assets</t>
  </si>
  <si>
    <t>Instrumentos financeiros derivativos</t>
  </si>
  <si>
    <t>Expenses from services and commissions</t>
  </si>
  <si>
    <t>Despesas de serviços e comissões</t>
  </si>
  <si>
    <t>Credit cards</t>
  </si>
  <si>
    <t>NIM 2.0 (%)</t>
  </si>
  <si>
    <t>Non-transactor credit card portfolio</t>
  </si>
  <si>
    <t>Carteira de cartão de crédito que geram juros</t>
  </si>
  <si>
    <t>Cartão de crédito</t>
  </si>
  <si>
    <t>Creditors by resources to release</t>
  </si>
  <si>
    <t>Credores por recursos a liberar</t>
  </si>
  <si>
    <t>Management (Inter DTVM &amp; Asset)</t>
  </si>
  <si>
    <t>Receita de gestão (Inter DTVM &amp; Asset)</t>
  </si>
  <si>
    <t>Cost-to-serve (R$)</t>
  </si>
  <si>
    <t>Custo de servir (R$)</t>
  </si>
  <si>
    <t>Risk weighted assets - RWA</t>
  </si>
  <si>
    <t>Ativos ponderados por risco - RWA</t>
  </si>
  <si>
    <t>Net gains / (losses) from derivatives</t>
  </si>
  <si>
    <t>Resultado de instrumentos financeiros derivativos</t>
  </si>
  <si>
    <t>Gross loans and advances to customers in the previous period</t>
  </si>
  <si>
    <t>Empréstimos e adiantamentos a clientes no período anterior</t>
  </si>
  <si>
    <t>Income from securities and derivatives</t>
  </si>
  <si>
    <t>Resultado de títulos e valores mobiliários e derivativos</t>
  </si>
  <si>
    <t>EBITDA</t>
  </si>
  <si>
    <t>Cashback expenses</t>
  </si>
  <si>
    <t>Despesas de Cashback</t>
  </si>
  <si>
    <t>Longevity ratio (clients more than 1 year old at Inter) (%)</t>
  </si>
  <si>
    <t>Índice de longevidade (clientes com mais de um ano no inter) %</t>
  </si>
  <si>
    <t>Depreciation and amortization</t>
  </si>
  <si>
    <t>Depreciação e amortização</t>
  </si>
  <si>
    <t>Inter DTVM - management, distribution and custody</t>
  </si>
  <si>
    <t>Inter DTVM - gestão, distribuição e custódia</t>
  </si>
  <si>
    <t>Gross ARPAC (R$)</t>
  </si>
  <si>
    <t>ARPAC Bruto (R$)</t>
  </si>
  <si>
    <t>Net fee income growth (%, QoQ)</t>
  </si>
  <si>
    <t>Crescimento das receitas líquidas de serviços (%, QoQ)</t>
  </si>
  <si>
    <t>Debt TPV</t>
  </si>
  <si>
    <t>TPV Débito</t>
  </si>
  <si>
    <t>Total equity</t>
  </si>
  <si>
    <t>Total do patrimônio líquido</t>
  </si>
  <si>
    <t>1Q22</t>
  </si>
  <si>
    <t>1T22</t>
  </si>
  <si>
    <t>Índice de Basileia</t>
  </si>
  <si>
    <t>Loans and advances to customers, net of provisions for expected credit losses</t>
  </si>
  <si>
    <t>Empréstimos e adiantamento a clientes, líquidos de provisões para perdas esperadas</t>
  </si>
  <si>
    <t>Net result from services and commissions</t>
  </si>
  <si>
    <t>Resultado líquido de serviços e comissões</t>
  </si>
  <si>
    <t>Agribusiness</t>
  </si>
  <si>
    <t>Loans and advances to customers excl. transactor credit card portfolio</t>
  </si>
  <si>
    <t>Empréstimos e adiantamentos a clientes excl. carteira de cartão de crédito que não geram juros</t>
  </si>
  <si>
    <t>Rural</t>
  </si>
  <si>
    <t>Securities issued</t>
  </si>
  <si>
    <t>Títulos emitidos</t>
  </si>
  <si>
    <t>Other</t>
  </si>
  <si>
    <t>ARPAC Gross of Cost of Funding</t>
  </si>
  <si>
    <t>ARPAC gross of cost of funding (R$)</t>
  </si>
  <si>
    <t>ARPAC bruto de custo de funding (R$)</t>
  </si>
  <si>
    <t>RWA for credit risk by standardized approach - RWACPAD</t>
  </si>
  <si>
    <t>RWA para risco de crédito por abordagem padronizada - RWACPAD</t>
  </si>
  <si>
    <t>(÷) Avg of the last two periods of IEP + non-interest credit card receivables</t>
  </si>
  <si>
    <t>(÷) Média dos últimos dois períodos de Carteira remunerada + recebíveis CC que não geram juros</t>
  </si>
  <si>
    <t>Cost of risk (%) (Excl. Antic. of CC Receivables)</t>
  </si>
  <si>
    <t>Cost of risk (%) (Excl. Antec. de Recebíveis CC)</t>
  </si>
  <si>
    <t>Managerial EBITDA Margin</t>
  </si>
  <si>
    <t>Margem EBITDA Gerencial</t>
  </si>
  <si>
    <t>Take rate</t>
  </si>
  <si>
    <t>Cards + PIX TPV (in million)</t>
  </si>
  <si>
    <t>Cartões + PIX TPV (em milhões)</t>
  </si>
  <si>
    <t>Activity rate (%)</t>
  </si>
  <si>
    <t>Índice de ativação (%)</t>
  </si>
  <si>
    <t>(÷) Total net revenues excluding tax expenses</t>
  </si>
  <si>
    <t>(÷) Receitais totais excluindo despesas tributárias</t>
  </si>
  <si>
    <t>Inter Invest net revenues</t>
  </si>
  <si>
    <t xml:space="preserve">Receita líquida Inter Invest </t>
  </si>
  <si>
    <t>CTS (R$)</t>
  </si>
  <si>
    <t>PIX TPV</t>
  </si>
  <si>
    <t>TPV PIX</t>
  </si>
  <si>
    <t>ROE including minority interest (%)</t>
  </si>
  <si>
    <t>ROE incluindo minoritários (%)</t>
  </si>
  <si>
    <t>2Q22</t>
  </si>
  <si>
    <t>2T22</t>
  </si>
  <si>
    <t>NIMs</t>
  </si>
  <si>
    <t>Non-current assets held for sale</t>
  </si>
  <si>
    <t>Ativos não circulantes mantidos para venda</t>
  </si>
  <si>
    <t>Prepayment of receivables</t>
  </si>
  <si>
    <t>Risk-Adjusted NIM 2.0 (%)</t>
  </si>
  <si>
    <t>NIM 2.0 Ajustada ao Risco (%)</t>
  </si>
  <si>
    <t>Total interest earning assets</t>
  </si>
  <si>
    <t>Total de ativos que geram juros</t>
  </si>
  <si>
    <t>Antecipação de recebíveis de cartão de crédito</t>
  </si>
  <si>
    <t>Total funding</t>
  </si>
  <si>
    <t>Funding total</t>
  </si>
  <si>
    <t>Securities placement</t>
  </si>
  <si>
    <t xml:space="preserve">Colocação de valores mobiliários </t>
  </si>
  <si>
    <t>ARPAC Net of Cost of of Funding</t>
  </si>
  <si>
    <t>ARPAC net of cost of of funding (R$)</t>
  </si>
  <si>
    <t>ARPAC líquido de custo de funding (R$)</t>
  </si>
  <si>
    <t>RWA for market risk - RWAMPAD</t>
  </si>
  <si>
    <t>RWA para risco de mercado - RWAMPAD</t>
  </si>
  <si>
    <t>IEP + non-interest credit card receivables</t>
  </si>
  <si>
    <t>Carteira remunerada + recebíveis CC que não geram juros</t>
  </si>
  <si>
    <t>Note 1: 1Q22 managerial figure, excluding non-recurrent provision.</t>
  </si>
  <si>
    <t>Nota 2: Despesa gerencial em 1T22 excluindo provisão não recorrente.</t>
  </si>
  <si>
    <t>CAC expenses</t>
  </si>
  <si>
    <t>Despesas de CAC</t>
  </si>
  <si>
    <t>Inter Seguros net income</t>
  </si>
  <si>
    <t>Lucro líquido Inter Seguros</t>
  </si>
  <si>
    <t>Net take rate</t>
  </si>
  <si>
    <t>Debit TPV</t>
  </si>
  <si>
    <t>Headcount</t>
  </si>
  <si>
    <t>Número de funcionários</t>
  </si>
  <si>
    <t>Resultado líquido de  juros e receita de títulos, derivativos e câmbio</t>
  </si>
  <si>
    <t>Inter Invest net fee revenues</t>
  </si>
  <si>
    <t xml:space="preserve">Receita líquida de serviços e comissões Inter Invest </t>
  </si>
  <si>
    <t>TPV</t>
  </si>
  <si>
    <t>Anticipated TPV</t>
  </si>
  <si>
    <t>TPV Antecipado</t>
  </si>
  <si>
    <t>3Q22</t>
  </si>
  <si>
    <t>3T22</t>
  </si>
  <si>
    <t>Índice de Eficiência</t>
  </si>
  <si>
    <t>Equity accounted investees</t>
  </si>
  <si>
    <t>Investimentos</t>
  </si>
  <si>
    <t>Other revenues</t>
  </si>
  <si>
    <t>Outras receitas</t>
  </si>
  <si>
    <t>Gross loan portfolio including prepayment of receivables</t>
  </si>
  <si>
    <t>(-) Provision for expected loss on loans on loans to customers</t>
  </si>
  <si>
    <t>Risk-adjusted NIM 2.0 (%)</t>
  </si>
  <si>
    <t>NIM 2.0 ajustada ao risco (%)</t>
  </si>
  <si>
    <t>Amounts due from financial institutions</t>
  </si>
  <si>
    <t>Empréstimos e adiantamento a instituições financeiras</t>
  </si>
  <si>
    <t>Carteira de crédito bruta</t>
  </si>
  <si>
    <t>Cost of funding</t>
  </si>
  <si>
    <t>Custo de funding</t>
  </si>
  <si>
    <t>Despesas de cashback</t>
  </si>
  <si>
    <t>ROAA</t>
  </si>
  <si>
    <t>ROAA (%)</t>
  </si>
  <si>
    <t>RWA for operating risk by standard approach - RWAOPAD</t>
  </si>
  <si>
    <t>RWA para risco operacional por abordagem padronizada - RWAOPAD</t>
  </si>
  <si>
    <t>(÷) Average active clients</t>
  </si>
  <si>
    <t>(÷) Média de clientes ativos</t>
  </si>
  <si>
    <t>Inter Seguros gross revenues</t>
  </si>
  <si>
    <t>Receita bruta Inter Seguros</t>
  </si>
  <si>
    <t>Active clients per employee (thousands)</t>
  </si>
  <si>
    <t>Clientes ativos por funcionário (mil)</t>
  </si>
  <si>
    <t>Inter Invest net interest revenues</t>
  </si>
  <si>
    <t xml:space="preserve">Receita líquida de juros Inter Invest </t>
  </si>
  <si>
    <t>Tax expenses as % of total revenues</t>
  </si>
  <si>
    <t>Tributos como % de receitas totais</t>
  </si>
  <si>
    <t>PIX</t>
  </si>
  <si>
    <t>Anticipated TPV (%)</t>
  </si>
  <si>
    <t>TPV Antecipado (%)</t>
  </si>
  <si>
    <t>ROE (%)</t>
  </si>
  <si>
    <t>4Q22</t>
  </si>
  <si>
    <t>4T22</t>
  </si>
  <si>
    <t>Cost-to-Serve</t>
  </si>
  <si>
    <t>Custo de Servir</t>
  </si>
  <si>
    <t>Property and equipment</t>
  </si>
  <si>
    <t>Imobilizado</t>
  </si>
  <si>
    <t>Total net revenues</t>
  </si>
  <si>
    <t>Receitas líquidas</t>
  </si>
  <si>
    <t>Net loans and advances to customers</t>
  </si>
  <si>
    <t>(-) Provision for expected loss on loans on loans to financial institutions</t>
  </si>
  <si>
    <t>(-) Perda esperada por redução ao valor recuperável de empréstimos a clientes</t>
  </si>
  <si>
    <t>Empréstimos a instituições financeiras</t>
  </si>
  <si>
    <t>Empréstimos e adiantamentos a clientes, líquido de provisão</t>
  </si>
  <si>
    <t>Annualized interest expenses</t>
  </si>
  <si>
    <t>Despesa de juros anualizadas</t>
  </si>
  <si>
    <t>Inter Loop</t>
  </si>
  <si>
    <t>ROAE</t>
  </si>
  <si>
    <t>ROAE (%)</t>
  </si>
  <si>
    <t>Capital requirement</t>
  </si>
  <si>
    <t>Requerimento de capital</t>
  </si>
  <si>
    <t>Securities</t>
  </si>
  <si>
    <t>Títulos e valores mobiliários</t>
  </si>
  <si>
    <t>Cost of risk</t>
  </si>
  <si>
    <t>Cost of funding % of CDI</t>
  </si>
  <si>
    <t>Custo de funding % do CDI</t>
  </si>
  <si>
    <t>Active clients</t>
  </si>
  <si>
    <t>Clientes ativos</t>
  </si>
  <si>
    <t>(+) Cashback expenses</t>
  </si>
  <si>
    <t>(+) Despesas de cashback</t>
  </si>
  <si>
    <t>PIX Transactions</t>
  </si>
  <si>
    <t>Transações PIX</t>
  </si>
  <si>
    <t>Sistema de Pagamentos Brasileiro (SPB) - Estatísticas do Pix - Banco Central do Brasil</t>
  </si>
  <si>
    <t>Take Rate (%)</t>
  </si>
  <si>
    <t>Annualized net income</t>
  </si>
  <si>
    <t>Lucro líquido</t>
  </si>
  <si>
    <t>1Q23</t>
  </si>
  <si>
    <t>1T23</t>
  </si>
  <si>
    <t>ARPAC</t>
  </si>
  <si>
    <t>Intangible assets</t>
  </si>
  <si>
    <t>Intangível</t>
  </si>
  <si>
    <t>Other income</t>
  </si>
  <si>
    <t>Outros rendimentos</t>
  </si>
  <si>
    <t>(-) Perda esperada por redução ao valor recuperável de empréstimos a instituições financeiras</t>
  </si>
  <si>
    <t>Interbank deposit investments</t>
  </si>
  <si>
    <t>Aplicações em depósitos interfinanceiros</t>
  </si>
  <si>
    <t>Despesa de juros</t>
  </si>
  <si>
    <t>Minimum principal capital required for RWA</t>
  </si>
  <si>
    <t>Capital principal mínimo requerido para o RWA</t>
  </si>
  <si>
    <t>Revenues</t>
  </si>
  <si>
    <t>Receitas</t>
  </si>
  <si>
    <t>Active clients in the previous period</t>
  </si>
  <si>
    <t>Clientes ativos no período anterior</t>
  </si>
  <si>
    <t>(÷) Average of active clients</t>
  </si>
  <si>
    <t>Note: 3Q24 net fee revenue reflects the reclassification of provisions for canceled sales, moving these amounts from administrative expenses to expenses for services and commissions in 2024.</t>
  </si>
  <si>
    <t>Nota: A receita líquida de taxas do 3T24 reflete a reclassificação das provisões para vendas canceladas, movendo esses valores de despesas administrativas para despesas com serviços e comissões em 2024.</t>
  </si>
  <si>
    <t>Cards + PIX TPV</t>
  </si>
  <si>
    <t>Cartões + PIX TPV</t>
  </si>
  <si>
    <t>Gross Revenue (R$ mm)</t>
  </si>
  <si>
    <t>Receita Bruta (R$ mm)</t>
  </si>
  <si>
    <t>IEP growth (%, QoQ)</t>
  </si>
  <si>
    <t>Crescimento dos ativos rentáveis (QoQ, %)</t>
  </si>
  <si>
    <t>PIX TPV (R$)</t>
  </si>
  <si>
    <t>TPV PIX (R$)</t>
  </si>
  <si>
    <t>Net income excluding minority interest</t>
  </si>
  <si>
    <t>Lucro líquido excluindo minoritários</t>
  </si>
  <si>
    <t>2Q23</t>
  </si>
  <si>
    <t>2T23</t>
  </si>
  <si>
    <t>Inter Invest</t>
  </si>
  <si>
    <t>Deferred tax assets</t>
  </si>
  <si>
    <t>Ativos fiscal diferido</t>
  </si>
  <si>
    <t>Resultado de perdas por redução ao valor recuperável de ativos financeiros</t>
  </si>
  <si>
    <t>(-) Provision for expected loss</t>
  </si>
  <si>
    <t>Reverse repurchase agreements</t>
  </si>
  <si>
    <t xml:space="preserve">Aplicações interfinanceiras de liquidez </t>
  </si>
  <si>
    <t>(-) Perda esperada por redução ao valor recuperável</t>
  </si>
  <si>
    <t>(÷) Average funding</t>
  </si>
  <si>
    <t>(÷) Funding médio</t>
  </si>
  <si>
    <t>Tier I minimum reference equity required to RWA</t>
  </si>
  <si>
    <t>Patrimônio de referência nível I mínimo requerido para o RWA</t>
  </si>
  <si>
    <t>Total gross revenues (R$ million)</t>
  </si>
  <si>
    <t>Receita bruta total (R$ milhões)</t>
  </si>
  <si>
    <t>Inter Seguros gross fee revenues</t>
  </si>
  <si>
    <t>Receita bruta de serviços Inter Seguros</t>
  </si>
  <si>
    <t>Tax expenses</t>
  </si>
  <si>
    <t>Despesas tributárias</t>
  </si>
  <si>
    <t>Net Revenues (R$ mm)</t>
  </si>
  <si>
    <t>Receita Líquida (R$ mm)</t>
  </si>
  <si>
    <t>Funding growth (%, QoQ)</t>
  </si>
  <si>
    <t>Crescimento do funding (QoQ, %)</t>
  </si>
  <si>
    <t xml:space="preserve"> (÷) Average equity attributable to owners of the Company of the last two periods</t>
  </si>
  <si>
    <t>Patrimônio líquido dos acionistas controladores médio dos últimos dois períodos</t>
  </si>
  <si>
    <t>3Q23</t>
  </si>
  <si>
    <t>3T23</t>
  </si>
  <si>
    <t>Inter Seguros</t>
  </si>
  <si>
    <t>Other assets</t>
  </si>
  <si>
    <t>Outros ativos</t>
  </si>
  <si>
    <t>Gross IEP</t>
  </si>
  <si>
    <t>ROAA (%) - Excluding Minority Interest</t>
  </si>
  <si>
    <t>ROAA (%) - Excluindo Participação de Acionistas Minoritários</t>
  </si>
  <si>
    <t>Minimum Reference Equity required to RWA</t>
  </si>
  <si>
    <t>Patrimônio de referência mínimo requerido para o RWA</t>
  </si>
  <si>
    <t>(=) NIM 1.0 - IEP + non-interest credit card receivables (%)</t>
  </si>
  <si>
    <t>(=) NIM 1.0 - carteira remunerada + recebíveis CC que não geram juros (%)</t>
  </si>
  <si>
    <t>Net fee revenues (R$ million)</t>
  </si>
  <si>
    <t>Receitas líquida de serviços (R$ millhões)</t>
  </si>
  <si>
    <t>Active clients in the previus period</t>
  </si>
  <si>
    <t>Expenses from services and comissions</t>
  </si>
  <si>
    <t>Efficiency ratio (%)</t>
  </si>
  <si>
    <t>Pre Tax Net Income (R$ mm)</t>
  </si>
  <si>
    <t>Lucro Líquido antes de Impostos (R$ mm)</t>
  </si>
  <si>
    <t>KPI Outputs</t>
  </si>
  <si>
    <t>KPIs Output</t>
  </si>
  <si>
    <t>Cards</t>
  </si>
  <si>
    <t>Equity attributable to owners of the Company</t>
  </si>
  <si>
    <t>Patrimônio líquido dos acionistas controladores</t>
  </si>
  <si>
    <t>4Q23</t>
  </si>
  <si>
    <t>4T23</t>
  </si>
  <si>
    <t>Inter Shop</t>
  </si>
  <si>
    <t>Total assets</t>
  </si>
  <si>
    <t>Total de ativos</t>
  </si>
  <si>
    <t>NPL &gt; 90 days</t>
  </si>
  <si>
    <t>Other IEPs</t>
  </si>
  <si>
    <t>Outros IEPs</t>
  </si>
  <si>
    <t>NPL &gt; 90 dias</t>
  </si>
  <si>
    <t>Total funding in the previous period</t>
  </si>
  <si>
    <t>Funding total no período anterior</t>
  </si>
  <si>
    <t>Other revenues + foreign exchange</t>
  </si>
  <si>
    <t>Outras receitas + operações de câmbio e variação cambial</t>
  </si>
  <si>
    <t>ROAE (%) - Excluding Minority Interest</t>
  </si>
  <si>
    <t>ROAE (%) - Excluindo Participação de Acionistas Minoritários</t>
  </si>
  <si>
    <t>Margin on capital requirements</t>
  </si>
  <si>
    <t>Margem sobre os requerimentos de capital</t>
  </si>
  <si>
    <t>Gross loan portfolio</t>
  </si>
  <si>
    <t>Fee income ratio (%)</t>
  </si>
  <si>
    <t>Percentual de receitas líquida de serviços (%)</t>
  </si>
  <si>
    <t>ARPAC bruto (R$)</t>
  </si>
  <si>
    <t>Net Income Including Minority Interest (R$ mm)</t>
  </si>
  <si>
    <t>Lucro Líquido Incluindo Minoritários (R$ mm)</t>
  </si>
  <si>
    <t>ROEA (%)</t>
  </si>
  <si>
    <t>Credit Cards TPV (R$)</t>
  </si>
  <si>
    <t>TPV Cartão de Crédito (R$)</t>
  </si>
  <si>
    <t>Associação Brasileira das Empresas de Cartões de Crédito e Serviços - Sistema de Informações – Monitor Abecs</t>
  </si>
  <si>
    <t>1Q24</t>
  </si>
  <si>
    <t>1T24</t>
  </si>
  <si>
    <t>Digital Account</t>
  </si>
  <si>
    <t>Conta Digital</t>
  </si>
  <si>
    <t>Liabilities</t>
  </si>
  <si>
    <t>Passivo</t>
  </si>
  <si>
    <t xml:space="preserve">Despesas tributárias </t>
  </si>
  <si>
    <t>(-) Reverse repurchase agreements</t>
  </si>
  <si>
    <t xml:space="preserve">(-) Aplicações interfinanceiras de liquidez </t>
  </si>
  <si>
    <t>(=) Custo de funding (%)</t>
  </si>
  <si>
    <t>Performance fees</t>
  </si>
  <si>
    <t>Receitas de performance</t>
  </si>
  <si>
    <t>Margin on required principal capital</t>
  </si>
  <si>
    <t>Margem sobre o capital principal requerido</t>
  </si>
  <si>
    <t>NIM 2.0 - IEP</t>
  </si>
  <si>
    <t>NIM 2.0 - apenas carteira remunerada</t>
  </si>
  <si>
    <t>Gross loan portfolio in the previous period</t>
  </si>
  <si>
    <t>NII (R$ million)</t>
  </si>
  <si>
    <t>NII (R$ millhões)</t>
  </si>
  <si>
    <t>Net Income (R$ mm)</t>
  </si>
  <si>
    <t>Lucro Líquido (R$ mm)</t>
  </si>
  <si>
    <t>Debt Card TPV (R$)</t>
  </si>
  <si>
    <t>TPV Cartão de Débito (R$)</t>
  </si>
  <si>
    <t>2Q24</t>
  </si>
  <si>
    <t>2T24</t>
  </si>
  <si>
    <t>Deposits from banks</t>
  </si>
  <si>
    <t>Depósitos com instituições financeiras</t>
  </si>
  <si>
    <t>NPL &gt; 90 days (%)</t>
  </si>
  <si>
    <t>Cash and equivalents excl. reverse repurchase agreements</t>
  </si>
  <si>
    <t xml:space="preserve">Caixa e equivalentes excl. plicações interfinanceiras de liquidez </t>
  </si>
  <si>
    <t>NPL &gt; 90 dias (%)</t>
  </si>
  <si>
    <t>(÷) Average daily CDI rate in the period (%)</t>
  </si>
  <si>
    <t>(÷) CDI médio diário no período (%)</t>
  </si>
  <si>
    <t>Capital gains (losses)</t>
  </si>
  <si>
    <t>Ganhos de capital</t>
  </si>
  <si>
    <t>Margin on the tier I required reference equity</t>
  </si>
  <si>
    <t>Margem sobre o patrimônio de referência nível I requerido</t>
  </si>
  <si>
    <t>ARPAC (net of cost of funding)</t>
  </si>
  <si>
    <t>ARPAC (líquido de custo de funding)</t>
  </si>
  <si>
    <t>Personnel efficiency ratio </t>
  </si>
  <si>
    <t>Índice de eficiência de pessoal</t>
  </si>
  <si>
    <t>Balance Sheet &amp; Capital</t>
  </si>
  <si>
    <t>Balanço Patriomonial e Capital</t>
  </si>
  <si>
    <t>Crescimento das receitas líquidas de serviços (%)</t>
  </si>
  <si>
    <t>3Q24</t>
  </si>
  <si>
    <t>3T24</t>
  </si>
  <si>
    <t>Cost of Risk</t>
  </si>
  <si>
    <t>Depósitos com clientes</t>
  </si>
  <si>
    <t>Income before taxes and interests in associates</t>
  </si>
  <si>
    <t>Resultados antes dos impostos e participações em coligadas</t>
  </si>
  <si>
    <t>NIM 1.0 (%)</t>
  </si>
  <si>
    <t>Gross loans and advances to customers excl. rural</t>
  </si>
  <si>
    <t>Empréstimos e adiantamento a clientes excl. rural</t>
  </si>
  <si>
    <t>(=) Custo de funding % do CDI</t>
  </si>
  <si>
    <t>Foreign exchange</t>
  </si>
  <si>
    <t>Operações de câmbio e variação cambial</t>
  </si>
  <si>
    <t>Core capital ratio (CC/RWA)</t>
  </si>
  <si>
    <t xml:space="preserve">Índice de capital principal (CP/RWA) </t>
  </si>
  <si>
    <t>Net ARPAC (R$)</t>
  </si>
  <si>
    <t>ARPAC Líquido (R$)</t>
  </si>
  <si>
    <t>Monthly average total revenues net of cost of funding</t>
  </si>
  <si>
    <t>Receita total mensal média líquida de custo de funding</t>
  </si>
  <si>
    <t>Gross Loan Portfolio (R$ bn)</t>
  </si>
  <si>
    <t>Carteira de Crédito Bruta (R$ bn)</t>
  </si>
  <si>
    <t>Input Values:</t>
  </si>
  <si>
    <t>Valores para input:</t>
  </si>
  <si>
    <t>Loan Portfolio (R$)</t>
  </si>
  <si>
    <t>Carteira de Crédito (R$)</t>
  </si>
  <si>
    <t>4Q24</t>
  </si>
  <si>
    <t>4T24</t>
  </si>
  <si>
    <t>Financial Statements Simulation</t>
  </si>
  <si>
    <t xml:space="preserve">Simulação de Demonstrações Financeiras </t>
  </si>
  <si>
    <t>Income from equity interests in associates</t>
  </si>
  <si>
    <t>Resultado de participação em coligadas</t>
  </si>
  <si>
    <t>Coverage ratio (%)</t>
  </si>
  <si>
    <t>All-in NIM 1.0 (%)</t>
  </si>
  <si>
    <t>Índice de cobertura (%)</t>
  </si>
  <si>
    <t>Other revenue</t>
  </si>
  <si>
    <t xml:space="preserve">Outras receitas </t>
  </si>
  <si>
    <t>Tier I capital ratio (tier I /RWA)</t>
  </si>
  <si>
    <t xml:space="preserve">Índice de capital nível I (nível I /RWA) </t>
  </si>
  <si>
    <t>Proftability</t>
  </si>
  <si>
    <t>Lucratividade</t>
  </si>
  <si>
    <t>Total revenues net of cost of funding</t>
  </si>
  <si>
    <t>Receita total líquida de custo de funding</t>
  </si>
  <si>
    <t>Funding (R$ bn)</t>
  </si>
  <si>
    <t>Funding (R$ bi)</t>
  </si>
  <si>
    <t>1Q25 Actual</t>
  </si>
  <si>
    <t>1T25 Realizado</t>
  </si>
  <si>
    <t>1Q25</t>
  </si>
  <si>
    <t>1T25</t>
  </si>
  <si>
    <t>Disclaimer</t>
  </si>
  <si>
    <t>Derivative financial liabilities</t>
  </si>
  <si>
    <t>Profit / (loss) before income tax</t>
  </si>
  <si>
    <t>Lucro / (prejuízo) antes da tributação sobre o lucro</t>
  </si>
  <si>
    <t>NPL  15-90 days</t>
  </si>
  <si>
    <t>Risk-Adjusted NIM 1.0 (%)</t>
  </si>
  <si>
    <t>NIM 1.0 Ajustada ao Risco (%)</t>
  </si>
  <si>
    <t>NPL 15-90 dias</t>
  </si>
  <si>
    <t>Securities sold under agreements to repurchase</t>
  </si>
  <si>
    <t>Obrigações por operações compromissadas</t>
  </si>
  <si>
    <t>Revenue from goods</t>
  </si>
  <si>
    <t>Receita de mercadorias</t>
  </si>
  <si>
    <t>Basel ratio (RE/RWA)</t>
  </si>
  <si>
    <t xml:space="preserve">Índice de basiléia (PR/RWA) </t>
  </si>
  <si>
    <t>Shareholders` Equity (R$ bn)</t>
  </si>
  <si>
    <t>Patrimônio Líquido (R$ bi)</t>
  </si>
  <si>
    <t>Output</t>
  </si>
  <si>
    <t>Total Loan Portfolio</t>
  </si>
  <si>
    <t>Carteira de Crédito Total</t>
  </si>
  <si>
    <t>Banco Central do Brasil - SGS (20539)</t>
  </si>
  <si>
    <t>2Q25</t>
  </si>
  <si>
    <t>2T25</t>
  </si>
  <si>
    <t>3Q25</t>
  </si>
  <si>
    <t>Glossary</t>
  </si>
  <si>
    <t>Glossário</t>
  </si>
  <si>
    <t>Borrowings and on-lending</t>
  </si>
  <si>
    <t>Empréstimos e repasses</t>
  </si>
  <si>
    <t>Current income tax and social contribution</t>
  </si>
  <si>
    <t>Imposto de renda e contribuição social corrente</t>
  </si>
  <si>
    <t>NPL 15-90 days</t>
  </si>
  <si>
    <t>Risk-adjusted NIM 1.0 (%)</t>
  </si>
  <si>
    <t>NIM 1.0 ajustada ao risco (%)</t>
  </si>
  <si>
    <t>Interbank deposits</t>
  </si>
  <si>
    <t>Depósitos interfinanceiros</t>
  </si>
  <si>
    <t>RWA for payments services - RWASP</t>
  </si>
  <si>
    <t>RWA para serviços de pagamento - RWASP</t>
  </si>
  <si>
    <t>(÷) Avg of the last two periods of IEP</t>
  </si>
  <si>
    <t>(÷) Média dos últimos dois períodos de carteira remunerada</t>
  </si>
  <si>
    <t>Tier 1 Ratio (%)</t>
  </si>
  <si>
    <t>Índice de Basileia (%)</t>
  </si>
  <si>
    <t>3T25</t>
  </si>
  <si>
    <t>Highlights</t>
  </si>
  <si>
    <t>Destaques</t>
  </si>
  <si>
    <t>Tax liabilities</t>
  </si>
  <si>
    <t>Impostos correntes</t>
  </si>
  <si>
    <t>Deferred income tax and social contribution</t>
  </si>
  <si>
    <t>Imposto de renda e contribuição social diferidos</t>
  </si>
  <si>
    <t>NPL 15-90 days (%)</t>
  </si>
  <si>
    <t>Avg. of IEP + non-interest credit card receivables</t>
  </si>
  <si>
    <t>Média da carteira remunerada + recebíveis CC que não geram juros</t>
  </si>
  <si>
    <t>NPL 15-90 dias (%)</t>
  </si>
  <si>
    <t>Tier II referential equity</t>
  </si>
  <si>
    <t>Patrimônio de Referência Nível II</t>
  </si>
  <si>
    <t>IEP</t>
  </si>
  <si>
    <t>Carteira remunerada</t>
  </si>
  <si>
    <t>Managerial Income Statement (R$ Millions)</t>
  </si>
  <si>
    <t>DRE Gerencial (R$ milhões)</t>
  </si>
  <si>
    <t>Credit Cards</t>
  </si>
  <si>
    <t>Cartão de Crédito</t>
  </si>
  <si>
    <t>Banco Central do Brasil - SGS - Individual and Business / Pessoa Física  e Pessoa Jurídica (20564, 20590)</t>
  </si>
  <si>
    <t>4T25</t>
  </si>
  <si>
    <t>Income tax and social contribution</t>
  </si>
  <si>
    <t>Imposto de renda e contribuição social</t>
  </si>
  <si>
    <t>Income tax benefit</t>
  </si>
  <si>
    <t>Imposto de renda</t>
  </si>
  <si>
    <t>Non-interest earning credit card receivables</t>
  </si>
  <si>
    <t>Recebíveis CC que não geram juros</t>
  </si>
  <si>
    <t>Fee revenues</t>
  </si>
  <si>
    <t>Receitas de serviços</t>
  </si>
  <si>
    <t>Profit / (loss) for the period</t>
  </si>
  <si>
    <t>Lucro/ (prejuízo) líquido</t>
  </si>
  <si>
    <t>Volume KPIs</t>
  </si>
  <si>
    <t>KPIs de Volume</t>
  </si>
  <si>
    <t>Interest income + income from securites and derivatives</t>
  </si>
  <si>
    <t>Receita de juros + receita de títulos e valores mobiliários e derivativos</t>
  </si>
  <si>
    <t>Banco Central do Brasil - SGS - Total Personal Loans / Crédito pessoal total (20580)</t>
  </si>
  <si>
    <t>QoQ Variation</t>
  </si>
  <si>
    <t>Variação QoQ</t>
  </si>
  <si>
    <t>Other tax liabilities</t>
  </si>
  <si>
    <t>Outras obrigações fiscais</t>
  </si>
  <si>
    <t>Net income</t>
  </si>
  <si>
    <t>Credit card loan portfolio</t>
  </si>
  <si>
    <t>Carteira de cartão de crédito</t>
  </si>
  <si>
    <t>Interest bearing deposits from banks</t>
  </si>
  <si>
    <t>Depósitos com instituições financeiras que geram despesas de juros</t>
  </si>
  <si>
    <t>Cards + PIX TPV (R$ bn)</t>
  </si>
  <si>
    <t>TPV de Cartões + PIX (R$ bi)</t>
  </si>
  <si>
    <t>Real Estate</t>
  </si>
  <si>
    <t>Banco Central do Brasil - SGS - Total Real Estate Loans  / Crédito Imobiliário Total (20600 e 20612)</t>
  </si>
  <si>
    <t>YoY Variation</t>
  </si>
  <si>
    <t>Variação YoY</t>
  </si>
  <si>
    <t>Provisions</t>
  </si>
  <si>
    <t>Provisões</t>
  </si>
  <si>
    <t>Net result of losses</t>
  </si>
  <si>
    <t>Resultado líquido de perdas</t>
  </si>
  <si>
    <t>Revolving + overdue</t>
  </si>
  <si>
    <t>All-in Asset Yield (%)</t>
  </si>
  <si>
    <t xml:space="preserve">Tax de todos of ativos (%) </t>
  </si>
  <si>
    <t>Rotativo + créditos Vencidos</t>
  </si>
  <si>
    <t>Net loans and advances to customers excluding non int. CC Receivables</t>
  </si>
  <si>
    <t>Empréstimos e adiantamentos a clientes, excl. recebiveis de CC que não geram juros</t>
  </si>
  <si>
    <t>Personnel efficiency ratio (%)</t>
  </si>
  <si>
    <t>Índice de eficiência de pessoal (%)</t>
  </si>
  <si>
    <t>GMV Inter Shop (R$ mm)</t>
  </si>
  <si>
    <t>Receita líquida de juros</t>
  </si>
  <si>
    <t>Business</t>
  </si>
  <si>
    <t>Banco Central do Brasil - SGS - Total non-financial corporations, excluding cards and real estate / Pessoas jurídicas total, excluindo cartões e imob. (20543)</t>
  </si>
  <si>
    <t>4Q25</t>
  </si>
  <si>
    <t>Deferred tax liabilities</t>
  </si>
  <si>
    <t>Passivo fiscal diferido</t>
  </si>
  <si>
    <t>Total de receitas líquidas</t>
  </si>
  <si>
    <t>Revolving (1 to 30 days)</t>
  </si>
  <si>
    <t>Rotativo (1 a 30 dias)</t>
  </si>
  <si>
    <t>Net fee revenues</t>
  </si>
  <si>
    <t>Receitas líquida de serviços</t>
  </si>
  <si>
    <t>AUC  (R$ bn)</t>
  </si>
  <si>
    <t>AUC (R$ bi)</t>
  </si>
  <si>
    <t>Market Data</t>
  </si>
  <si>
    <t>Dados de Mercado</t>
  </si>
  <si>
    <t>Other liabilities</t>
  </si>
  <si>
    <t>Outros passivos</t>
  </si>
  <si>
    <t>Income tax</t>
  </si>
  <si>
    <t>Overdue &gt; 31 days</t>
  </si>
  <si>
    <t>Vencidos &gt; 31 dias</t>
  </si>
  <si>
    <t>Term deposits</t>
  </si>
  <si>
    <t>(-) Non int. CC receivables</t>
  </si>
  <si>
    <t>(-) Recebiveis de CC que não geram juros</t>
  </si>
  <si>
    <t>Administrative efficiency ratio </t>
  </si>
  <si>
    <t>Índice de eficiência administrativo</t>
  </si>
  <si>
    <t>Net fee revenue + other revenues</t>
  </si>
  <si>
    <t>Receita líquida de serviços + outras receitas</t>
  </si>
  <si>
    <t>1Q26</t>
  </si>
  <si>
    <t>1T26</t>
  </si>
  <si>
    <t>Total liabilities</t>
  </si>
  <si>
    <t>Total dos passivos</t>
  </si>
  <si>
    <t>Installments with interest</t>
  </si>
  <si>
    <t>Parcelado com juros</t>
  </si>
  <si>
    <t>Open market capture</t>
  </si>
  <si>
    <t>Captação de mercado aberto</t>
  </si>
  <si>
    <t>Fee income ratio</t>
  </si>
  <si>
    <t xml:space="preserve">Percentual de receitas líquida de serviços </t>
  </si>
  <si>
    <t>Equity</t>
  </si>
  <si>
    <t>Patrimônio líquido</t>
  </si>
  <si>
    <t>Profit attributable to:</t>
  </si>
  <si>
    <t>Lucro atribuível a:</t>
  </si>
  <si>
    <t>Transactor</t>
  </si>
  <si>
    <t>À vista</t>
  </si>
  <si>
    <t>Financial instituicions deposits</t>
  </si>
  <si>
    <t xml:space="preserve">Receitas líquida de serviços </t>
  </si>
  <si>
    <t>(=) NIM 2.0 - IEP (%)</t>
  </si>
  <si>
    <t>(=) NIM 2.0 - apenas carteira remunerada (%)</t>
  </si>
  <si>
    <t>Note 1: Excluding transactions made outside the SPI</t>
  </si>
  <si>
    <t>Nota 1: Excluindo transações feitas fora do SPI</t>
  </si>
  <si>
    <t>Owners of the Company</t>
  </si>
  <si>
    <t>Acionistas controladores</t>
  </si>
  <si>
    <t>Total credit card loan portfolio</t>
  </si>
  <si>
    <t>Carteira de cartão de crédito total</t>
  </si>
  <si>
    <t>Saving</t>
  </si>
  <si>
    <t>(÷) Total net revenues</t>
  </si>
  <si>
    <t>(÷) Receira líquidas totais</t>
  </si>
  <si>
    <t>ARPAC líquido (R$)</t>
  </si>
  <si>
    <t>NPL 15- 90 dias</t>
  </si>
  <si>
    <t>Note 2: Including both debit and prepaid cards</t>
  </si>
  <si>
    <t>Nota 2: Including cartão de débito e cartão pré-pago</t>
  </si>
  <si>
    <t>Share capital</t>
  </si>
  <si>
    <t>Capital social</t>
  </si>
  <si>
    <t>Non-controlling shareholders</t>
  </si>
  <si>
    <t>Acionistas não controladores</t>
  </si>
  <si>
    <t>Receita de juros</t>
  </si>
  <si>
    <t>Risk-Adjusted NIM 1.0 - IEP + non-interest credit card receivables</t>
  </si>
  <si>
    <t>NIM 1.0 Ajustado pela Provisão - carteira remunerada + recebíveis CC que não geram juros</t>
  </si>
  <si>
    <t>Coverage Ratio (%)</t>
  </si>
  <si>
    <t>Índice de Cobertura</t>
  </si>
  <si>
    <t>Reserves</t>
  </si>
  <si>
    <t>Reservas</t>
  </si>
  <si>
    <t>Annualized NII after impairment losses on financial assets</t>
  </si>
  <si>
    <t>NII anualizado excluindo o resultado de perdas esperadas</t>
  </si>
  <si>
    <t>(+) Inter Loop</t>
  </si>
  <si>
    <t xml:space="preserve">Other comprehensive loss </t>
  </si>
  <si>
    <t>Outros resultados abrangentes</t>
  </si>
  <si>
    <t>Loans and advances to customers</t>
  </si>
  <si>
    <t>Funding - excluding other interest bearing liabilities</t>
  </si>
  <si>
    <t>Funding - excludindo outros passivos que geram despesas de juros</t>
  </si>
  <si>
    <t>NII after impairment losses on financial assets</t>
  </si>
  <si>
    <t>NII excluindo o resultado de perdas esperadas</t>
  </si>
  <si>
    <t>Performance KPIs</t>
  </si>
  <si>
    <t>KPIs de Performance</t>
  </si>
  <si>
    <t>Operational expenses</t>
  </si>
  <si>
    <t>Despesas operacionais</t>
  </si>
  <si>
    <t>Interest Earning Portfolio</t>
  </si>
  <si>
    <t>Ativos Sensíveis a Juros</t>
  </si>
  <si>
    <t>Treasury shares</t>
  </si>
  <si>
    <t>Ações em tesouraria</t>
  </si>
  <si>
    <t>Cost of funding - excluding other interest bearing liabilities</t>
  </si>
  <si>
    <t>Custo de funding - excludindo outros passivos que geram despesas de juros</t>
  </si>
  <si>
    <t>Net Interest Income</t>
  </si>
  <si>
    <t>Receita Líquida de Juros</t>
  </si>
  <si>
    <t>Non-controlling interest</t>
  </si>
  <si>
    <t>Participações de acionistas não controladores</t>
  </si>
  <si>
    <t>All-in cost of funding % of CDI</t>
  </si>
  <si>
    <t>Receitas líquida de serviços (%)</t>
  </si>
  <si>
    <t>(=) Risk-Adjusted NIM 1.0 - IEP + non-interest credit card receivables (%)</t>
  </si>
  <si>
    <t>(=) Risk-Adjusted NIM 1.0 - carteira remunerada + recebíveis CC que não geram juros (%)</t>
  </si>
  <si>
    <t>Administrative efficiency ratio (%)</t>
  </si>
  <si>
    <t>Índice de eficiência administrativo (%)</t>
  </si>
  <si>
    <t>NIM 2.0 - IEP Only (%)</t>
  </si>
  <si>
    <t>NIM 2.0 - Carteira remunerada</t>
  </si>
  <si>
    <t>Other expenses</t>
  </si>
  <si>
    <t>Outras despesas</t>
  </si>
  <si>
    <t>Receita Líquida de Serviços</t>
  </si>
  <si>
    <t>All-in cost of funding (%)</t>
  </si>
  <si>
    <t>Risk Adjusted NIM 2.0 - IEP</t>
  </si>
  <si>
    <t>NIM 2.0 Ajustado pela Provisão - apenas carteira remunerada</t>
  </si>
  <si>
    <t>All-in Cost of Funding (% of CDI)</t>
  </si>
  <si>
    <t>Custo de Funding (% do CDI)</t>
  </si>
  <si>
    <t>Expenses</t>
  </si>
  <si>
    <t>Despesas</t>
  </si>
  <si>
    <t>Liabilities + equity</t>
  </si>
  <si>
    <t>Passivos + patrimônio líquido</t>
  </si>
  <si>
    <t>All-in cost of funding</t>
  </si>
  <si>
    <t>(=) Risk-adjusted NIM 2.0 - IEP (%)</t>
  </si>
  <si>
    <t>(=) NIM 2.0 ajustado pela provisão - apenas carteira remunerada (%)</t>
  </si>
  <si>
    <t>Administrative expenses + D&amp;A</t>
  </si>
  <si>
    <t>Despesas administrativas + D&amp;A</t>
  </si>
  <si>
    <t>Efficiency Ratio (%)</t>
  </si>
  <si>
    <t>Índice de Eficiência (%)</t>
  </si>
  <si>
    <t>Total liabilities and equity</t>
  </si>
  <si>
    <t>Total do passivo e patrimônio líquido</t>
  </si>
  <si>
    <t>Fund managament and investment fees</t>
  </si>
  <si>
    <t>Administração de fundos e taxas de investimentos</t>
  </si>
  <si>
    <t>Banking and credit operations</t>
  </si>
  <si>
    <t>Tarifas bancárias e operações de crédito</t>
  </si>
  <si>
    <t>NIM 1.0 (%) - Ajustada pela Provisão</t>
  </si>
  <si>
    <t>Lucro / (prejuízo) do período</t>
  </si>
  <si>
    <t>NIM &amp; Yields</t>
  </si>
  <si>
    <t>NIM &amp; Taxas</t>
  </si>
  <si>
    <t>Income from cash and cash equivalents in foreign currency</t>
  </si>
  <si>
    <t>Rendas e disponibilidades em moeda estrangeira</t>
  </si>
  <si>
    <t>Commission and brokerage fees</t>
  </si>
  <si>
    <t>Tarifas de comissão e coretagem</t>
  </si>
  <si>
    <t>NIM 1.1 - IEP + non-interest credit card receivables incl. income tax benefits from securities issued abroad</t>
  </si>
  <si>
    <t>NIM 1.1 - carteira remunerada + recebíveis CC que não geram juros incl. benefício fiscal de títulos emitidos no exterior</t>
  </si>
  <si>
    <t>Efficiency ratio incl. income tax benefits from securities issued abroad</t>
  </si>
  <si>
    <t>Índice de eficiência incl. benefício fiscal de títulos emitidos no exterior</t>
  </si>
  <si>
    <t>NIM 2.0 (%) - Ajustada pela Provisão</t>
  </si>
  <si>
    <t>Fee Income Ratio</t>
  </si>
  <si>
    <t xml:space="preserve">Others </t>
  </si>
  <si>
    <t>Annualized NII incl. income tax benefits from securities issued abroad</t>
  </si>
  <si>
    <t>NII anualizado incl. benefício fiscal de títulos emitidos no exterior</t>
  </si>
  <si>
    <t>(÷) Total net revenues excluding tax expenses incl. income tax benefits from securities issued abroad</t>
  </si>
  <si>
    <t>(÷) Receitais totais excluindo despesas tributárias incl. benefício fiscal de títulos emitidos no exterior</t>
  </si>
  <si>
    <t>Managerial Balance Sheet (R$ Billions)</t>
  </si>
  <si>
    <t>Balanço Patrimonial Gerencial (R$ bilhões)</t>
  </si>
  <si>
    <t>Credits from payables with credit card networks</t>
  </si>
  <si>
    <t>Créditos de contas a pagar com redes de cartão de crédito</t>
  </si>
  <si>
    <t>NII incl. income tax benefits from securities issued abroad</t>
  </si>
  <si>
    <t>NII incl. benefício fiscal de títulos emitidos no exterior</t>
  </si>
  <si>
    <t>Efficiency ratio incl. income tax benefits from securities issued abroad (%)</t>
  </si>
  <si>
    <t>Índice de eficiência incl. benefício fiscal de títulos emitidos no exterior (%)</t>
  </si>
  <si>
    <t>Note: Revenue from foreign exchange was reallocated from Other Revenues to Income from Securities, Derivatives, and Foreign Exchange in Q4 2024. To ensure better comparability between quarters and years, this adjustment has been applied historically in this material.</t>
  </si>
  <si>
    <t>Nota: A receita de câmbio foi realocada de Outras receitas para Renda de títulos e derivativos e câmbio no 4T24. Para criar uma melhor comparabilidade entre trimestres e anos, esse ajuste foi realizado historicamente neste material.</t>
  </si>
  <si>
    <t>Income from securities and derivatives and foreing exchange</t>
  </si>
  <si>
    <t>Resultado de títulos e valores mobiliários e derivativos e câmbio</t>
  </si>
  <si>
    <t xml:space="preserve">(=) NIM 1.1 - IEP + non-interest credit card receivables incl. income tax benefits from securities issued abroad (%) </t>
  </si>
  <si>
    <t>(=) NIM 1.1 - carteira remunerada + recebíveis CC que não geram juros incl. benefício fiscal de títulos emitidos no exterior (%)</t>
  </si>
  <si>
    <t>Personnel efficiency ratio incl. income tax benefits from securities issued abroad</t>
  </si>
  <si>
    <t>Índice de eficiência de pessoal incl. benefício fiscal de títulos emitidos no exterior</t>
  </si>
  <si>
    <t>Interest earning portfolio (IEP)</t>
  </si>
  <si>
    <t>Ativos rentáveis</t>
  </si>
  <si>
    <t>Note: During 3Q25, we enhanced our disclosure practices for loan renegotiations, aligning with market best practices to ensure greater accuracy and transparency. As part of this improvement, we refined the definition of renegotiated contracts by excluding agreements that were not delinquent or those whose risk profiles remained unchanged. This adjustment ensures that the reported figures are more precise and reliable for renegotiation analysis.</t>
  </si>
  <si>
    <t>Nota: No terceiro trimestre de 2025, melhoramos nossos processos de divulgação das renegociações de crédito, seguindo as melhores práticas de mercado para assegurar mais precisão e transparência. Como parte desta melhoria, refinamos a definição de contratos renegociados excluindo acordos que não estavam inadimplentes ou aqueles cujos perfis de risco permaneceram inalterados. Este ajuste garante que os números reportados sejam mais precisos e confiáveis para análise de renegociação.</t>
  </si>
  <si>
    <t>Note: Preliminary data from 3Q25. Approval from the Central Bank is pending.</t>
  </si>
  <si>
    <t>Nota: Dados preliminares do 3T25. Aprovação do Banco Central pendente.</t>
  </si>
  <si>
    <t>NIM 2.1 - IEP incl. income tax benefits from securities issued abroad</t>
  </si>
  <si>
    <t>NIM 2.1 - apenas carteira remunerada incl. benefício fiscal de títulos emitidos no exterior</t>
  </si>
  <si>
    <t>Personnel efficiency ratio incl. income tax benefits from securities issued abroad (%)</t>
  </si>
  <si>
    <t>Índice de eficiência de pessoal incl. benefício fiscal de títulos emitidos no exterior (%)</t>
  </si>
  <si>
    <t>Cost of Funding</t>
  </si>
  <si>
    <t>Custo de Funding</t>
  </si>
  <si>
    <t>Participação de não controladores</t>
  </si>
  <si>
    <t>Antecipação de recebíveis</t>
  </si>
  <si>
    <t>Administrative efficiency ratio incl. income tax benefits from securities issued abroad</t>
  </si>
  <si>
    <t>Índice de eficiência administrativo incl. benefício fiscal de títulos emitidos no exterior</t>
  </si>
  <si>
    <t>Capital</t>
  </si>
  <si>
    <t>Net income from controlling and non-controlling interests</t>
  </si>
  <si>
    <t>Lucro líquido de controladores  e não controladores</t>
  </si>
  <si>
    <t>Administrative efficiency ratio incl. income tax benefits from securities issued abroad (%)</t>
  </si>
  <si>
    <t>Índice de eficiência administrativo incl. benefício fiscal de títulos emitidos no exterior (%)</t>
  </si>
  <si>
    <t>Non-transactor</t>
  </si>
  <si>
    <t>Não à vista</t>
  </si>
  <si>
    <t>(=) NIM 2.1 - IEP incl. income tax benefits from securities issued abroad (%)</t>
  </si>
  <si>
    <t>(=) NIM 2.1 - apenas carteira remunerada incl. benefício fiscal de títulos emitidos no exterior (%)</t>
  </si>
  <si>
    <t>Discontinued Data</t>
  </si>
  <si>
    <t>Dados Descontinuados</t>
  </si>
  <si>
    <t>Risk-Adjusted NIM 1.1 - IEP + non-interest credit card receivables incl. income tax benefits from securities issued abroad</t>
  </si>
  <si>
    <t>NIM 1.1 Ajustado pela Provisão - carteira remunerada + recebíveis CC que não geram juros</t>
  </si>
  <si>
    <t>(+) Income tax benefits from securities issued abroad</t>
  </si>
  <si>
    <t>(+) Benefício fiscal de títulos emitidos no exterior</t>
  </si>
  <si>
    <t>Annualized NII after impairment losses on financial assets incl. income tax benefits from securities issued abroad</t>
  </si>
  <si>
    <t>(=) Risk-Adjusted NIM 1.1 - IEP + non-interest credit card receivables incl. income tax benefits from securities issued abroad (%)</t>
  </si>
  <si>
    <t>(=) Risk-Adjusted NIM 1.1 - carteira remunerada + recebíveis CC que não geram juros (%)</t>
  </si>
  <si>
    <t>Efficiency ratio - including tax expenses from interest on own capital (IOC)</t>
  </si>
  <si>
    <t>Índice de eficiência - incluindo despesas tributárias de juros sobre capital próprio (JCP)</t>
  </si>
  <si>
    <t>Risk Adjusted NIM 2.1 - IEP incl. income tax benefits from securities issued abroad</t>
  </si>
  <si>
    <t>NIM 2.1 Ajustado pela Provisão - apenas carteira remunerada incl. benefício fiscal de títulos emitidos no exterior</t>
  </si>
  <si>
    <t>(-) Tax expenses from interest on own capital (IOC)</t>
  </si>
  <si>
    <t>(-) Despesas tributárias de juros sobre capital próprio (JCP)</t>
  </si>
  <si>
    <t>Total de passivos</t>
  </si>
  <si>
    <t>Funding in the open market</t>
  </si>
  <si>
    <t>(=) Risk-adjusted NIM 2.1 - IEP incl. income tax benefits from securities issued abroad (%)</t>
  </si>
  <si>
    <t>(=) NIM 2.1 ajustado pela provisão - apenas carteira remunerada incl. benefício fiscal de títulos emitidos no exterior (%)</t>
  </si>
  <si>
    <t>Tax expenses excluding tax expenses from interest on own capital (IOC)</t>
  </si>
  <si>
    <t>Despesas tributárias excluindo despesas tributárias de juros sobre capital próprio (JCP)</t>
  </si>
  <si>
    <t>Financial institutions deposits</t>
  </si>
  <si>
    <t>Efficiency ratio - including tax expenses from interest on own capital (%)</t>
  </si>
  <si>
    <t>Índice de eficiência - incluindo despesas tributárias de juros sobre capital próprio %)</t>
  </si>
  <si>
    <t>Variação</t>
  </si>
  <si>
    <t>Savings</t>
  </si>
  <si>
    <t>Benefício fiscal de títulos emitidos no exterior</t>
  </si>
  <si>
    <t>Personnel efficiency ratio - excluding tax expenses from interest on own capital (IOC)</t>
  </si>
  <si>
    <t>Índice de eficiência de pessoal - excluindo despesas tributárias de juros sobre capital próprio (JCP)</t>
  </si>
  <si>
    <t>Δ QoQS</t>
  </si>
  <si>
    <t>Personnel efficiency ratio - excluding tax expenses from interest on own capital (%)</t>
  </si>
  <si>
    <t>Índice de eficiência de pessoal - excluindo despesas tributárias de juros sobre capital próprio(%)</t>
  </si>
  <si>
    <t>Δ QoQ Actual</t>
  </si>
  <si>
    <t>Δ QoQ Realizado</t>
  </si>
  <si>
    <t>Income from securities</t>
  </si>
  <si>
    <t>Resultado de títulos e valores mobiliários</t>
  </si>
  <si>
    <t>NII after impairment losses on financial assets incl. income tax benefits from securities issued abroad</t>
  </si>
  <si>
    <t>NII excluindo o resultado de perdas esperadas incl. income tax benefits from securities issued abroad</t>
  </si>
  <si>
    <t>ΔYoYS</t>
  </si>
  <si>
    <t>Fair value throught other comprehensive income</t>
  </si>
  <si>
    <t>Valor justo por meio de outros resultados abrangentes</t>
  </si>
  <si>
    <t>Administrative efficiency ratio - excluding tax expenses from interest on own capital (IOC)</t>
  </si>
  <si>
    <t>Índice de eficiência administrativo - excluindo despesas tributárias de juros sobre capital próprio (JCP)</t>
  </si>
  <si>
    <t>ΔYoY Actual</t>
  </si>
  <si>
    <t>ΔYoY Realizado</t>
  </si>
  <si>
    <t>Fair value through proft or loss</t>
  </si>
  <si>
    <t>Valor justo por meio do resultado</t>
  </si>
  <si>
    <t>Administrative efficiency ratio - excluding tax expenses from interest on own capital (%)</t>
  </si>
  <si>
    <t>Índice de eficiência administrativo - excluindo despesas tributárias de juros sobre capital próprio (%)</t>
  </si>
  <si>
    <t>Amortized cost</t>
  </si>
  <si>
    <t>Custo amortizado</t>
  </si>
  <si>
    <t>Disclaimer:
Please note that this simulation is for illustrative purposes only, does not represent actual financial data and the results may not accurately reflect real-world outcomes. The information provided is based on hypothetical scenarios and assumptions. The simulation is intended as a learning tool and does not provide any investment advice, recommendations, or guidance.
Users are advised to exercise caution when interpreting the results and are encouraged to consult with qualified financial professionals.</t>
  </si>
  <si>
    <t>Esta simulação é apenas para fins ilustrativo, não representa dados financeiros reais e os resultados podem não refletir precisamente os resultados do mundo real. As informações fornecidas baseiam-se em cenários hipotéticos e suposições. A simulação destina-se como uma ferramenta didática e não oferece nenhum conselho de investimento, recomendações ou orientações.
Recomenda-se que os usuários tenham cuidado ao interpretar os resultados e que busquem aconselhamento de profissionais financeiros qualificados</t>
  </si>
  <si>
    <t>Income from derivatives</t>
  </si>
  <si>
    <t>Resultado de derivativos</t>
  </si>
  <si>
    <t>(+) Tax expenses from interest on own capital (IOC)</t>
  </si>
  <si>
    <t>(+) Despesas tributárias de juros sobre capital próprio (JCP)</t>
  </si>
  <si>
    <t>Future contracts dolar</t>
  </si>
  <si>
    <t>Futuro dólar</t>
  </si>
  <si>
    <t>Fixed-term contracts</t>
  </si>
  <si>
    <t>À termo</t>
  </si>
  <si>
    <t>Futures contrats and swaps</t>
  </si>
  <si>
    <t>Futuro e swap</t>
  </si>
  <si>
    <t>Tax expenses from interest on own capital (IOC)</t>
  </si>
  <si>
    <t>Despesas tributárias de juros sobre capital próprio (JCP)</t>
  </si>
  <si>
    <t>Gross loans and advances to customers growth (%)</t>
  </si>
  <si>
    <t>Crescimento de empréstimos e adiantamentos a clientes (%)</t>
  </si>
  <si>
    <t>Hedge accounting real estate loans</t>
  </si>
  <si>
    <t>Hedge accounting de crédito imobiliário</t>
  </si>
  <si>
    <t>Hedge accounting from personal loans</t>
  </si>
  <si>
    <t>Hedge accounting de crédito pessoal</t>
  </si>
  <si>
    <t>Income tax and social contribution + tax expenses from interest on own capital (IOC)</t>
  </si>
  <si>
    <t>Imposto de renda e contribuição social + despesas tributárias de juros sobre capital próprio (JCP)</t>
  </si>
  <si>
    <t>Other results</t>
  </si>
  <si>
    <t>Outros resultados</t>
  </si>
  <si>
    <t>Revenue foreign exchange</t>
  </si>
  <si>
    <t>Resultado de operações de câmbio e variação cambial</t>
  </si>
  <si>
    <t>Loan interest income including hedge accounting results</t>
  </si>
  <si>
    <t>Resultado da carteira de crédito incluindo resultados de hedge accounting</t>
  </si>
  <si>
    <t>(÷) Profit / (loss) before income tax + tax expenses from interest on own capital (IOC)</t>
  </si>
  <si>
    <t>(÷) Lucro / (prejuízo) antes da tributação sobre o lucro + despesas tributárias de juros sobre capital próprio (JCP)</t>
  </si>
  <si>
    <t>Real estate net of hedge accounting</t>
  </si>
  <si>
    <t>Imobiliário líquido resultado de hedge accounting</t>
  </si>
  <si>
    <t>IOC adjusted effective tax rate (%)</t>
  </si>
  <si>
    <t>Alíquota de imposto de renda efetiva ajustada pelo JCP (%)</t>
  </si>
  <si>
    <t>Effective Tax Rate (%)</t>
  </si>
  <si>
    <t>Alíquota de Imposto de Renda Efetiva (%)</t>
  </si>
  <si>
    <t>(+) Hedge accounting from real estate loans</t>
  </si>
  <si>
    <t>(+) Resultado de hedge accounting de crédito imobiliário</t>
  </si>
  <si>
    <t>Personal net of hedge accounting</t>
  </si>
  <si>
    <t>Pessoal líquido resultado de hedge accounting</t>
  </si>
  <si>
    <t>Effective tax rate (%)</t>
  </si>
  <si>
    <t>Alíquota de imposto de renda efetiva (%)</t>
  </si>
  <si>
    <t>(+) Hedge accounting from personal loans</t>
  </si>
  <si>
    <t>(+) Resultado de hedge accounting de crédito pessoal</t>
  </si>
  <si>
    <t xml:space="preserve">Imposto de renda e contribuição social </t>
  </si>
  <si>
    <t>(÷) Profit / (loss) before income tax</t>
  </si>
  <si>
    <t>(÷) Lucro / (prejuízo) antes da tributação sobre o lucro</t>
  </si>
  <si>
    <t>Aplicações interfinanceiras</t>
  </si>
  <si>
    <t>Effective tax rate - IOC adjusted (%)</t>
  </si>
  <si>
    <t>Alíquota de Imposto de renda efetiva ajustada pelo JCP (%)</t>
  </si>
  <si>
    <t>Implied rates</t>
  </si>
  <si>
    <t>Taxa implícita</t>
  </si>
  <si>
    <t>Effective tax rate(%)</t>
  </si>
  <si>
    <t>All-in loan rate (%)</t>
  </si>
  <si>
    <t>Taxa de juros de empréstimos consolidada (%)</t>
  </si>
  <si>
    <t>Real estate net of hedge accounting (%)</t>
  </si>
  <si>
    <t>Imobiliário líquido resultado de hedge accounting (%)</t>
  </si>
  <si>
    <t>Effective Tax Rate</t>
  </si>
  <si>
    <t>Alíquota Efetiva</t>
  </si>
  <si>
    <t>Personal net of hedge accounting (%)</t>
  </si>
  <si>
    <t>Pessoal líquido resultado de hedge accounting (%)</t>
  </si>
  <si>
    <t>SME (%)</t>
  </si>
  <si>
    <t>Empresas (%)</t>
  </si>
  <si>
    <t>Credit cards (%)</t>
  </si>
  <si>
    <t>Cartão de crédito (%)</t>
  </si>
  <si>
    <t>Agribusiness (%)</t>
  </si>
  <si>
    <t>Rural (%)</t>
  </si>
  <si>
    <t>Prepayment of receivables (%)</t>
  </si>
  <si>
    <t>Antecipação de recebíveis de cartão de crédito (%)</t>
  </si>
  <si>
    <t>Amounts due from financial institutions (%)</t>
  </si>
  <si>
    <t>Aplicações interfinanceiras (%)</t>
  </si>
  <si>
    <t>All-in securities rate (%)</t>
  </si>
  <si>
    <t>Taxa de juros de títulos de valores mobiliários (%)</t>
  </si>
  <si>
    <t>Interest earning credit portfolio</t>
  </si>
  <si>
    <t>Carteira de crédito que gera juros</t>
  </si>
  <si>
    <t>Interest earning credit card portfolio</t>
  </si>
  <si>
    <t>Carteira de cartão de crédito que gera juros</t>
  </si>
  <si>
    <t>(-) Transactor</t>
  </si>
  <si>
    <t>(-) À vista</t>
  </si>
  <si>
    <t>Renegotiated Portfolio</t>
  </si>
  <si>
    <t>Carteira Renegociada</t>
  </si>
  <si>
    <t>Renegotiated portfolio</t>
  </si>
  <si>
    <t>Carteira renegociada</t>
  </si>
  <si>
    <t>Renegotiated portfolio (% of total gross loan portfolio)</t>
  </si>
  <si>
    <t>Carteira renegociada (% da carteira de crédito bruta)</t>
  </si>
  <si>
    <t>Coverage Ratio</t>
  </si>
  <si>
    <t>(÷) Total provision</t>
  </si>
  <si>
    <t>(÷) Provisão total</t>
  </si>
  <si>
    <t>Provision for expected loss</t>
  </si>
  <si>
    <t>Perda esperada por redução ao valor recuperável</t>
  </si>
  <si>
    <t>Provision for expected credit losses on loan commitments</t>
  </si>
  <si>
    <t>Provisões sobre compromissos de empréstimos</t>
  </si>
  <si>
    <t>Securities balance</t>
  </si>
  <si>
    <t>Títulos e Valores Mobiliários</t>
  </si>
  <si>
    <t>Income from securities incl. income tax benefits from securities issued abroad</t>
  </si>
  <si>
    <t>Resultado de títulos e valores imobiliários incl. benefício fiscal de títulos emitidos no exterior</t>
  </si>
  <si>
    <t>Total provision</t>
  </si>
  <si>
    <t>Provisão total</t>
  </si>
  <si>
    <t>(÷) NPL &gt; 90 days</t>
  </si>
  <si>
    <t>(÷) NPL &gt; 90 dias</t>
  </si>
  <si>
    <t>NPL 15 - 90 days (excluding anticipation of credit card receivables, %)</t>
  </si>
  <si>
    <t>NPL 15- 90 dias (excluindo antecipação de recebíveis de cartão de crédito, %)</t>
  </si>
  <si>
    <t>NPL &gt; 90 days (excluding anticipation of credit card receivables, %)</t>
  </si>
  <si>
    <t>NPL &gt; 90 dias (excluindo antecipação de recebíveis de cartão de crédito, %)</t>
  </si>
  <si>
    <t>Choose Language /Escolha o Idioma:</t>
  </si>
  <si>
    <t>1.</t>
  </si>
  <si>
    <t>2.</t>
  </si>
  <si>
    <t>3.</t>
  </si>
  <si>
    <t>4.</t>
  </si>
  <si>
    <t>5.</t>
  </si>
  <si>
    <t>6.</t>
  </si>
  <si>
    <t>7.</t>
  </si>
  <si>
    <t>8.</t>
  </si>
  <si>
    <t>9.</t>
  </si>
  <si>
    <t>1</t>
  </si>
  <si>
    <t>2</t>
  </si>
  <si>
    <t>3</t>
  </si>
  <si>
    <t>4</t>
  </si>
  <si>
    <t>5</t>
  </si>
  <si>
    <t>6</t>
  </si>
  <si>
    <t>7</t>
  </si>
  <si>
    <t>8</t>
  </si>
  <si>
    <t>ROE</t>
  </si>
  <si>
    <t>9</t>
  </si>
  <si>
    <t>10.</t>
  </si>
  <si>
    <t>n.m</t>
  </si>
  <si>
    <t xml:space="preserve"> </t>
  </si>
  <si>
    <t xml:space="preserve">  </t>
  </si>
  <si>
    <t>-</t>
  </si>
  <si>
    <t>n.a.</t>
  </si>
  <si>
    <t>Business Days</t>
  </si>
  <si>
    <t>All-in cost of funding % of CDI - Adjusted by Business Days</t>
  </si>
  <si>
    <t>7,147,341
Margin on the Tier I Required Reference Equity 5,719,735 6</t>
  </si>
  <si>
    <t>n.a</t>
  </si>
  <si>
    <t>ROTE (%)</t>
  </si>
  <si>
    <t xml:space="preserve"> (÷) Average equity excluding intangible assets of the last two periods</t>
  </si>
  <si>
    <t xml:space="preserve"> (÷) Média dos últimos dois períodos do patrimônio líquido excluindo ativos intangíveis</t>
  </si>
  <si>
    <t>Equity excluding intangible assets</t>
  </si>
  <si>
    <t>Patrimônio líquido excluindo ativos intangíveis</t>
  </si>
  <si>
    <t>ROTE</t>
  </si>
  <si>
    <t>1Q26 Historical Data</t>
  </si>
  <si>
    <t>Séries Históricas 1T26</t>
  </si>
  <si>
    <t>Highlights of the Quarter | 1Q26</t>
  </si>
  <si>
    <t>Destaques do Trimestre | 1T26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</si>
</sst>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_(* \(#,##0.00\);_(* &quot;-&quot;??_);_(@_)"/>
    <numFmt numFmtId="164" formatCode="_-* #,##0.00_-;\-* #,##0.00_-;_-* &quot;-&quot;??_-;_-@_-"/>
    <numFmt numFmtId="165" formatCode="_-* #,##0_-;\-* #,##0_-;_-* &quot;-&quot;??_-;_-@_-"/>
    <numFmt numFmtId="166" formatCode="#,###;\(#,###\)"/>
    <numFmt numFmtId="167" formatCode="#,##0_ ;\-#,##0\ "/>
    <numFmt numFmtId="168" formatCode="0.0%"/>
    <numFmt numFmtId="169" formatCode="#,###.0;\(#,###.0\)"/>
    <numFmt numFmtId="170" formatCode="_-* #,##0.0_-;\-* #,##0.0_-;_-* &quot;-&quot;??_-;_-@_-"/>
    <numFmt numFmtId="171" formatCode="\ _(* #,##0_);_(* \(#,##0\);_(* &quot;-&quot;_);_(@_)"/>
    <numFmt numFmtId="172" formatCode="_(* #,##0_);_(* \(#,##0\);_(* &quot;-&quot;??_);_(@_)"/>
    <numFmt numFmtId="173" formatCode="0.0"/>
    <numFmt numFmtId="174" formatCode="_(* #,##0.0_);_(* \(#,##0.0\);_(* &quot;-&quot;??_);_(@_)"/>
    <numFmt numFmtId="175" formatCode="\+\ 0%;\ \-\ 0\ %"/>
    <numFmt numFmtId="176" formatCode="\+\ #,##0%;\ \-\ #,##0%"/>
    <numFmt numFmtId="177" formatCode="#,##0.0%"/>
    <numFmt numFmtId="178" formatCode="#,##0%"/>
    <numFmt numFmtId="179" formatCode="\+\ 0.0\ &quot;p.p.&quot;;\ \-\ 0.0\ &quot;p.p.&quot;"/>
    <numFmt numFmtId="180" formatCode="\+0.0%;\ \-0.0%"/>
    <numFmt numFmtId="181" formatCode="0.00000000000000%"/>
    <numFmt numFmtId="182" formatCode="\+\ 0.0\ &quot;p.p.&quot;;\-\ 0.0\ &quot;p.p.&quot;"/>
    <numFmt numFmtId="183" formatCode="0.000000000000000%"/>
    <numFmt numFmtId="184" formatCode="#,##0\ ;\(#,##0\)"/>
    <numFmt numFmtId="185" formatCode="#,##0;\(#,##0\)"/>
    <numFmt numFmtId="186" formatCode="\+0.0\ &quot;p.p.&quot;;\ \-0.0\ &quot;p.p.&quot;"/>
    <numFmt numFmtId="187" formatCode="\+0.0&quot; p.p&quot;;\-0.0&quot; p.p&quot;"/>
  </numFmts>
  <fonts count="62">
    <font>
      <sz val="11"/>
      <color theme="1"/>
      <name val="Calibri"/>
      <family val="2"/>
      <scheme val="minor"/>
    </font>
    <font>
      <sz val="11"/>
      <color theme="1"/>
      <name val="Calibri"/>
      <family val="2"/>
      <scheme val="minor"/>
    </font>
    <font>
      <sz val="10"/>
      <name val="Arial"/>
      <family val="2"/>
    </font>
    <font>
      <sz val="9"/>
      <color theme="1"/>
      <name val="Calibri Light"/>
      <family val="2"/>
    </font>
    <font>
      <sz val="10"/>
      <color theme="1"/>
      <name val="Calibri"/>
      <family val="2"/>
    </font>
    <font>
      <b/>
      <sz val="12"/>
      <color theme="9"/>
      <name val="Gotham"/>
      <family val="3"/>
    </font>
    <font>
      <sz val="8"/>
      <name val="Calibri"/>
      <family val="2"/>
      <scheme val="minor"/>
    </font>
    <font>
      <u/>
      <sz val="11"/>
      <color theme="10"/>
      <name val="Calibri"/>
      <family val="2"/>
      <scheme val="minor"/>
    </font>
    <font>
      <u/>
      <sz val="11"/>
      <color theme="1"/>
      <name val="Calibri"/>
      <family val="2"/>
      <scheme val="minor"/>
    </font>
    <font>
      <sz val="11"/>
      <color theme="1"/>
      <name val="Calibri"/>
      <family val="2"/>
    </font>
    <font>
      <sz val="16"/>
      <color theme="1"/>
      <name val="Calibri"/>
      <family val="2"/>
    </font>
    <font>
      <b/>
      <sz val="16"/>
      <color theme="1"/>
      <name val="Calibri"/>
      <family val="2"/>
    </font>
    <font>
      <sz val="18"/>
      <color theme="1"/>
      <name val="Calibri"/>
      <family val="2"/>
    </font>
    <font>
      <sz val="18"/>
      <color theme="0"/>
      <name val="Calibri"/>
      <family val="2"/>
    </font>
    <font>
      <b/>
      <sz val="18"/>
      <color theme="0"/>
      <name val="Calibri"/>
      <family val="2"/>
    </font>
    <font>
      <b/>
      <i/>
      <sz val="14"/>
      <color theme="0"/>
      <name val="Calibri"/>
      <family val="2"/>
    </font>
    <font>
      <b/>
      <sz val="14"/>
      <color theme="1"/>
      <name val="Calibri"/>
      <family val="2"/>
    </font>
    <font>
      <b/>
      <sz val="36"/>
      <color rgb="FFFF8700"/>
      <name val="Calibri"/>
      <family val="2"/>
    </font>
    <font>
      <b/>
      <i/>
      <sz val="14"/>
      <color theme="1"/>
      <name val="Calibri"/>
      <family val="2"/>
    </font>
    <font>
      <b/>
      <sz val="24"/>
      <color theme="1"/>
      <name val="Calibri"/>
      <family val="2"/>
    </font>
    <font>
      <b/>
      <sz val="16"/>
      <color rgb="FFFF8700"/>
      <name val="Calibri"/>
      <family val="2"/>
    </font>
    <font>
      <b/>
      <sz val="11"/>
      <color theme="1"/>
      <name val="Calibri"/>
      <family val="2"/>
    </font>
    <font>
      <b/>
      <sz val="11"/>
      <color theme="0"/>
      <name val="Calibri"/>
      <family val="2"/>
    </font>
    <font>
      <b/>
      <u/>
      <sz val="11"/>
      <color theme="0"/>
      <name val="Calibri"/>
      <family val="2"/>
    </font>
    <font>
      <b/>
      <i/>
      <u/>
      <sz val="11"/>
      <color theme="0"/>
      <name val="Calibri"/>
      <family val="2"/>
    </font>
    <font>
      <sz val="11"/>
      <name val="Calibri"/>
      <family val="2"/>
    </font>
    <font>
      <b/>
      <sz val="11"/>
      <name val="Calibri"/>
      <family val="2"/>
    </font>
    <font>
      <i/>
      <sz val="11"/>
      <name val="Calibri"/>
      <family val="2"/>
    </font>
    <font>
      <sz val="11"/>
      <color theme="0"/>
      <name val="Calibri"/>
      <family val="2"/>
    </font>
    <font>
      <sz val="11"/>
      <color rgb="FFFF0000"/>
      <name val="Calibri"/>
      <family val="2"/>
    </font>
    <font>
      <i/>
      <sz val="11"/>
      <color theme="1"/>
      <name val="Calibri"/>
      <family val="2"/>
    </font>
    <font>
      <sz val="14"/>
      <color theme="1"/>
      <name val="Calibri"/>
      <family val="2"/>
    </font>
    <font>
      <b/>
      <sz val="12"/>
      <color theme="1"/>
      <name val="Calibri"/>
      <family val="2"/>
    </font>
    <font>
      <sz val="12"/>
      <color theme="1"/>
      <name val="Calibri"/>
      <family val="2"/>
    </font>
    <font>
      <b/>
      <sz val="12"/>
      <color rgb="FFFE7800"/>
      <name val="Calibri"/>
      <family val="2"/>
    </font>
    <font>
      <b/>
      <sz val="12"/>
      <color theme="0" tint="-0.499984740745262"/>
      <name val="Calibri"/>
      <family val="2"/>
    </font>
    <font>
      <b/>
      <sz val="12"/>
      <color rgb="FF808080"/>
      <name val="Calibri"/>
      <family val="2"/>
    </font>
    <font>
      <b/>
      <i/>
      <sz val="12"/>
      <color rgb="FF808080"/>
      <name val="Calibri"/>
      <family val="2"/>
    </font>
    <font>
      <b/>
      <u/>
      <sz val="12"/>
      <color theme="1"/>
      <name val="Calibri"/>
      <family val="2"/>
    </font>
    <font>
      <b/>
      <i/>
      <sz val="10"/>
      <color rgb="FF808080"/>
      <name val="Calibri"/>
      <family val="2"/>
    </font>
    <font>
      <b/>
      <sz val="11"/>
      <color theme="1"/>
      <name val="Calibri"/>
      <family val="2"/>
      <scheme val="minor"/>
    </font>
    <font>
      <sz val="11"/>
      <color rgb="FF000000"/>
      <name val="Calibri"/>
      <family val="2"/>
      <scheme val="minor"/>
    </font>
    <font>
      <b/>
      <sz val="9"/>
      <color theme="0" tint="-0.499984740745262"/>
      <name val="Calibri"/>
      <family val="2"/>
    </font>
    <font>
      <b/>
      <sz val="10"/>
      <color theme="0"/>
      <name val="Calibri"/>
      <family val="2"/>
    </font>
    <font>
      <b/>
      <sz val="10"/>
      <color theme="1"/>
      <name val="Calibri"/>
      <family val="2"/>
    </font>
    <font>
      <sz val="10"/>
      <name val="Calibri"/>
      <family val="2"/>
    </font>
    <font>
      <b/>
      <sz val="8"/>
      <color theme="1"/>
      <name val="Calibri"/>
      <family val="2"/>
    </font>
    <font>
      <b/>
      <i/>
      <sz val="12"/>
      <color theme="0" tint="-0.499984740745262"/>
      <name val="Calibri"/>
      <family val="2"/>
    </font>
    <font>
      <b/>
      <sz val="12"/>
      <color rgb="FFEB7100"/>
      <name val="Calibri"/>
      <family val="2"/>
    </font>
    <font>
      <b/>
      <sz val="20"/>
      <color rgb="FFEB7100"/>
      <name val="Calibri"/>
      <family val="2"/>
    </font>
    <font>
      <b/>
      <sz val="14"/>
      <color rgb="FFEB7100"/>
      <name val="Calibri"/>
      <family val="2"/>
    </font>
    <font>
      <sz val="11"/>
      <name val="Calibri"/>
      <family val="2"/>
      <scheme val="minor"/>
    </font>
    <font>
      <b/>
      <i/>
      <sz val="11"/>
      <name val="Calibri"/>
      <family val="2"/>
    </font>
    <font>
      <sz val="14"/>
      <color rgb="FF72350C"/>
      <name val="Calibri"/>
      <family val="2"/>
    </font>
    <font>
      <u/>
      <sz val="11"/>
      <color theme="1"/>
      <name val="Calibri (Body)"/>
    </font>
    <font>
      <sz val="11"/>
      <color theme="1"/>
      <name val="Calibri (Body)"/>
    </font>
    <font>
      <i/>
      <sz val="11"/>
      <color theme="1"/>
      <name val="Calibri (Body)"/>
    </font>
    <font>
      <b/>
      <sz val="11"/>
      <name val="Calibri"/>
      <family val="2"/>
      <scheme val="minor"/>
    </font>
    <font>
      <u/>
      <sz val="14"/>
      <color rgb="FF72350C"/>
      <name val="Calibri"/>
      <family val="2"/>
    </font>
    <font>
      <u/>
      <sz val="16"/>
      <color theme="10"/>
      <name val="Calibri"/>
      <family val="2"/>
    </font>
    <font>
      <sz val="11"/>
      <color rgb="FFFF0000"/>
      <name val="Calibri"/>
      <family val="2"/>
      <scheme val="minor"/>
    </font>
    <font>
      <b/>
      <sz val="11"/>
      <color rgb="FFFF0000"/>
      <name val="Calibri"/>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DE4D6"/>
        <bgColor indexed="64"/>
      </patternFill>
    </fill>
    <fill>
      <patternFill patternType="solid">
        <fgColor rgb="FFFFE9D0"/>
        <bgColor indexed="64"/>
      </patternFill>
    </fill>
    <fill>
      <patternFill patternType="solid">
        <fgColor rgb="FFFFF2E6"/>
        <bgColor indexed="64"/>
      </patternFill>
    </fill>
    <fill>
      <patternFill patternType="solid">
        <fgColor rgb="FFFFFF00"/>
        <bgColor indexed="64"/>
      </patternFill>
    </fill>
    <fill>
      <patternFill patternType="solid">
        <fgColor theme="7" tint="0.79998168889431442"/>
        <bgColor indexed="64"/>
      </patternFill>
    </fill>
  </fills>
  <borders count="29">
    <border>
      <left/>
      <right/>
      <top/>
      <bottom/>
      <diagonal/>
    </border>
    <border>
      <left/>
      <right/>
      <top/>
      <bottom style="thin">
        <color rgb="FFFF8700"/>
      </bottom>
      <diagonal/>
    </border>
    <border>
      <left/>
      <right/>
      <top/>
      <bottom style="medium">
        <color rgb="FFF65E01"/>
      </bottom>
      <diagonal/>
    </border>
    <border>
      <left/>
      <right/>
      <top style="thin">
        <color rgb="FFFB7800"/>
      </top>
      <bottom/>
      <diagonal/>
    </border>
    <border>
      <left/>
      <right/>
      <top style="thin">
        <color rgb="FFFF8700"/>
      </top>
      <bottom/>
      <diagonal/>
    </border>
    <border>
      <left/>
      <right/>
      <top/>
      <bottom style="thin">
        <color rgb="FFFE7800"/>
      </bottom>
      <diagonal/>
    </border>
    <border>
      <left/>
      <right/>
      <top style="thin">
        <color rgb="FFFE7800"/>
      </top>
      <bottom/>
      <diagonal/>
    </border>
    <border>
      <left/>
      <right/>
      <top/>
      <bottom style="thin">
        <color auto="1"/>
      </bottom>
      <diagonal/>
    </border>
    <border>
      <left/>
      <right/>
      <top/>
      <bottom style="thin">
        <color rgb="FFEB7100"/>
      </bottom>
      <diagonal/>
    </border>
    <border>
      <left/>
      <right/>
      <top style="thin">
        <color rgb="FFEB7100"/>
      </top>
      <bottom/>
      <diagonal/>
    </border>
    <border>
      <left/>
      <right/>
      <top style="thin">
        <color rgb="FFEC7100"/>
      </top>
      <bottom/>
      <diagonal/>
    </border>
    <border>
      <left style="medium">
        <color rgb="FFEC7100"/>
      </left>
      <right/>
      <top style="medium">
        <color rgb="FFEC7100"/>
      </top>
      <bottom/>
      <diagonal/>
    </border>
    <border>
      <left/>
      <right/>
      <top style="medium">
        <color rgb="FFEC7100"/>
      </top>
      <bottom/>
      <diagonal/>
    </border>
    <border>
      <left/>
      <right style="medium">
        <color rgb="FFEC7100"/>
      </right>
      <top style="medium">
        <color rgb="FFEC7100"/>
      </top>
      <bottom/>
      <diagonal/>
    </border>
    <border>
      <left style="medium">
        <color rgb="FFEC7100"/>
      </left>
      <right/>
      <top/>
      <bottom/>
      <diagonal/>
    </border>
    <border>
      <left/>
      <right style="medium">
        <color rgb="FFEC7100"/>
      </right>
      <top/>
      <bottom/>
      <diagonal/>
    </border>
    <border>
      <left style="medium">
        <color rgb="FFEC7100"/>
      </left>
      <right/>
      <top/>
      <bottom style="medium">
        <color rgb="FFEC7100"/>
      </bottom>
      <diagonal/>
    </border>
    <border>
      <left/>
      <right/>
      <top/>
      <bottom style="medium">
        <color rgb="FFEC7100"/>
      </bottom>
      <diagonal/>
    </border>
    <border>
      <left/>
      <right style="medium">
        <color rgb="FFEC7100"/>
      </right>
      <top/>
      <bottom style="medium">
        <color rgb="FFEC7100"/>
      </bottom>
      <diagonal/>
    </border>
    <border>
      <left/>
      <right/>
      <top/>
      <bottom style="thin">
        <color rgb="FFEC7100"/>
      </bottom>
      <diagonal/>
    </border>
    <border>
      <left style="thin">
        <color indexed="64"/>
      </left>
      <right style="thin">
        <color indexed="64"/>
      </right>
      <top style="thin">
        <color indexed="64"/>
      </top>
      <bottom style="thin">
        <color indexed="64"/>
      </bottom>
      <diagonal/>
    </border>
    <border>
      <left style="thin">
        <color rgb="FFEC7100"/>
      </left>
      <right/>
      <top style="thin">
        <color rgb="FFEC7100"/>
      </top>
      <bottom/>
      <diagonal/>
    </border>
    <border>
      <left/>
      <right style="thin">
        <color rgb="FFEC7100"/>
      </right>
      <top style="thin">
        <color rgb="FFEC7100"/>
      </top>
      <bottom/>
      <diagonal/>
    </border>
    <border>
      <left style="thin">
        <color rgb="FFEC7100"/>
      </left>
      <right/>
      <top/>
      <bottom/>
      <diagonal/>
    </border>
    <border>
      <left/>
      <right style="thin">
        <color rgb="FFEC7100"/>
      </right>
      <top/>
      <bottom/>
      <diagonal/>
    </border>
    <border>
      <left style="thin">
        <color rgb="FFEC7100"/>
      </left>
      <right/>
      <top/>
      <bottom style="thin">
        <color rgb="FFEC7100"/>
      </bottom>
      <diagonal/>
    </border>
    <border>
      <left/>
      <right style="thin">
        <color rgb="FFEC7100"/>
      </right>
      <top/>
      <bottom style="thin">
        <color rgb="FFEC7100"/>
      </bottom>
      <diagonal/>
    </border>
    <border>
      <left/>
      <right/>
      <top style="thin">
        <color rgb="FFF0975C"/>
      </top>
      <bottom/>
      <diagonal/>
    </border>
    <border>
      <left/>
      <right/>
      <top/>
      <bottom style="thin">
        <color rgb="FFF29652"/>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5" fillId="0" borderId="2" applyFont="0" applyFill="0" applyAlignment="0">
      <alignment vertical="center"/>
    </xf>
    <xf numFmtId="0" fontId="4" fillId="0" borderId="0"/>
    <xf numFmtId="0" fontId="1" fillId="0" borderId="0"/>
    <xf numFmtId="0" fontId="7" fillId="0" borderId="0" applyNumberFormat="0" applyFill="0" applyBorder="0" applyAlignment="0" applyProtection="0"/>
  </cellStyleXfs>
  <cellXfs count="783">
    <xf numFmtId="0" fontId="0" fillId="0" borderId="0" xfId="0"/>
    <xf numFmtId="0" fontId="2" fillId="0" borderId="0" xfId="0" applyFont="1" applyAlignment="1">
      <alignment vertical="center"/>
    </xf>
    <xf numFmtId="0" fontId="0" fillId="0" borderId="0" xfId="0" applyProtection="1">
      <protection hidden="1"/>
    </xf>
    <xf numFmtId="165" fontId="26" fillId="0" borderId="0" xfId="1" applyNumberFormat="1" applyFont="1" applyFill="1" applyBorder="1" applyAlignment="1" applyProtection="1">
      <alignment horizontal="left" vertical="center" wrapText="1"/>
      <protection locked="0" hidden="1"/>
    </xf>
    <xf numFmtId="165" fontId="9" fillId="0" borderId="0" xfId="1" applyNumberFormat="1" applyFont="1" applyFill="1" applyBorder="1" applyAlignment="1" applyProtection="1">
      <alignment vertical="center" wrapText="1"/>
      <protection locked="0" hidden="1"/>
    </xf>
    <xf numFmtId="165" fontId="26" fillId="0" borderId="1" xfId="1" applyNumberFormat="1" applyFont="1" applyFill="1" applyBorder="1" applyAlignment="1" applyProtection="1">
      <alignment horizontal="left" vertical="center" wrapText="1"/>
      <protection locked="0" hidden="1"/>
    </xf>
    <xf numFmtId="165" fontId="26" fillId="0" borderId="4" xfId="1" applyNumberFormat="1" applyFont="1" applyFill="1" applyBorder="1" applyAlignment="1" applyProtection="1">
      <alignment horizontal="left" vertical="center" wrapText="1"/>
      <protection locked="0" hidden="1"/>
    </xf>
    <xf numFmtId="0" fontId="9" fillId="3" borderId="0" xfId="0" applyFont="1" applyFill="1" applyProtection="1">
      <protection locked="0" hidden="1"/>
    </xf>
    <xf numFmtId="0" fontId="21" fillId="0" borderId="0" xfId="0" applyFont="1" applyAlignment="1" applyProtection="1">
      <alignment vertical="center"/>
      <protection locked="0" hidden="1"/>
    </xf>
    <xf numFmtId="0" fontId="22" fillId="0" borderId="0" xfId="0" applyFont="1" applyAlignment="1" applyProtection="1">
      <alignment vertical="center"/>
      <protection locked="0" hidden="1"/>
    </xf>
    <xf numFmtId="165" fontId="22" fillId="0" borderId="0" xfId="1" applyNumberFormat="1" applyFont="1" applyFill="1" applyBorder="1" applyAlignment="1" applyProtection="1">
      <alignment horizontal="right" vertical="center"/>
      <protection locked="0" hidden="1"/>
    </xf>
    <xf numFmtId="0" fontId="23" fillId="0" borderId="0" xfId="11" applyFont="1" applyFill="1" applyBorder="1" applyAlignment="1" applyProtection="1">
      <alignment horizontal="left" vertical="center"/>
      <protection locked="0" hidden="1"/>
    </xf>
    <xf numFmtId="0" fontId="24" fillId="0" borderId="0" xfId="0" applyFont="1" applyAlignment="1" applyProtection="1">
      <alignment vertical="center"/>
      <protection locked="0" hidden="1"/>
    </xf>
    <xf numFmtId="0" fontId="21" fillId="0" borderId="0" xfId="0" applyFont="1" applyAlignment="1" applyProtection="1">
      <alignment horizontal="left" vertical="center"/>
      <protection locked="0" hidden="1"/>
    </xf>
    <xf numFmtId="0" fontId="9" fillId="0" borderId="0" xfId="0" applyFont="1" applyAlignment="1" applyProtection="1">
      <alignment vertical="center"/>
      <protection locked="0" hidden="1"/>
    </xf>
    <xf numFmtId="0" fontId="25" fillId="0" borderId="0" xfId="0" applyFont="1" applyAlignment="1" applyProtection="1">
      <alignment horizontal="left" vertical="center" indent="1"/>
      <protection locked="0" hidden="1"/>
    </xf>
    <xf numFmtId="0" fontId="27" fillId="0" borderId="0" xfId="0" applyFont="1" applyAlignment="1" applyProtection="1">
      <alignment horizontal="left" vertical="center" indent="4"/>
      <protection locked="0" hidden="1"/>
    </xf>
    <xf numFmtId="0" fontId="9" fillId="0" borderId="0" xfId="0" applyFont="1" applyAlignment="1" applyProtection="1">
      <alignment horizontal="left" vertical="center"/>
      <protection locked="0" hidden="1"/>
    </xf>
    <xf numFmtId="0" fontId="34" fillId="0" borderId="0" xfId="0" applyFont="1" applyAlignment="1" applyProtection="1">
      <alignment horizontal="left" vertical="center"/>
      <protection locked="0" hidden="1"/>
    </xf>
    <xf numFmtId="1" fontId="35" fillId="0" borderId="0" xfId="1" applyNumberFormat="1" applyFont="1" applyFill="1" applyBorder="1" applyAlignment="1" applyProtection="1">
      <alignment horizontal="center" vertical="center"/>
      <protection locked="0" hidden="1"/>
    </xf>
    <xf numFmtId="165" fontId="35" fillId="0" borderId="0" xfId="1" applyNumberFormat="1" applyFont="1" applyFill="1" applyBorder="1" applyAlignment="1" applyProtection="1">
      <alignment horizontal="center" vertical="center"/>
      <protection locked="0" hidden="1"/>
    </xf>
    <xf numFmtId="0" fontId="25" fillId="3" borderId="0" xfId="0" applyFont="1" applyFill="1" applyAlignment="1" applyProtection="1">
      <alignment horizontal="left" vertical="center" indent="1"/>
      <protection locked="0" hidden="1"/>
    </xf>
    <xf numFmtId="0" fontId="27" fillId="3" borderId="0" xfId="0" applyFont="1" applyFill="1" applyAlignment="1" applyProtection="1">
      <alignment horizontal="left" vertical="center" indent="4"/>
      <protection locked="0" hidden="1"/>
    </xf>
    <xf numFmtId="165" fontId="26" fillId="3" borderId="0" xfId="1" applyNumberFormat="1" applyFont="1" applyFill="1" applyBorder="1" applyAlignment="1" applyProtection="1">
      <alignment horizontal="left" vertical="center" wrapText="1"/>
      <protection locked="0" hidden="1"/>
    </xf>
    <xf numFmtId="0" fontId="9" fillId="0" borderId="0" xfId="0" applyFont="1" applyProtection="1">
      <protection locked="0" hidden="1"/>
    </xf>
    <xf numFmtId="0" fontId="21" fillId="0" borderId="0" xfId="0" applyFont="1" applyProtection="1">
      <protection locked="0" hidden="1"/>
    </xf>
    <xf numFmtId="0" fontId="9" fillId="0" borderId="0" xfId="0" applyFont="1" applyAlignment="1" applyProtection="1">
      <alignment horizontal="left" indent="1"/>
      <protection locked="0" hidden="1"/>
    </xf>
    <xf numFmtId="174" fontId="32" fillId="0" borderId="0" xfId="1" applyNumberFormat="1" applyFont="1" applyFill="1" applyBorder="1" applyAlignment="1" applyProtection="1">
      <alignment horizontal="right" vertical="center"/>
      <protection locked="0" hidden="1"/>
    </xf>
    <xf numFmtId="174" fontId="33" fillId="0" borderId="0" xfId="1" applyNumberFormat="1" applyFont="1" applyFill="1" applyBorder="1" applyAlignment="1" applyProtection="1">
      <alignment horizontal="right" vertical="center"/>
      <protection locked="0" hidden="1"/>
    </xf>
    <xf numFmtId="168" fontId="33" fillId="0" borderId="0" xfId="2" applyNumberFormat="1" applyFont="1" applyFill="1" applyBorder="1" applyAlignment="1" applyProtection="1">
      <alignment horizontal="center" vertical="center" wrapText="1"/>
      <protection locked="0" hidden="1"/>
    </xf>
    <xf numFmtId="0" fontId="21" fillId="3" borderId="0" xfId="0" applyFont="1" applyFill="1" applyAlignment="1" applyProtection="1">
      <alignment vertical="center"/>
      <protection locked="0" hidden="1"/>
    </xf>
    <xf numFmtId="174" fontId="32" fillId="0" borderId="6" xfId="1" applyNumberFormat="1" applyFont="1" applyFill="1" applyBorder="1" applyAlignment="1" applyProtection="1">
      <alignment horizontal="right" vertical="center"/>
      <protection locked="0" hidden="1"/>
    </xf>
    <xf numFmtId="172" fontId="32" fillId="3" borderId="0" xfId="1" applyNumberFormat="1" applyFont="1" applyFill="1" applyBorder="1" applyAlignment="1" applyProtection="1">
      <alignment horizontal="right" vertical="center"/>
      <protection locked="0" hidden="1"/>
    </xf>
    <xf numFmtId="174" fontId="32" fillId="3" borderId="6" xfId="1" applyNumberFormat="1" applyFont="1" applyFill="1" applyBorder="1" applyAlignment="1" applyProtection="1">
      <alignment horizontal="right" vertical="center"/>
      <protection locked="0" hidden="1"/>
    </xf>
    <xf numFmtId="0" fontId="32" fillId="0" borderId="6" xfId="0" applyFont="1" applyBorder="1" applyAlignment="1" applyProtection="1">
      <alignment horizontal="left" vertical="center"/>
      <protection locked="0" hidden="1"/>
    </xf>
    <xf numFmtId="0" fontId="32" fillId="3" borderId="6" xfId="0" applyFont="1" applyFill="1" applyBorder="1" applyAlignment="1" applyProtection="1">
      <alignment horizontal="left" vertical="center"/>
      <protection locked="0" hidden="1"/>
    </xf>
    <xf numFmtId="0" fontId="33" fillId="3" borderId="0" xfId="0" applyFont="1" applyFill="1" applyAlignment="1" applyProtection="1">
      <alignment vertical="center"/>
      <protection locked="0" hidden="1"/>
    </xf>
    <xf numFmtId="0" fontId="31" fillId="3" borderId="0" xfId="0" applyFont="1" applyFill="1" applyAlignment="1" applyProtection="1">
      <alignment vertical="center"/>
      <protection locked="0" hidden="1"/>
    </xf>
    <xf numFmtId="0" fontId="33" fillId="3" borderId="0" xfId="0" applyFont="1" applyFill="1" applyAlignment="1" applyProtection="1">
      <alignment horizontal="center" vertical="center"/>
      <protection locked="0" hidden="1"/>
    </xf>
    <xf numFmtId="164" fontId="33" fillId="3" borderId="0" xfId="0" applyNumberFormat="1" applyFont="1" applyFill="1" applyAlignment="1" applyProtection="1">
      <alignment vertical="center"/>
      <protection locked="0" hidden="1"/>
    </xf>
    <xf numFmtId="0" fontId="33" fillId="3" borderId="0" xfId="0" applyFont="1" applyFill="1" applyAlignment="1" applyProtection="1">
      <alignment horizontal="center" vertical="center" wrapText="1"/>
      <protection locked="0" hidden="1"/>
    </xf>
    <xf numFmtId="0" fontId="38" fillId="3" borderId="0" xfId="0" applyFont="1" applyFill="1" applyAlignment="1" applyProtection="1">
      <alignment vertical="center"/>
      <protection locked="0" hidden="1"/>
    </xf>
    <xf numFmtId="0" fontId="32" fillId="3" borderId="0" xfId="0" applyFont="1" applyFill="1" applyAlignment="1" applyProtection="1">
      <alignment horizontal="center" vertical="center"/>
      <protection locked="0" hidden="1"/>
    </xf>
    <xf numFmtId="168" fontId="9" fillId="0" borderId="0" xfId="2" applyNumberFormat="1" applyFont="1" applyFill="1" applyBorder="1" applyAlignment="1" applyProtection="1">
      <alignment horizontal="center" vertical="center"/>
      <protection locked="0" hidden="1"/>
    </xf>
    <xf numFmtId="168" fontId="32" fillId="5" borderId="0" xfId="2" applyNumberFormat="1" applyFont="1" applyFill="1" applyBorder="1" applyAlignment="1" applyProtection="1">
      <alignment horizontal="center" vertical="center" wrapText="1"/>
      <protection locked="0" hidden="1"/>
    </xf>
    <xf numFmtId="9" fontId="33" fillId="3" borderId="0" xfId="2" applyFont="1" applyFill="1" applyBorder="1" applyAlignment="1" applyProtection="1">
      <alignment vertical="center"/>
      <protection locked="0" hidden="1"/>
    </xf>
    <xf numFmtId="0" fontId="22" fillId="0" borderId="0" xfId="0" applyFont="1" applyAlignment="1" applyProtection="1">
      <alignment horizontal="left" vertical="center"/>
      <protection locked="0" hidden="1"/>
    </xf>
    <xf numFmtId="0" fontId="9" fillId="0" borderId="0" xfId="0" applyFont="1" applyAlignment="1" applyProtection="1">
      <alignment horizontal="right"/>
      <protection locked="0" hidden="1"/>
    </xf>
    <xf numFmtId="0" fontId="25" fillId="0" borderId="0" xfId="0" applyFont="1" applyAlignment="1" applyProtection="1">
      <alignment horizontal="left" vertical="center" indent="3"/>
      <protection locked="0" hidden="1"/>
    </xf>
    <xf numFmtId="0" fontId="26" fillId="0" borderId="0" xfId="0" applyFont="1" applyAlignment="1" applyProtection="1">
      <alignment vertical="center"/>
      <protection locked="0" hidden="1"/>
    </xf>
    <xf numFmtId="0" fontId="25" fillId="0" borderId="0" xfId="0" applyFont="1" applyAlignment="1" applyProtection="1">
      <alignment horizontal="left" indent="1"/>
      <protection locked="0" hidden="1"/>
    </xf>
    <xf numFmtId="0" fontId="26" fillId="3" borderId="0" xfId="0" applyFont="1" applyFill="1" applyAlignment="1" applyProtection="1">
      <alignment vertical="center"/>
      <protection locked="0" hidden="1"/>
    </xf>
    <xf numFmtId="0" fontId="25" fillId="3" borderId="0" xfId="0" applyFont="1" applyFill="1" applyAlignment="1" applyProtection="1">
      <alignment horizontal="left" indent="1"/>
      <protection locked="0" hidden="1"/>
    </xf>
    <xf numFmtId="0" fontId="27" fillId="0" borderId="0" xfId="0" applyFont="1" applyAlignment="1" applyProtection="1">
      <alignment horizontal="left" indent="3"/>
      <protection locked="0" hidden="1"/>
    </xf>
    <xf numFmtId="0" fontId="27" fillId="0" borderId="0" xfId="0" applyFont="1" applyAlignment="1" applyProtection="1">
      <alignment horizontal="left" indent="4"/>
      <protection locked="0" hidden="1"/>
    </xf>
    <xf numFmtId="0" fontId="25" fillId="0" borderId="0" xfId="0" applyFont="1" applyAlignment="1" applyProtection="1">
      <alignment horizontal="left" vertical="center" wrapText="1" indent="1"/>
      <protection locked="0" hidden="1"/>
    </xf>
    <xf numFmtId="0" fontId="27" fillId="0" borderId="0" xfId="0" applyFont="1" applyAlignment="1" applyProtection="1">
      <alignment horizontal="left" vertical="center" indent="5"/>
      <protection locked="0" hidden="1"/>
    </xf>
    <xf numFmtId="165" fontId="34" fillId="0" borderId="0" xfId="1" applyNumberFormat="1" applyFont="1" applyFill="1" applyBorder="1" applyAlignment="1" applyProtection="1">
      <alignment horizontal="center" vertical="center"/>
      <protection locked="0" hidden="1"/>
    </xf>
    <xf numFmtId="0" fontId="27" fillId="3" borderId="0" xfId="0" applyFont="1" applyFill="1" applyAlignment="1" applyProtection="1">
      <alignment horizontal="left" indent="3"/>
      <protection locked="0" hidden="1"/>
    </xf>
    <xf numFmtId="0" fontId="27" fillId="3" borderId="0" xfId="0" applyFont="1" applyFill="1" applyAlignment="1" applyProtection="1">
      <alignment horizontal="left" indent="4"/>
      <protection locked="0" hidden="1"/>
    </xf>
    <xf numFmtId="0" fontId="25" fillId="3" borderId="0" xfId="0" applyFont="1" applyFill="1" applyAlignment="1" applyProtection="1">
      <alignment horizontal="left" vertical="center" wrapText="1" indent="1"/>
      <protection locked="0" hidden="1"/>
    </xf>
    <xf numFmtId="0" fontId="25" fillId="0" borderId="0" xfId="0" applyFont="1" applyAlignment="1" applyProtection="1">
      <alignment horizontal="left" wrapText="1"/>
      <protection locked="0" hidden="1"/>
    </xf>
    <xf numFmtId="0" fontId="30" fillId="0" borderId="0" xfId="0" applyFont="1" applyAlignment="1" applyProtection="1">
      <alignment horizontal="left" vertical="center" wrapText="1" indent="5"/>
      <protection locked="0" hidden="1"/>
    </xf>
    <xf numFmtId="0" fontId="9" fillId="0" borderId="0" xfId="0" applyFont="1" applyAlignment="1" applyProtection="1">
      <alignment horizontal="left" vertical="center" wrapText="1" indent="1"/>
      <protection locked="0" hidden="1"/>
    </xf>
    <xf numFmtId="0" fontId="30" fillId="0" borderId="0" xfId="0" applyFont="1" applyAlignment="1" applyProtection="1">
      <alignment horizontal="left" vertical="center" wrapText="1" indent="4"/>
      <protection locked="0" hidden="1"/>
    </xf>
    <xf numFmtId="0" fontId="30" fillId="0" borderId="0" xfId="0" applyFont="1" applyAlignment="1" applyProtection="1">
      <alignment horizontal="left" indent="5"/>
      <protection locked="0" hidden="1"/>
    </xf>
    <xf numFmtId="0" fontId="30" fillId="0" borderId="0" xfId="0" applyFont="1" applyAlignment="1" applyProtection="1">
      <alignment horizontal="left" indent="7"/>
      <protection locked="0" hidden="1"/>
    </xf>
    <xf numFmtId="0" fontId="30" fillId="3" borderId="0" xfId="0" applyFont="1" applyFill="1" applyAlignment="1" applyProtection="1">
      <alignment horizontal="left" vertical="center" wrapText="1" indent="5"/>
      <protection locked="0" hidden="1"/>
    </xf>
    <xf numFmtId="0" fontId="30" fillId="3" borderId="0" xfId="0" applyFont="1" applyFill="1" applyAlignment="1" applyProtection="1">
      <alignment horizontal="left" vertical="center" wrapText="1" indent="4"/>
      <protection locked="0" hidden="1"/>
    </xf>
    <xf numFmtId="0" fontId="9" fillId="3" borderId="0" xfId="0" applyFont="1" applyFill="1" applyAlignment="1" applyProtection="1">
      <alignment horizontal="left" vertical="center" wrapText="1" indent="1"/>
      <protection locked="0" hidden="1"/>
    </xf>
    <xf numFmtId="0" fontId="30" fillId="3" borderId="0" xfId="0" applyFont="1" applyFill="1" applyAlignment="1" applyProtection="1">
      <alignment horizontal="left" indent="7"/>
      <protection locked="0" hidden="1"/>
    </xf>
    <xf numFmtId="0" fontId="9" fillId="0" borderId="0" xfId="0" applyFont="1" applyAlignment="1" applyProtection="1">
      <alignment horizontal="left" vertical="center" wrapText="1"/>
      <protection locked="0" hidden="1"/>
    </xf>
    <xf numFmtId="0" fontId="26" fillId="0" borderId="0" xfId="0" applyFont="1" applyAlignment="1" applyProtection="1">
      <alignment horizontal="left" indent="1"/>
      <protection locked="0" hidden="1"/>
    </xf>
    <xf numFmtId="0" fontId="25" fillId="0" borderId="0" xfId="0" applyFont="1" applyAlignment="1" applyProtection="1">
      <alignment horizontal="left" indent="4"/>
      <protection locked="0" hidden="1"/>
    </xf>
    <xf numFmtId="0" fontId="21" fillId="0" borderId="0" xfId="0" applyFont="1" applyAlignment="1" applyProtection="1">
      <alignment horizontal="left" vertical="center" wrapText="1" indent="2"/>
      <protection locked="0" hidden="1"/>
    </xf>
    <xf numFmtId="165" fontId="25" fillId="3" borderId="0" xfId="1" applyNumberFormat="1" applyFont="1" applyFill="1" applyBorder="1" applyAlignment="1" applyProtection="1">
      <alignment horizontal="left" vertical="center" wrapText="1"/>
      <protection locked="0" hidden="1"/>
    </xf>
    <xf numFmtId="0" fontId="30" fillId="0" borderId="0" xfId="0" applyFont="1" applyAlignment="1" applyProtection="1">
      <alignment horizontal="left" indent="4"/>
      <protection locked="0" hidden="1"/>
    </xf>
    <xf numFmtId="0" fontId="9" fillId="3" borderId="0" xfId="0" applyFont="1" applyFill="1" applyAlignment="1" applyProtection="1">
      <alignment horizontal="left" indent="1"/>
      <protection locked="0" hidden="1"/>
    </xf>
    <xf numFmtId="165" fontId="26" fillId="4" borderId="4" xfId="1" applyNumberFormat="1" applyFont="1" applyFill="1" applyBorder="1" applyAlignment="1" applyProtection="1">
      <alignment horizontal="left" vertical="center" wrapText="1"/>
      <protection locked="0" hidden="1"/>
    </xf>
    <xf numFmtId="165" fontId="25" fillId="4" borderId="0" xfId="1" applyNumberFormat="1" applyFont="1" applyFill="1" applyBorder="1" applyAlignment="1" applyProtection="1">
      <alignment horizontal="left" vertical="center" wrapText="1"/>
      <protection locked="0" hidden="1"/>
    </xf>
    <xf numFmtId="0" fontId="30" fillId="4" borderId="0" xfId="0" applyFont="1" applyFill="1" applyAlignment="1" applyProtection="1">
      <alignment horizontal="left" vertical="center" wrapText="1" indent="5"/>
      <protection locked="0" hidden="1"/>
    </xf>
    <xf numFmtId="0" fontId="9" fillId="4" borderId="0" xfId="0" applyFont="1" applyFill="1" applyAlignment="1" applyProtection="1">
      <alignment horizontal="left" vertical="center" wrapText="1"/>
      <protection locked="0" hidden="1"/>
    </xf>
    <xf numFmtId="174" fontId="33" fillId="0" borderId="6" xfId="1" applyNumberFormat="1" applyFont="1" applyFill="1" applyBorder="1" applyAlignment="1" applyProtection="1">
      <alignment horizontal="right" vertical="center"/>
      <protection locked="0" hidden="1"/>
    </xf>
    <xf numFmtId="9" fontId="33" fillId="3" borderId="0" xfId="2" applyFont="1" applyFill="1" applyAlignment="1" applyProtection="1">
      <alignment vertical="center"/>
      <protection locked="0" hidden="1"/>
    </xf>
    <xf numFmtId="174" fontId="31" fillId="7" borderId="0" xfId="1" applyNumberFormat="1" applyFont="1" applyFill="1" applyBorder="1" applyAlignment="1" applyProtection="1">
      <alignment horizontal="right" vertical="center"/>
      <protection locked="0" hidden="1"/>
    </xf>
    <xf numFmtId="174" fontId="16" fillId="7" borderId="6" xfId="1" applyNumberFormat="1" applyFont="1" applyFill="1" applyBorder="1" applyAlignment="1" applyProtection="1">
      <alignment horizontal="right" vertical="center"/>
      <protection locked="0" hidden="1"/>
    </xf>
    <xf numFmtId="174" fontId="33" fillId="4" borderId="0" xfId="1" applyNumberFormat="1" applyFont="1" applyFill="1" applyBorder="1" applyAlignment="1" applyProtection="1">
      <alignment horizontal="right" vertical="center"/>
      <protection locked="0" hidden="1"/>
    </xf>
    <xf numFmtId="0" fontId="17" fillId="3" borderId="0" xfId="0" applyFont="1" applyFill="1" applyAlignment="1" applyProtection="1">
      <alignment vertical="center"/>
      <protection locked="0" hidden="1"/>
    </xf>
    <xf numFmtId="0" fontId="9" fillId="3" borderId="0" xfId="0" applyFont="1" applyFill="1" applyAlignment="1" applyProtection="1">
      <alignment horizontal="center"/>
      <protection locked="0" hidden="1"/>
    </xf>
    <xf numFmtId="0" fontId="39" fillId="0" borderId="7" xfId="0" applyFont="1" applyBorder="1" applyAlignment="1" applyProtection="1">
      <alignment horizontal="center" vertical="center" wrapText="1"/>
      <protection locked="0" hidden="1"/>
    </xf>
    <xf numFmtId="168" fontId="32" fillId="3" borderId="0" xfId="2" applyNumberFormat="1" applyFont="1" applyFill="1" applyBorder="1" applyAlignment="1" applyProtection="1">
      <alignment horizontal="center" vertical="center"/>
      <protection locked="0" hidden="1"/>
    </xf>
    <xf numFmtId="168" fontId="32" fillId="6" borderId="0" xfId="2" applyNumberFormat="1" applyFont="1" applyFill="1" applyBorder="1" applyAlignment="1" applyProtection="1">
      <alignment horizontal="center" vertical="center"/>
      <protection locked="0" hidden="1"/>
    </xf>
    <xf numFmtId="176" fontId="32" fillId="0" borderId="6" xfId="1" applyNumberFormat="1" applyFont="1" applyFill="1" applyBorder="1" applyAlignment="1" applyProtection="1">
      <alignment horizontal="right" vertical="center"/>
      <protection locked="0" hidden="1"/>
    </xf>
    <xf numFmtId="176" fontId="32" fillId="3" borderId="6" xfId="1" applyNumberFormat="1" applyFont="1" applyFill="1" applyBorder="1" applyAlignment="1" applyProtection="1">
      <alignment horizontal="right" vertical="center"/>
      <protection locked="0" hidden="1"/>
    </xf>
    <xf numFmtId="168" fontId="21" fillId="3" borderId="0" xfId="2" applyNumberFormat="1" applyFont="1" applyFill="1" applyBorder="1" applyAlignment="1" applyProtection="1">
      <alignment horizontal="center" vertical="center"/>
      <protection locked="0" hidden="1"/>
    </xf>
    <xf numFmtId="176" fontId="32" fillId="0" borderId="0" xfId="1" applyNumberFormat="1" applyFont="1" applyFill="1" applyBorder="1" applyAlignment="1" applyProtection="1">
      <alignment horizontal="right" vertical="center"/>
      <protection locked="0" hidden="1"/>
    </xf>
    <xf numFmtId="176" fontId="33" fillId="4" borderId="0" xfId="1" applyNumberFormat="1" applyFont="1" applyFill="1" applyBorder="1" applyAlignment="1" applyProtection="1">
      <alignment horizontal="right" vertical="center"/>
      <protection locked="0" hidden="1"/>
    </xf>
    <xf numFmtId="176" fontId="33" fillId="0" borderId="0" xfId="1" applyNumberFormat="1" applyFont="1" applyFill="1" applyBorder="1" applyAlignment="1" applyProtection="1">
      <alignment horizontal="right" vertical="center"/>
      <protection locked="0" hidden="1"/>
    </xf>
    <xf numFmtId="0" fontId="27" fillId="3" borderId="0" xfId="0" applyFont="1" applyFill="1" applyAlignment="1" applyProtection="1">
      <alignment horizontal="left" vertical="center" indent="7"/>
      <protection locked="0" hidden="1"/>
    </xf>
    <xf numFmtId="0" fontId="27" fillId="3" borderId="0" xfId="0" applyFont="1" applyFill="1" applyAlignment="1" applyProtection="1">
      <alignment horizontal="left" vertical="center" indent="3"/>
      <protection locked="0" hidden="1"/>
    </xf>
    <xf numFmtId="165" fontId="9" fillId="3" borderId="0" xfId="1" applyNumberFormat="1" applyFont="1" applyFill="1" applyBorder="1" applyAlignment="1" applyProtection="1">
      <alignment horizontal="left" vertical="center" wrapText="1" indent="1"/>
      <protection locked="0" hidden="1"/>
    </xf>
    <xf numFmtId="165" fontId="9" fillId="0" borderId="0" xfId="1" applyNumberFormat="1" applyFont="1" applyFill="1" applyBorder="1" applyAlignment="1" applyProtection="1">
      <alignment horizontal="left" vertical="center" wrapText="1" indent="1"/>
      <protection locked="0" hidden="1"/>
    </xf>
    <xf numFmtId="0" fontId="9" fillId="4" borderId="0" xfId="0" applyFont="1" applyFill="1" applyAlignment="1" applyProtection="1">
      <alignment horizontal="left" vertical="center" wrapText="1" indent="1"/>
      <protection locked="0" hidden="1"/>
    </xf>
    <xf numFmtId="0" fontId="30" fillId="4" borderId="0" xfId="0" applyFont="1" applyFill="1" applyAlignment="1" applyProtection="1">
      <alignment horizontal="left" vertical="center" wrapText="1" indent="4"/>
      <protection locked="0" hidden="1"/>
    </xf>
    <xf numFmtId="1" fontId="42" fillId="0" borderId="0" xfId="1" applyNumberFormat="1" applyFont="1" applyFill="1" applyBorder="1" applyAlignment="1" applyProtection="1">
      <alignment horizontal="center" vertical="center"/>
      <protection locked="0" hidden="1"/>
    </xf>
    <xf numFmtId="0" fontId="4" fillId="0" borderId="0" xfId="0" applyFont="1" applyProtection="1">
      <protection locked="0" hidden="1"/>
    </xf>
    <xf numFmtId="0" fontId="43" fillId="0" borderId="0" xfId="0" applyFont="1" applyAlignment="1" applyProtection="1">
      <alignment horizontal="left" vertical="center"/>
      <protection locked="0" hidden="1"/>
    </xf>
    <xf numFmtId="0" fontId="45" fillId="0" borderId="0" xfId="0" applyFont="1" applyAlignment="1" applyProtection="1">
      <alignment horizontal="left" indent="1"/>
      <protection locked="0" hidden="1"/>
    </xf>
    <xf numFmtId="165" fontId="4" fillId="0" borderId="0" xfId="1" applyNumberFormat="1" applyFont="1" applyFill="1" applyBorder="1" applyAlignment="1" applyProtection="1">
      <alignment vertical="center" wrapText="1"/>
      <protection locked="0" hidden="1"/>
    </xf>
    <xf numFmtId="0" fontId="46" fillId="0" borderId="0" xfId="0" applyFont="1" applyAlignment="1" applyProtection="1">
      <alignment horizontal="left" vertical="center"/>
      <protection locked="0" hidden="1"/>
    </xf>
    <xf numFmtId="165" fontId="27" fillId="4" borderId="0" xfId="1" applyNumberFormat="1" applyFont="1" applyFill="1" applyBorder="1" applyAlignment="1" applyProtection="1">
      <alignment horizontal="left" vertical="center" wrapText="1" indent="4"/>
      <protection locked="0" hidden="1"/>
    </xf>
    <xf numFmtId="0" fontId="27" fillId="0" borderId="0" xfId="0" applyFont="1" applyAlignment="1" applyProtection="1">
      <alignment horizontal="left" vertical="center" indent="2"/>
      <protection locked="0" hidden="1"/>
    </xf>
    <xf numFmtId="0" fontId="25" fillId="0" borderId="0" xfId="0" applyFont="1" applyAlignment="1" applyProtection="1">
      <alignment horizontal="left" vertical="center" indent="2"/>
      <protection locked="0" hidden="1"/>
    </xf>
    <xf numFmtId="0" fontId="21" fillId="3" borderId="0" xfId="0" applyFont="1" applyFill="1" applyProtection="1">
      <protection locked="0" hidden="1"/>
    </xf>
    <xf numFmtId="0" fontId="27" fillId="3" borderId="0" xfId="0" applyFont="1" applyFill="1" applyAlignment="1" applyProtection="1">
      <alignment horizontal="left" vertical="center" indent="2"/>
      <protection locked="0" hidden="1"/>
    </xf>
    <xf numFmtId="0" fontId="25" fillId="3" borderId="0" xfId="0" applyFont="1" applyFill="1" applyAlignment="1" applyProtection="1">
      <alignment horizontal="left" vertical="center" indent="2"/>
      <protection locked="0" hidden="1"/>
    </xf>
    <xf numFmtId="0" fontId="27" fillId="3" borderId="0" xfId="0" applyFont="1" applyFill="1" applyAlignment="1" applyProtection="1">
      <alignment horizontal="left" vertical="center" indent="9"/>
      <protection locked="0" hidden="1"/>
    </xf>
    <xf numFmtId="0" fontId="27" fillId="3" borderId="0" xfId="0" applyFont="1" applyFill="1" applyAlignment="1" applyProtection="1">
      <alignment horizontal="left" vertical="center" indent="5"/>
      <protection locked="0" hidden="1"/>
    </xf>
    <xf numFmtId="1" fontId="47" fillId="0" borderId="0" xfId="1" applyNumberFormat="1" applyFont="1" applyFill="1" applyBorder="1" applyAlignment="1" applyProtection="1">
      <alignment horizontal="center" vertical="center"/>
      <protection locked="0" hidden="1"/>
    </xf>
    <xf numFmtId="1" fontId="47" fillId="0" borderId="0" xfId="1" applyNumberFormat="1" applyFont="1" applyAlignment="1" applyProtection="1">
      <alignment horizontal="center" vertical="center"/>
      <protection locked="0" hidden="1"/>
    </xf>
    <xf numFmtId="0" fontId="9" fillId="0" borderId="0" xfId="0" applyFont="1" applyProtection="1">
      <protection locked="0"/>
    </xf>
    <xf numFmtId="0" fontId="9" fillId="0" borderId="0" xfId="0" applyFont="1" applyAlignment="1" applyProtection="1">
      <alignment horizontal="right"/>
      <protection locked="0"/>
    </xf>
    <xf numFmtId="1" fontId="35" fillId="0" borderId="0" xfId="1" applyNumberFormat="1" applyFont="1" applyFill="1" applyBorder="1" applyAlignment="1" applyProtection="1">
      <alignment horizontal="center" vertical="center"/>
      <protection locked="0"/>
    </xf>
    <xf numFmtId="165" fontId="35" fillId="0" borderId="0" xfId="1" applyNumberFormat="1" applyFont="1" applyFill="1" applyBorder="1" applyAlignment="1" applyProtection="1">
      <alignment horizontal="center" vertical="center"/>
      <protection locked="0"/>
    </xf>
    <xf numFmtId="165" fontId="34" fillId="0" borderId="5" xfId="1" applyNumberFormat="1" applyFont="1" applyFill="1" applyBorder="1" applyAlignment="1" applyProtection="1">
      <alignment horizontal="center" vertical="center"/>
      <protection locked="0"/>
    </xf>
    <xf numFmtId="165" fontId="34" fillId="0" borderId="0" xfId="1" applyNumberFormat="1" applyFont="1" applyFill="1" applyBorder="1" applyAlignment="1" applyProtection="1">
      <alignment horizontal="center" vertical="center"/>
      <protection locked="0"/>
    </xf>
    <xf numFmtId="165" fontId="22" fillId="0" borderId="0" xfId="1" applyNumberFormat="1" applyFont="1" applyFill="1" applyBorder="1" applyAlignment="1" applyProtection="1">
      <alignment horizontal="right" vertical="center"/>
      <protection locked="0"/>
    </xf>
    <xf numFmtId="0" fontId="22" fillId="0" borderId="0" xfId="0" applyFont="1" applyAlignment="1" applyProtection="1">
      <alignment vertical="center"/>
      <protection locked="0"/>
    </xf>
    <xf numFmtId="0" fontId="23" fillId="0" borderId="0" xfId="11" applyFont="1" applyFill="1" applyBorder="1" applyAlignment="1" applyProtection="1">
      <alignment horizontal="left" vertical="center"/>
      <protection locked="0"/>
    </xf>
    <xf numFmtId="0" fontId="24" fillId="0" borderId="0" xfId="0" applyFont="1" applyAlignment="1" applyProtection="1">
      <alignment vertical="center"/>
      <protection locked="0"/>
    </xf>
    <xf numFmtId="1" fontId="21" fillId="0" borderId="0" xfId="1" applyNumberFormat="1" applyFont="1" applyFill="1" applyBorder="1" applyAlignment="1" applyProtection="1">
      <alignment horizontal="right" vertical="center"/>
      <protection locked="0"/>
    </xf>
    <xf numFmtId="165" fontId="21" fillId="0" borderId="0" xfId="1" applyNumberFormat="1" applyFont="1" applyFill="1" applyBorder="1" applyAlignment="1" applyProtection="1">
      <alignment horizontal="right" vertical="center"/>
      <protection locked="0"/>
    </xf>
    <xf numFmtId="170" fontId="9" fillId="0" borderId="0" xfId="1" applyNumberFormat="1" applyFont="1" applyFill="1" applyBorder="1" applyAlignment="1" applyProtection="1">
      <alignment horizontal="right" vertical="center" wrapText="1"/>
      <protection locked="0"/>
    </xf>
    <xf numFmtId="165" fontId="9" fillId="0" borderId="0" xfId="1" applyNumberFormat="1" applyFont="1" applyFill="1" applyBorder="1" applyAlignment="1" applyProtection="1">
      <alignment horizontal="right" vertical="center" wrapText="1"/>
      <protection locked="0"/>
    </xf>
    <xf numFmtId="173" fontId="9" fillId="0" borderId="0" xfId="0" applyNumberFormat="1" applyFont="1" applyAlignment="1" applyProtection="1">
      <alignment horizontal="right"/>
      <protection locked="0"/>
    </xf>
    <xf numFmtId="164" fontId="9" fillId="0" borderId="0" xfId="0" applyNumberFormat="1" applyFont="1" applyProtection="1">
      <protection locked="0"/>
    </xf>
    <xf numFmtId="170" fontId="9" fillId="0" borderId="0" xfId="1" applyNumberFormat="1" applyFont="1" applyFill="1" applyBorder="1" applyAlignment="1" applyProtection="1">
      <alignment horizontal="right" wrapText="1"/>
      <protection locked="0"/>
    </xf>
    <xf numFmtId="9" fontId="9" fillId="0" borderId="0" xfId="2" applyFont="1" applyFill="1" applyBorder="1" applyAlignment="1" applyProtection="1">
      <alignment horizontal="right" wrapText="1"/>
      <protection locked="0"/>
    </xf>
    <xf numFmtId="168" fontId="9" fillId="0" borderId="0" xfId="2" applyNumberFormat="1" applyFont="1" applyFill="1" applyBorder="1" applyAlignment="1" applyProtection="1">
      <alignment horizontal="right" wrapText="1"/>
      <protection locked="0"/>
    </xf>
    <xf numFmtId="173" fontId="9" fillId="0" borderId="0" xfId="2" applyNumberFormat="1" applyFont="1" applyFill="1" applyBorder="1" applyAlignment="1" applyProtection="1">
      <alignment horizontal="right" wrapText="1"/>
      <protection locked="0"/>
    </xf>
    <xf numFmtId="0" fontId="9" fillId="0" borderId="0" xfId="0" applyFont="1" applyAlignment="1" applyProtection="1">
      <alignment horizontal="left" vertical="center" wrapText="1" indent="2"/>
      <protection locked="0"/>
    </xf>
    <xf numFmtId="181" fontId="9" fillId="0" borderId="0" xfId="0" applyNumberFormat="1" applyFont="1" applyAlignment="1" applyProtection="1">
      <alignment horizontal="right"/>
      <protection locked="0"/>
    </xf>
    <xf numFmtId="0" fontId="25" fillId="0" borderId="0" xfId="0" applyFont="1" applyAlignment="1" applyProtection="1">
      <alignment horizontal="left"/>
      <protection locked="0"/>
    </xf>
    <xf numFmtId="0" fontId="9" fillId="0" borderId="0" xfId="0" applyFont="1" applyAlignment="1" applyProtection="1">
      <alignment horizontal="left"/>
      <protection locked="0"/>
    </xf>
    <xf numFmtId="166" fontId="25" fillId="0" borderId="0" xfId="1" applyNumberFormat="1" applyFont="1" applyFill="1" applyBorder="1" applyAlignment="1" applyProtection="1">
      <alignment horizontal="right" vertical="center"/>
      <protection locked="0"/>
    </xf>
    <xf numFmtId="165" fontId="26" fillId="0" borderId="0" xfId="1" applyNumberFormat="1" applyFont="1" applyFill="1" applyBorder="1" applyAlignment="1" applyProtection="1">
      <alignment horizontal="left" vertical="center" wrapText="1"/>
      <protection locked="0"/>
    </xf>
    <xf numFmtId="167" fontId="26" fillId="0" borderId="0" xfId="1" applyNumberFormat="1" applyFont="1" applyFill="1" applyBorder="1" applyAlignment="1" applyProtection="1">
      <alignment horizontal="right" vertical="center" wrapText="1"/>
      <protection locked="0"/>
    </xf>
    <xf numFmtId="172" fontId="25" fillId="0" borderId="0" xfId="1" applyNumberFormat="1" applyFont="1" applyFill="1" applyAlignment="1" applyProtection="1">
      <alignment horizontal="right" vertical="center"/>
      <protection locked="0"/>
    </xf>
    <xf numFmtId="0" fontId="28" fillId="0" borderId="0" xfId="0" applyFont="1" applyProtection="1">
      <protection locked="0"/>
    </xf>
    <xf numFmtId="1" fontId="22" fillId="0" borderId="0" xfId="1" applyNumberFormat="1" applyFont="1" applyFill="1" applyBorder="1" applyAlignment="1" applyProtection="1">
      <alignment horizontal="right" vertical="center"/>
      <protection locked="0"/>
    </xf>
    <xf numFmtId="168" fontId="9" fillId="0" borderId="0" xfId="2" applyNumberFormat="1" applyFont="1" applyFill="1" applyAlignment="1" applyProtection="1">
      <alignment horizontal="right"/>
      <protection locked="0"/>
    </xf>
    <xf numFmtId="168" fontId="9" fillId="3" borderId="0" xfId="2" applyNumberFormat="1" applyFont="1" applyFill="1" applyAlignment="1" applyProtection="1">
      <alignment horizontal="right"/>
      <protection locked="0"/>
    </xf>
    <xf numFmtId="1" fontId="9" fillId="0" borderId="0" xfId="0" applyNumberFormat="1" applyFont="1" applyProtection="1">
      <protection locked="0"/>
    </xf>
    <xf numFmtId="9" fontId="9" fillId="0" borderId="0" xfId="2" applyFont="1" applyFill="1" applyProtection="1">
      <protection locked="0"/>
    </xf>
    <xf numFmtId="168" fontId="9" fillId="0" borderId="0" xfId="2" applyNumberFormat="1" applyFont="1" applyFill="1" applyProtection="1">
      <protection locked="0"/>
    </xf>
    <xf numFmtId="0" fontId="9" fillId="0" borderId="0" xfId="0" applyFont="1" applyAlignment="1" applyProtection="1">
      <alignment vertical="center"/>
      <protection locked="0"/>
    </xf>
    <xf numFmtId="0" fontId="21" fillId="0" borderId="0" xfId="0" applyFont="1" applyProtection="1">
      <protection locked="0"/>
    </xf>
    <xf numFmtId="0" fontId="30" fillId="0" borderId="0" xfId="0" applyFont="1" applyProtection="1">
      <protection locked="0"/>
    </xf>
    <xf numFmtId="168" fontId="26" fillId="0" borderId="1" xfId="2" applyNumberFormat="1" applyFont="1" applyFill="1" applyBorder="1" applyAlignment="1" applyProtection="1">
      <alignment horizontal="right"/>
      <protection locked="0"/>
    </xf>
    <xf numFmtId="172" fontId="25" fillId="3" borderId="0" xfId="1" applyNumberFormat="1" applyFont="1" applyFill="1" applyBorder="1" applyAlignment="1" applyProtection="1">
      <alignment horizontal="right"/>
      <protection locked="0"/>
    </xf>
    <xf numFmtId="172" fontId="9" fillId="0" borderId="0" xfId="1" applyNumberFormat="1" applyFont="1" applyFill="1" applyBorder="1" applyAlignment="1" applyProtection="1">
      <alignment horizontal="right"/>
      <protection locked="0"/>
    </xf>
    <xf numFmtId="172" fontId="9" fillId="3" borderId="0" xfId="1" applyNumberFormat="1" applyFont="1" applyFill="1" applyBorder="1" applyAlignment="1" applyProtection="1">
      <alignment horizontal="right"/>
      <protection locked="0"/>
    </xf>
    <xf numFmtId="0" fontId="9" fillId="3" borderId="0" xfId="0" applyFont="1" applyFill="1" applyProtection="1">
      <protection locked="0"/>
    </xf>
    <xf numFmtId="0" fontId="9" fillId="3" borderId="0" xfId="0" applyFont="1" applyFill="1" applyAlignment="1" applyProtection="1">
      <alignment horizontal="right"/>
      <protection locked="0"/>
    </xf>
    <xf numFmtId="172" fontId="25" fillId="0" borderId="0" xfId="1" applyNumberFormat="1" applyFont="1" applyFill="1" applyBorder="1" applyAlignment="1" applyProtection="1">
      <alignment horizontal="right"/>
      <protection locked="0"/>
    </xf>
    <xf numFmtId="173" fontId="21" fillId="0" borderId="3" xfId="2" applyNumberFormat="1" applyFont="1" applyFill="1" applyBorder="1" applyAlignment="1" applyProtection="1">
      <alignment horizontal="right"/>
      <protection locked="0"/>
    </xf>
    <xf numFmtId="173" fontId="21" fillId="3" borderId="3" xfId="2" applyNumberFormat="1" applyFont="1" applyFill="1" applyBorder="1" applyAlignment="1" applyProtection="1">
      <alignment horizontal="right"/>
      <protection locked="0"/>
    </xf>
    <xf numFmtId="168" fontId="26" fillId="0" borderId="0" xfId="2" applyNumberFormat="1" applyFont="1" applyFill="1" applyBorder="1" applyAlignment="1" applyProtection="1">
      <alignment horizontal="right"/>
      <protection locked="0"/>
    </xf>
    <xf numFmtId="172" fontId="26" fillId="0" borderId="0" xfId="1" applyNumberFormat="1" applyFont="1" applyFill="1" applyBorder="1" applyAlignment="1" applyProtection="1">
      <alignment horizontal="right"/>
      <protection locked="0"/>
    </xf>
    <xf numFmtId="172" fontId="21" fillId="0" borderId="0" xfId="1" applyNumberFormat="1" applyFont="1" applyFill="1" applyBorder="1" applyAlignment="1" applyProtection="1">
      <alignment horizontal="right"/>
      <protection locked="0"/>
    </xf>
    <xf numFmtId="168" fontId="9" fillId="0" borderId="0" xfId="0" applyNumberFormat="1" applyFont="1" applyProtection="1">
      <protection locked="0"/>
    </xf>
    <xf numFmtId="0" fontId="9" fillId="4" borderId="0" xfId="0" applyFont="1" applyFill="1" applyAlignment="1" applyProtection="1">
      <alignment horizontal="right"/>
      <protection locked="0"/>
    </xf>
    <xf numFmtId="172" fontId="25" fillId="4" borderId="0" xfId="1" applyNumberFormat="1" applyFont="1" applyFill="1" applyBorder="1" applyAlignment="1" applyProtection="1">
      <alignment horizontal="right"/>
      <protection locked="0"/>
    </xf>
    <xf numFmtId="172" fontId="25" fillId="0" borderId="0" xfId="1" applyNumberFormat="1" applyFont="1" applyFill="1" applyAlignment="1" applyProtection="1">
      <alignment horizontal="right"/>
      <protection locked="0"/>
    </xf>
    <xf numFmtId="172" fontId="25" fillId="4" borderId="0" xfId="1" applyNumberFormat="1" applyFont="1" applyFill="1" applyAlignment="1" applyProtection="1">
      <alignment horizontal="right"/>
      <protection locked="0"/>
    </xf>
    <xf numFmtId="172" fontId="9" fillId="0" borderId="0" xfId="0" applyNumberFormat="1" applyFont="1" applyProtection="1">
      <protection locked="0"/>
    </xf>
    <xf numFmtId="172" fontId="9" fillId="4" borderId="0" xfId="0" applyNumberFormat="1" applyFont="1" applyFill="1" applyProtection="1">
      <protection locked="0"/>
    </xf>
    <xf numFmtId="172" fontId="9" fillId="3" borderId="0" xfId="1" applyNumberFormat="1" applyFont="1" applyFill="1" applyAlignment="1" applyProtection="1">
      <alignment horizontal="right"/>
      <protection locked="0"/>
    </xf>
    <xf numFmtId="172" fontId="9" fillId="0" borderId="0" xfId="1" applyNumberFormat="1" applyFont="1" applyFill="1" applyAlignment="1" applyProtection="1">
      <alignment horizontal="right"/>
      <protection locked="0"/>
    </xf>
    <xf numFmtId="172" fontId="9" fillId="3" borderId="0" xfId="0" applyNumberFormat="1" applyFont="1" applyFill="1" applyAlignment="1" applyProtection="1">
      <alignment horizontal="right"/>
      <protection locked="0"/>
    </xf>
    <xf numFmtId="172" fontId="9" fillId="0" borderId="0" xfId="0" applyNumberFormat="1" applyFont="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right"/>
      <protection locked="0"/>
    </xf>
    <xf numFmtId="1" fontId="43" fillId="0" borderId="0" xfId="1" applyNumberFormat="1" applyFont="1" applyFill="1" applyBorder="1" applyAlignment="1" applyProtection="1">
      <alignment horizontal="right" vertical="center"/>
      <protection locked="0"/>
    </xf>
    <xf numFmtId="165" fontId="44" fillId="0" borderId="0" xfId="1" applyNumberFormat="1" applyFont="1" applyFill="1" applyBorder="1" applyAlignment="1" applyProtection="1">
      <alignment horizontal="right" vertical="center"/>
      <protection locked="0"/>
    </xf>
    <xf numFmtId="0" fontId="45" fillId="0" borderId="0" xfId="0" applyFont="1" applyAlignment="1" applyProtection="1">
      <alignment horizontal="left"/>
      <protection locked="0"/>
    </xf>
    <xf numFmtId="0" fontId="4" fillId="0" borderId="0" xfId="0" applyFont="1" applyAlignment="1" applyProtection="1">
      <alignment horizontal="left"/>
      <protection locked="0"/>
    </xf>
    <xf numFmtId="43" fontId="33" fillId="0" borderId="0" xfId="1" applyFont="1" applyFill="1" applyAlignment="1" applyProtection="1">
      <alignment horizontal="left" vertical="center" indent="1"/>
      <protection locked="0"/>
    </xf>
    <xf numFmtId="172" fontId="25" fillId="3" borderId="0" xfId="1" applyNumberFormat="1" applyFont="1" applyFill="1" applyBorder="1" applyAlignment="1" applyProtection="1">
      <alignment horizontal="right" wrapText="1"/>
      <protection locked="0"/>
    </xf>
    <xf numFmtId="172" fontId="25" fillId="0" borderId="0" xfId="1" applyNumberFormat="1" applyFont="1" applyFill="1" applyBorder="1" applyAlignment="1" applyProtection="1">
      <alignment horizontal="right" wrapText="1"/>
      <protection locked="0"/>
    </xf>
    <xf numFmtId="168" fontId="25" fillId="3" borderId="0" xfId="2" applyNumberFormat="1" applyFont="1" applyFill="1" applyBorder="1" applyAlignment="1" applyProtection="1">
      <alignment horizontal="right"/>
      <protection locked="0"/>
    </xf>
    <xf numFmtId="168" fontId="25" fillId="0" borderId="0" xfId="2" applyNumberFormat="1" applyFont="1" applyFill="1" applyBorder="1" applyAlignment="1" applyProtection="1">
      <alignment horizontal="right"/>
      <protection locked="0"/>
    </xf>
    <xf numFmtId="172" fontId="45" fillId="0" borderId="0" xfId="1" applyNumberFormat="1" applyFont="1" applyFill="1" applyBorder="1" applyAlignment="1" applyProtection="1">
      <alignment horizontal="right"/>
      <protection locked="0"/>
    </xf>
    <xf numFmtId="168" fontId="45" fillId="0" borderId="0" xfId="2" applyNumberFormat="1" applyFont="1" applyFill="1" applyBorder="1" applyAlignment="1" applyProtection="1">
      <alignment horizontal="right"/>
      <protection locked="0"/>
    </xf>
    <xf numFmtId="168" fontId="9" fillId="0" borderId="0" xfId="2" applyNumberFormat="1" applyFont="1" applyFill="1" applyBorder="1" applyAlignment="1" applyProtection="1">
      <alignment horizontal="right" vertical="center" wrapText="1"/>
      <protection locked="0"/>
    </xf>
    <xf numFmtId="0" fontId="29" fillId="0" borderId="0" xfId="0" applyFont="1" applyProtection="1">
      <protection locked="0"/>
    </xf>
    <xf numFmtId="173" fontId="9" fillId="0" borderId="0" xfId="2" applyNumberFormat="1" applyFont="1" applyFill="1" applyBorder="1" applyAlignment="1" applyProtection="1">
      <alignment horizontal="right" vertical="center" wrapText="1"/>
      <protection locked="0"/>
    </xf>
    <xf numFmtId="168" fontId="9" fillId="0" borderId="0" xfId="2" applyNumberFormat="1" applyFont="1" applyAlignment="1" applyProtection="1">
      <alignment horizontal="right"/>
      <protection locked="0"/>
    </xf>
    <xf numFmtId="0" fontId="25" fillId="0" borderId="0" xfId="0" applyFont="1" applyProtection="1">
      <protection locked="0"/>
    </xf>
    <xf numFmtId="172" fontId="25" fillId="0" borderId="0" xfId="1" applyNumberFormat="1" applyFont="1" applyFill="1" applyBorder="1" applyProtection="1">
      <protection locked="0"/>
    </xf>
    <xf numFmtId="0" fontId="25" fillId="0" borderId="0" xfId="0" applyFont="1" applyAlignment="1" applyProtection="1">
      <alignment horizontal="left" vertical="center" indent="3"/>
      <protection locked="0"/>
    </xf>
    <xf numFmtId="172" fontId="25" fillId="3" borderId="0" xfId="1" applyNumberFormat="1" applyFont="1" applyFill="1" applyBorder="1" applyAlignment="1" applyProtection="1">
      <alignment horizontal="right" vertical="center"/>
      <protection locked="0"/>
    </xf>
    <xf numFmtId="172" fontId="25" fillId="0" borderId="0" xfId="1" applyNumberFormat="1" applyFont="1" applyFill="1" applyBorder="1" applyAlignment="1" applyProtection="1">
      <alignment horizontal="right" vertical="center"/>
      <protection locked="0"/>
    </xf>
    <xf numFmtId="172" fontId="9" fillId="3" borderId="0" xfId="0" applyNumberFormat="1" applyFont="1" applyFill="1" applyProtection="1">
      <protection locked="0"/>
    </xf>
    <xf numFmtId="0" fontId="29" fillId="0" borderId="0" xfId="0" applyFont="1" applyAlignment="1" applyProtection="1">
      <alignment horizontal="left"/>
      <protection locked="0"/>
    </xf>
    <xf numFmtId="9" fontId="9" fillId="0" borderId="0" xfId="0" applyNumberFormat="1" applyFont="1" applyProtection="1">
      <protection locked="0"/>
    </xf>
    <xf numFmtId="43" fontId="9" fillId="0" borderId="0" xfId="0" applyNumberFormat="1" applyFont="1" applyProtection="1">
      <protection locked="0"/>
    </xf>
    <xf numFmtId="172" fontId="25" fillId="0" borderId="0" xfId="1" applyNumberFormat="1" applyFont="1" applyFill="1" applyBorder="1" applyAlignment="1" applyProtection="1">
      <alignment horizontal="center" vertical="center" wrapText="1"/>
      <protection locked="0"/>
    </xf>
    <xf numFmtId="172" fontId="25" fillId="3" borderId="0" xfId="1" applyNumberFormat="1" applyFont="1" applyFill="1" applyBorder="1" applyAlignment="1" applyProtection="1">
      <alignment horizontal="center" vertical="center" wrapText="1"/>
      <protection locked="0"/>
    </xf>
    <xf numFmtId="168" fontId="25" fillId="0" borderId="0" xfId="2" applyNumberFormat="1" applyFont="1" applyFill="1" applyBorder="1" applyAlignment="1" applyProtection="1">
      <alignment horizontal="right" vertical="center"/>
      <protection locked="0"/>
    </xf>
    <xf numFmtId="165" fontId="26" fillId="3" borderId="0" xfId="1" applyNumberFormat="1" applyFont="1" applyFill="1" applyBorder="1" applyAlignment="1" applyProtection="1">
      <alignment horizontal="left" vertical="center" wrapText="1"/>
      <protection locked="0"/>
    </xf>
    <xf numFmtId="0" fontId="26" fillId="0" borderId="0" xfId="0" applyFont="1" applyProtection="1">
      <protection locked="0"/>
    </xf>
    <xf numFmtId="168" fontId="25" fillId="3" borderId="0" xfId="2" applyNumberFormat="1" applyFont="1" applyFill="1" applyBorder="1" applyAlignment="1" applyProtection="1">
      <alignment horizontal="right" vertical="center"/>
      <protection locked="0"/>
    </xf>
    <xf numFmtId="172" fontId="9" fillId="0" borderId="0" xfId="1" applyNumberFormat="1" applyFont="1" applyFill="1" applyBorder="1" applyProtection="1">
      <protection locked="0"/>
    </xf>
    <xf numFmtId="172" fontId="26" fillId="0" borderId="0" xfId="1" applyNumberFormat="1" applyFont="1" applyFill="1" applyBorder="1" applyAlignment="1" applyProtection="1">
      <alignment horizontal="right" vertical="center"/>
      <protection locked="0"/>
    </xf>
    <xf numFmtId="9" fontId="25" fillId="0" borderId="0" xfId="2" applyFont="1" applyFill="1" applyBorder="1" applyAlignment="1" applyProtection="1">
      <alignment horizontal="right" vertical="center"/>
      <protection locked="0"/>
    </xf>
    <xf numFmtId="172" fontId="25" fillId="3" borderId="0" xfId="0" applyNumberFormat="1" applyFont="1" applyFill="1" applyAlignment="1" applyProtection="1">
      <alignment horizontal="right" vertical="center" wrapText="1"/>
      <protection locked="0"/>
    </xf>
    <xf numFmtId="168" fontId="9" fillId="0" borderId="0" xfId="2" applyNumberFormat="1" applyFont="1" applyProtection="1">
      <protection locked="0"/>
    </xf>
    <xf numFmtId="172" fontId="9" fillId="3" borderId="0" xfId="1" applyNumberFormat="1" applyFont="1" applyFill="1" applyBorder="1" applyProtection="1">
      <protection locked="0"/>
    </xf>
    <xf numFmtId="172" fontId="9" fillId="0" borderId="0" xfId="1" applyNumberFormat="1" applyFont="1" applyFill="1" applyBorder="1" applyAlignment="1" applyProtection="1">
      <alignment horizontal="center"/>
      <protection locked="0"/>
    </xf>
    <xf numFmtId="172" fontId="9" fillId="3" borderId="0" xfId="1" applyNumberFormat="1" applyFont="1" applyFill="1" applyBorder="1" applyAlignment="1" applyProtection="1">
      <alignment horizontal="center"/>
      <protection locked="0"/>
    </xf>
    <xf numFmtId="0" fontId="21" fillId="3" borderId="0" xfId="0" applyFont="1" applyFill="1" applyProtection="1">
      <protection locked="0"/>
    </xf>
    <xf numFmtId="9" fontId="9" fillId="0" borderId="0" xfId="2" applyFont="1" applyProtection="1">
      <protection locked="0"/>
    </xf>
    <xf numFmtId="168" fontId="9" fillId="3" borderId="0" xfId="2" applyNumberFormat="1" applyFont="1" applyFill="1" applyProtection="1">
      <protection locked="0"/>
    </xf>
    <xf numFmtId="172" fontId="25" fillId="3" borderId="0" xfId="1" applyNumberFormat="1" applyFont="1" applyFill="1" applyAlignment="1" applyProtection="1">
      <alignment horizontal="right"/>
      <protection locked="0"/>
    </xf>
    <xf numFmtId="0" fontId="25" fillId="0" borderId="0" xfId="0" applyFont="1" applyAlignment="1" applyProtection="1">
      <alignment vertical="center"/>
      <protection locked="0"/>
    </xf>
    <xf numFmtId="172" fontId="26" fillId="3" borderId="0" xfId="1" applyNumberFormat="1" applyFont="1" applyFill="1" applyBorder="1" applyAlignment="1" applyProtection="1">
      <alignment horizontal="right" vertical="center"/>
      <protection locked="0"/>
    </xf>
    <xf numFmtId="172" fontId="25" fillId="3" borderId="0" xfId="1" applyNumberFormat="1" applyFont="1" applyFill="1" applyAlignment="1" applyProtection="1">
      <alignment horizontal="right" vertical="center"/>
      <protection locked="0"/>
    </xf>
    <xf numFmtId="0" fontId="21" fillId="0" borderId="0" xfId="0" applyFont="1" applyAlignment="1" applyProtection="1">
      <alignment vertical="center"/>
      <protection locked="0"/>
    </xf>
    <xf numFmtId="0" fontId="21" fillId="0" borderId="0" xfId="0" applyFont="1" applyAlignment="1" applyProtection="1">
      <alignment horizontal="right" vertical="center"/>
      <protection locked="0"/>
    </xf>
    <xf numFmtId="0" fontId="26" fillId="0" borderId="0" xfId="0" applyFont="1" applyAlignment="1" applyProtection="1">
      <alignment horizontal="right" vertical="center"/>
      <protection locked="0"/>
    </xf>
    <xf numFmtId="172" fontId="26" fillId="0" borderId="0" xfId="0" applyNumberFormat="1" applyFont="1" applyAlignment="1" applyProtection="1">
      <alignment horizontal="right" vertical="center"/>
      <protection locked="0"/>
    </xf>
    <xf numFmtId="172" fontId="25" fillId="3" borderId="0" xfId="1" applyNumberFormat="1" applyFont="1" applyFill="1" applyBorder="1" applyAlignment="1" applyProtection="1">
      <alignment vertical="center"/>
      <protection locked="0"/>
    </xf>
    <xf numFmtId="172" fontId="25" fillId="0" borderId="0" xfId="1" applyNumberFormat="1" applyFont="1" applyFill="1" applyBorder="1" applyAlignment="1" applyProtection="1">
      <alignment vertical="center"/>
      <protection locked="0"/>
    </xf>
    <xf numFmtId="0" fontId="25" fillId="0" borderId="0" xfId="0" applyFont="1" applyAlignment="1" applyProtection="1">
      <alignment horizontal="left" vertical="center"/>
      <protection locked="0"/>
    </xf>
    <xf numFmtId="43" fontId="9" fillId="0" borderId="0" xfId="2" applyNumberFormat="1" applyFont="1" applyFill="1" applyBorder="1" applyAlignment="1" applyProtection="1">
      <alignment vertical="center"/>
      <protection locked="0"/>
    </xf>
    <xf numFmtId="172" fontId="21" fillId="0" borderId="0" xfId="1" applyNumberFormat="1" applyFont="1" applyFill="1" applyBorder="1" applyAlignment="1" applyProtection="1">
      <alignment vertical="center"/>
      <protection locked="0"/>
    </xf>
    <xf numFmtId="172" fontId="21" fillId="0" borderId="0" xfId="1" applyNumberFormat="1" applyFont="1" applyFill="1" applyBorder="1" applyAlignment="1" applyProtection="1">
      <alignment horizontal="right" vertical="center"/>
      <protection locked="0"/>
    </xf>
    <xf numFmtId="166" fontId="21" fillId="0" borderId="0" xfId="1" applyNumberFormat="1" applyFont="1" applyFill="1" applyBorder="1" applyAlignment="1" applyProtection="1">
      <alignment horizontal="right" vertical="center"/>
      <protection locked="0"/>
    </xf>
    <xf numFmtId="172" fontId="9" fillId="0" borderId="0" xfId="0" applyNumberFormat="1" applyFont="1" applyAlignment="1" applyProtection="1">
      <alignment horizontal="right" vertical="center"/>
      <protection locked="0"/>
    </xf>
    <xf numFmtId="0" fontId="9" fillId="0" borderId="0" xfId="0" applyFont="1" applyAlignment="1" applyProtection="1">
      <alignment horizontal="right" vertical="center"/>
      <protection locked="0"/>
    </xf>
    <xf numFmtId="174" fontId="25" fillId="3" borderId="0" xfId="1" applyNumberFormat="1" applyFont="1" applyFill="1" applyBorder="1" applyAlignment="1" applyProtection="1">
      <alignment vertical="center"/>
      <protection locked="0"/>
    </xf>
    <xf numFmtId="180" fontId="25" fillId="3" borderId="0" xfId="2" applyNumberFormat="1" applyFont="1" applyFill="1" applyBorder="1" applyAlignment="1" applyProtection="1">
      <alignment vertical="center"/>
      <protection locked="0"/>
    </xf>
    <xf numFmtId="174" fontId="25" fillId="0" borderId="0" xfId="1" applyNumberFormat="1" applyFont="1" applyFill="1" applyBorder="1" applyAlignment="1" applyProtection="1">
      <alignment vertical="center"/>
      <protection locked="0"/>
    </xf>
    <xf numFmtId="180" fontId="25" fillId="0" borderId="0" xfId="2" applyNumberFormat="1" applyFont="1" applyFill="1" applyBorder="1" applyAlignment="1" applyProtection="1">
      <alignment vertical="center"/>
      <protection locked="0"/>
    </xf>
    <xf numFmtId="172" fontId="9" fillId="0" borderId="0" xfId="1" applyNumberFormat="1" applyFont="1" applyFill="1" applyBorder="1" applyAlignment="1" applyProtection="1">
      <alignment horizontal="right" vertical="center"/>
      <protection locked="0"/>
    </xf>
    <xf numFmtId="168" fontId="25" fillId="3" borderId="0" xfId="2" applyNumberFormat="1" applyFont="1" applyFill="1" applyBorder="1" applyAlignment="1" applyProtection="1">
      <alignment vertical="center"/>
      <protection locked="0"/>
    </xf>
    <xf numFmtId="177" fontId="25" fillId="3" borderId="0" xfId="2" applyNumberFormat="1" applyFont="1" applyFill="1" applyBorder="1" applyAlignment="1" applyProtection="1">
      <alignment horizontal="right" vertical="center"/>
      <protection locked="0"/>
    </xf>
    <xf numFmtId="168" fontId="25" fillId="0" borderId="0" xfId="2" applyNumberFormat="1" applyFont="1" applyFill="1" applyBorder="1" applyAlignment="1" applyProtection="1">
      <alignment vertical="center"/>
      <protection locked="0"/>
    </xf>
    <xf numFmtId="168" fontId="9" fillId="0" borderId="0" xfId="2" applyNumberFormat="1" applyFont="1" applyFill="1" applyBorder="1" applyAlignment="1" applyProtection="1">
      <alignment horizontal="right" vertical="center"/>
      <protection locked="0"/>
    </xf>
    <xf numFmtId="172" fontId="26" fillId="3" borderId="0" xfId="1" applyNumberFormat="1" applyFont="1" applyFill="1" applyBorder="1" applyAlignment="1" applyProtection="1">
      <alignment horizontal="right"/>
      <protection locked="0"/>
    </xf>
    <xf numFmtId="0" fontId="26" fillId="0" borderId="0" xfId="0" applyFont="1" applyAlignment="1" applyProtection="1">
      <alignment horizontal="left" vertical="center"/>
      <protection locked="0"/>
    </xf>
    <xf numFmtId="168" fontId="26" fillId="4" borderId="0" xfId="2" applyNumberFormat="1" applyFont="1" applyFill="1" applyBorder="1" applyAlignment="1" applyProtection="1">
      <alignment horizontal="right"/>
      <protection locked="0"/>
    </xf>
    <xf numFmtId="165" fontId="26" fillId="0" borderId="0" xfId="1" applyNumberFormat="1" applyFont="1" applyFill="1" applyBorder="1" applyAlignment="1" applyProtection="1">
      <alignment vertical="center" wrapText="1"/>
      <protection locked="0"/>
    </xf>
    <xf numFmtId="167" fontId="26" fillId="3" borderId="0" xfId="1" applyNumberFormat="1" applyFont="1" applyFill="1" applyBorder="1" applyAlignment="1" applyProtection="1">
      <alignment horizontal="right" vertical="center" wrapText="1"/>
      <protection locked="0"/>
    </xf>
    <xf numFmtId="0" fontId="48" fillId="0" borderId="0" xfId="0" applyFont="1" applyAlignment="1" applyProtection="1">
      <alignment horizontal="left" vertical="center"/>
      <protection locked="0" hidden="1"/>
    </xf>
    <xf numFmtId="165" fontId="48" fillId="0" borderId="5" xfId="1" applyNumberFormat="1" applyFont="1" applyFill="1" applyBorder="1" applyAlignment="1" applyProtection="1">
      <alignment horizontal="center" vertical="center"/>
      <protection locked="0" hidden="1"/>
    </xf>
    <xf numFmtId="165" fontId="48" fillId="0" borderId="8" xfId="1" applyNumberFormat="1" applyFont="1" applyFill="1" applyBorder="1" applyAlignment="1" applyProtection="1">
      <alignment horizontal="center" vertical="center"/>
      <protection locked="0" hidden="1"/>
    </xf>
    <xf numFmtId="0" fontId="26" fillId="0" borderId="0" xfId="0" applyFont="1" applyAlignment="1" applyProtection="1">
      <alignment horizontal="left" vertical="center"/>
      <protection locked="0" hidden="1"/>
    </xf>
    <xf numFmtId="0" fontId="25" fillId="3" borderId="9" xfId="0" applyFont="1" applyFill="1" applyBorder="1" applyAlignment="1" applyProtection="1">
      <alignment horizontal="left" vertical="center" indent="1"/>
      <protection locked="0" hidden="1"/>
    </xf>
    <xf numFmtId="174" fontId="25" fillId="3" borderId="9" xfId="1" applyNumberFormat="1" applyFont="1" applyFill="1" applyBorder="1" applyAlignment="1" applyProtection="1">
      <alignment vertical="center"/>
      <protection locked="0"/>
    </xf>
    <xf numFmtId="180" fontId="25" fillId="3" borderId="9" xfId="2" applyNumberFormat="1" applyFont="1" applyFill="1" applyBorder="1" applyAlignment="1" applyProtection="1">
      <alignment vertical="center"/>
      <protection locked="0"/>
    </xf>
    <xf numFmtId="0" fontId="26" fillId="3" borderId="0" xfId="0" applyFont="1" applyFill="1" applyAlignment="1" applyProtection="1">
      <alignment horizontal="left" vertical="center"/>
      <protection locked="0" hidden="1"/>
    </xf>
    <xf numFmtId="0" fontId="9" fillId="3" borderId="0" xfId="0" applyFont="1" applyFill="1" applyAlignment="1" applyProtection="1">
      <alignment horizontal="right" vertical="center"/>
      <protection locked="0"/>
    </xf>
    <xf numFmtId="0" fontId="25" fillId="0" borderId="9" xfId="0" applyFont="1" applyBorder="1" applyAlignment="1" applyProtection="1">
      <alignment horizontal="left" vertical="center" indent="1"/>
      <protection locked="0" hidden="1"/>
    </xf>
    <xf numFmtId="165" fontId="21" fillId="3" borderId="9" xfId="1" applyNumberFormat="1" applyFont="1" applyFill="1" applyBorder="1" applyAlignment="1" applyProtection="1">
      <alignment horizontal="left" vertical="center" wrapText="1"/>
      <protection locked="0" hidden="1"/>
    </xf>
    <xf numFmtId="172" fontId="21" fillId="3" borderId="9" xfId="1" applyNumberFormat="1" applyFont="1" applyFill="1" applyBorder="1" applyAlignment="1" applyProtection="1">
      <alignment horizontal="right" vertical="center"/>
      <protection locked="0"/>
    </xf>
    <xf numFmtId="0" fontId="21" fillId="3" borderId="9" xfId="0" applyFont="1" applyFill="1" applyBorder="1" applyAlignment="1" applyProtection="1">
      <alignment horizontal="left" vertical="center"/>
      <protection locked="0" hidden="1"/>
    </xf>
    <xf numFmtId="172" fontId="21" fillId="3" borderId="9" xfId="1" applyNumberFormat="1" applyFont="1" applyFill="1" applyBorder="1" applyAlignment="1" applyProtection="1">
      <alignment vertical="center"/>
      <protection locked="0"/>
    </xf>
    <xf numFmtId="0" fontId="26" fillId="3" borderId="9" xfId="0" applyFont="1" applyFill="1" applyBorder="1" applyAlignment="1" applyProtection="1">
      <alignment horizontal="left" vertical="center"/>
      <protection locked="0" hidden="1"/>
    </xf>
    <xf numFmtId="172" fontId="26" fillId="3" borderId="9" xfId="1" applyNumberFormat="1" applyFont="1" applyFill="1" applyBorder="1" applyAlignment="1" applyProtection="1">
      <alignment horizontal="right" vertical="center"/>
      <protection locked="0"/>
    </xf>
    <xf numFmtId="0" fontId="26" fillId="0" borderId="9" xfId="0" applyFont="1" applyBorder="1" applyAlignment="1" applyProtection="1">
      <alignment vertical="center"/>
      <protection locked="0" hidden="1"/>
    </xf>
    <xf numFmtId="172" fontId="26" fillId="0" borderId="9" xfId="1" applyNumberFormat="1" applyFont="1" applyFill="1" applyBorder="1" applyAlignment="1" applyProtection="1">
      <alignment horizontal="right" vertical="center"/>
      <protection locked="0"/>
    </xf>
    <xf numFmtId="0" fontId="26" fillId="3" borderId="9" xfId="0" applyFont="1" applyFill="1" applyBorder="1" applyAlignment="1" applyProtection="1">
      <alignment vertical="center"/>
      <protection locked="0" hidden="1"/>
    </xf>
    <xf numFmtId="165" fontId="26" fillId="3" borderId="9" xfId="1" applyNumberFormat="1" applyFont="1" applyFill="1" applyBorder="1" applyAlignment="1" applyProtection="1">
      <alignment horizontal="left" vertical="center" wrapText="1"/>
      <protection locked="0" hidden="1"/>
    </xf>
    <xf numFmtId="165" fontId="26" fillId="0" borderId="9" xfId="1" applyNumberFormat="1" applyFont="1" applyFill="1" applyBorder="1" applyAlignment="1" applyProtection="1">
      <alignment horizontal="left" vertical="center" wrapText="1"/>
      <protection locked="0" hidden="1"/>
    </xf>
    <xf numFmtId="0" fontId="25" fillId="3" borderId="9" xfId="0" applyFont="1" applyFill="1" applyBorder="1" applyAlignment="1" applyProtection="1">
      <alignment horizontal="left" indent="1"/>
      <protection locked="0" hidden="1"/>
    </xf>
    <xf numFmtId="172" fontId="25" fillId="3" borderId="9" xfId="1" applyNumberFormat="1" applyFont="1" applyFill="1" applyBorder="1" applyAlignment="1" applyProtection="1">
      <alignment horizontal="right"/>
      <protection locked="0"/>
    </xf>
    <xf numFmtId="165" fontId="26" fillId="0" borderId="9" xfId="1" applyNumberFormat="1" applyFont="1" applyFill="1" applyBorder="1" applyAlignment="1" applyProtection="1">
      <alignment horizontal="left" vertical="center" wrapText="1"/>
      <protection locked="0"/>
    </xf>
    <xf numFmtId="0" fontId="25" fillId="0" borderId="9" xfId="0" applyFont="1" applyBorder="1" applyAlignment="1" applyProtection="1">
      <alignment horizontal="left" indent="1"/>
      <protection locked="0" hidden="1"/>
    </xf>
    <xf numFmtId="172" fontId="25" fillId="0" borderId="9" xfId="1" applyNumberFormat="1" applyFont="1" applyFill="1" applyBorder="1" applyAlignment="1" applyProtection="1">
      <alignment horizontal="right"/>
      <protection locked="0"/>
    </xf>
    <xf numFmtId="172" fontId="25" fillId="3" borderId="9" xfId="1" applyNumberFormat="1" applyFont="1" applyFill="1" applyBorder="1" applyAlignment="1" applyProtection="1">
      <alignment horizontal="right" vertical="center"/>
      <protection locked="0"/>
    </xf>
    <xf numFmtId="0" fontId="21" fillId="3" borderId="9" xfId="0" applyFont="1" applyFill="1" applyBorder="1" applyProtection="1">
      <protection locked="0" hidden="1"/>
    </xf>
    <xf numFmtId="172" fontId="21" fillId="3" borderId="9" xfId="0" applyNumberFormat="1" applyFont="1" applyFill="1" applyBorder="1" applyProtection="1">
      <protection locked="0"/>
    </xf>
    <xf numFmtId="168" fontId="26" fillId="3" borderId="9" xfId="2" applyNumberFormat="1" applyFont="1" applyFill="1" applyBorder="1" applyAlignment="1" applyProtection="1">
      <alignment horizontal="right" vertical="center" wrapText="1"/>
      <protection locked="0"/>
    </xf>
    <xf numFmtId="168" fontId="26" fillId="0" borderId="9" xfId="2" applyNumberFormat="1" applyFont="1" applyFill="1" applyBorder="1" applyAlignment="1" applyProtection="1">
      <alignment horizontal="right" vertical="center" wrapText="1"/>
      <protection locked="0"/>
    </xf>
    <xf numFmtId="0" fontId="21" fillId="3" borderId="9" xfId="0" applyFont="1" applyFill="1" applyBorder="1" applyAlignment="1" applyProtection="1">
      <alignment horizontal="left"/>
      <protection locked="0" hidden="1"/>
    </xf>
    <xf numFmtId="172" fontId="25" fillId="0" borderId="9" xfId="1" applyNumberFormat="1" applyFont="1" applyFill="1" applyBorder="1" applyAlignment="1" applyProtection="1">
      <alignment horizontal="right" vertical="center"/>
      <protection locked="0"/>
    </xf>
    <xf numFmtId="165" fontId="9" fillId="3" borderId="9" xfId="1" applyNumberFormat="1" applyFont="1" applyFill="1" applyBorder="1" applyAlignment="1" applyProtection="1">
      <alignment horizontal="left" vertical="center" wrapText="1" indent="1"/>
      <protection locked="0" hidden="1"/>
    </xf>
    <xf numFmtId="168" fontId="21" fillId="0" borderId="9" xfId="2" applyNumberFormat="1" applyFont="1" applyFill="1" applyBorder="1" applyAlignment="1" applyProtection="1">
      <alignment horizontal="right"/>
      <protection locked="0"/>
    </xf>
    <xf numFmtId="165" fontId="26" fillId="4" borderId="0" xfId="1" applyNumberFormat="1" applyFont="1" applyFill="1" applyBorder="1" applyAlignment="1" applyProtection="1">
      <alignment horizontal="left" vertical="center" wrapText="1"/>
      <protection locked="0" hidden="1"/>
    </xf>
    <xf numFmtId="0" fontId="9" fillId="4" borderId="9" xfId="0" applyFont="1" applyFill="1" applyBorder="1" applyAlignment="1" applyProtection="1">
      <alignment horizontal="left" vertical="center" wrapText="1" indent="1"/>
      <protection locked="0" hidden="1"/>
    </xf>
    <xf numFmtId="172" fontId="25" fillId="4" borderId="9" xfId="1" applyNumberFormat="1" applyFont="1" applyFill="1" applyBorder="1" applyAlignment="1" applyProtection="1">
      <alignment horizontal="right"/>
      <protection locked="0"/>
    </xf>
    <xf numFmtId="165" fontId="26" fillId="4" borderId="9" xfId="1" applyNumberFormat="1" applyFont="1" applyFill="1" applyBorder="1" applyAlignment="1" applyProtection="1">
      <alignment horizontal="left" vertical="center" wrapText="1"/>
      <protection locked="0" hidden="1"/>
    </xf>
    <xf numFmtId="168" fontId="21" fillId="4" borderId="9" xfId="2" applyNumberFormat="1" applyFont="1" applyFill="1" applyBorder="1" applyAlignment="1" applyProtection="1">
      <alignment horizontal="right"/>
      <protection locked="0"/>
    </xf>
    <xf numFmtId="165" fontId="25" fillId="0" borderId="9" xfId="1" applyNumberFormat="1" applyFont="1" applyFill="1" applyBorder="1" applyAlignment="1" applyProtection="1">
      <alignment horizontal="left" vertical="center" wrapText="1" indent="1"/>
      <protection locked="0" hidden="1"/>
    </xf>
    <xf numFmtId="165" fontId="25" fillId="3" borderId="9" xfId="1" applyNumberFormat="1" applyFont="1" applyFill="1" applyBorder="1" applyAlignment="1" applyProtection="1">
      <alignment horizontal="left" vertical="center" wrapText="1"/>
      <protection locked="0" hidden="1"/>
    </xf>
    <xf numFmtId="165" fontId="26" fillId="0" borderId="0" xfId="1" applyNumberFormat="1" applyFont="1" applyFill="1" applyBorder="1" applyAlignment="1" applyProtection="1">
      <alignment vertical="center" wrapText="1"/>
      <protection locked="0" hidden="1"/>
    </xf>
    <xf numFmtId="0" fontId="25" fillId="3" borderId="9" xfId="0" applyFont="1" applyFill="1" applyBorder="1" applyAlignment="1" applyProtection="1">
      <alignment horizontal="left" vertical="center" wrapText="1" indent="1"/>
      <protection locked="0" hidden="1"/>
    </xf>
    <xf numFmtId="166" fontId="25" fillId="3" borderId="9" xfId="1" applyNumberFormat="1" applyFont="1" applyFill="1" applyBorder="1" applyAlignment="1" applyProtection="1">
      <alignment horizontal="right" vertical="center"/>
      <protection locked="0"/>
    </xf>
    <xf numFmtId="170" fontId="9" fillId="3" borderId="9" xfId="1" applyNumberFormat="1" applyFont="1" applyFill="1" applyBorder="1" applyAlignment="1" applyProtection="1">
      <alignment horizontal="right" vertical="center" wrapText="1"/>
      <protection locked="0"/>
    </xf>
    <xf numFmtId="0" fontId="48" fillId="0" borderId="5" xfId="0" applyFont="1" applyBorder="1" applyAlignment="1" applyProtection="1">
      <alignment horizontal="center" vertical="center"/>
      <protection locked="0" hidden="1"/>
    </xf>
    <xf numFmtId="0" fontId="50" fillId="0" borderId="5" xfId="0" applyFont="1" applyBorder="1" applyAlignment="1" applyProtection="1">
      <alignment horizontal="center" vertical="center"/>
      <protection locked="0" hidden="1"/>
    </xf>
    <xf numFmtId="168" fontId="21" fillId="0" borderId="0" xfId="2" applyNumberFormat="1" applyFont="1" applyFill="1" applyProtection="1">
      <protection locked="0"/>
    </xf>
    <xf numFmtId="9" fontId="21" fillId="0" borderId="0" xfId="2" applyFont="1" applyFill="1" applyProtection="1">
      <protection locked="0"/>
    </xf>
    <xf numFmtId="174" fontId="45" fillId="0" borderId="0" xfId="1" applyNumberFormat="1" applyFont="1" applyFill="1" applyBorder="1" applyAlignment="1" applyProtection="1">
      <alignment horizontal="right"/>
      <protection locked="0"/>
    </xf>
    <xf numFmtId="172" fontId="4" fillId="0" borderId="0" xfId="0" applyNumberFormat="1" applyFont="1" applyAlignment="1" applyProtection="1">
      <alignment horizontal="right"/>
      <protection locked="0"/>
    </xf>
    <xf numFmtId="168" fontId="9" fillId="0" borderId="0" xfId="0" applyNumberFormat="1" applyFont="1" applyAlignment="1" applyProtection="1">
      <alignment horizontal="right"/>
      <protection locked="0"/>
    </xf>
    <xf numFmtId="168" fontId="25" fillId="0" borderId="0" xfId="2" applyNumberFormat="1" applyFont="1" applyFill="1" applyBorder="1" applyAlignment="1" applyProtection="1">
      <alignment horizontal="right" vertical="center" wrapText="1"/>
      <protection locked="0"/>
    </xf>
    <xf numFmtId="168" fontId="21" fillId="3" borderId="9" xfId="2" applyNumberFormat="1" applyFont="1" applyFill="1" applyBorder="1" applyAlignment="1" applyProtection="1">
      <alignment horizontal="right"/>
      <protection locked="0"/>
    </xf>
    <xf numFmtId="168" fontId="26" fillId="3" borderId="0" xfId="2" applyNumberFormat="1" applyFont="1" applyFill="1" applyBorder="1" applyAlignment="1" applyProtection="1">
      <alignment horizontal="right"/>
      <protection locked="0"/>
    </xf>
    <xf numFmtId="168" fontId="26" fillId="3" borderId="9" xfId="2" applyNumberFormat="1" applyFont="1" applyFill="1" applyBorder="1" applyAlignment="1" applyProtection="1">
      <alignment horizontal="right" vertical="center"/>
      <protection locked="0"/>
    </xf>
    <xf numFmtId="168" fontId="9" fillId="0" borderId="0" xfId="2" applyNumberFormat="1" applyFont="1" applyFill="1" applyBorder="1" applyAlignment="1" applyProtection="1">
      <alignment vertical="center"/>
      <protection locked="0"/>
    </xf>
    <xf numFmtId="168" fontId="25" fillId="4" borderId="0" xfId="2" applyNumberFormat="1" applyFont="1" applyFill="1" applyBorder="1" applyAlignment="1" applyProtection="1">
      <alignment vertical="center"/>
      <protection locked="0"/>
    </xf>
    <xf numFmtId="168" fontId="25" fillId="0" borderId="0" xfId="2" applyNumberFormat="1" applyFont="1" applyFill="1" applyAlignment="1" applyProtection="1">
      <alignment horizontal="right" vertical="center"/>
      <protection locked="0"/>
    </xf>
    <xf numFmtId="165" fontId="48" fillId="0" borderId="0" xfId="1" applyNumberFormat="1" applyFont="1" applyFill="1" applyBorder="1" applyAlignment="1" applyProtection="1">
      <alignment horizontal="center" vertical="center"/>
      <protection locked="0" hidden="1"/>
    </xf>
    <xf numFmtId="0" fontId="48" fillId="0" borderId="0" xfId="1" applyNumberFormat="1" applyFont="1" applyFill="1" applyBorder="1" applyAlignment="1" applyProtection="1">
      <alignment horizontal="center" vertical="center"/>
      <protection locked="0" hidden="1"/>
    </xf>
    <xf numFmtId="168" fontId="9" fillId="0" borderId="0" xfId="2" applyNumberFormat="1" applyFont="1" applyFill="1" applyBorder="1" applyProtection="1">
      <protection locked="0"/>
    </xf>
    <xf numFmtId="168" fontId="26" fillId="0" borderId="0" xfId="2" applyNumberFormat="1" applyFont="1" applyFill="1" applyBorder="1" applyAlignment="1" applyProtection="1">
      <alignment horizontal="right" vertical="center" wrapText="1"/>
      <protection locked="0"/>
    </xf>
    <xf numFmtId="168" fontId="26" fillId="3" borderId="0" xfId="2" applyNumberFormat="1" applyFont="1" applyFill="1" applyBorder="1" applyAlignment="1" applyProtection="1">
      <alignment horizontal="right" vertical="center"/>
      <protection locked="0"/>
    </xf>
    <xf numFmtId="49" fontId="48" fillId="0" borderId="0" xfId="1" applyNumberFormat="1" applyFont="1" applyFill="1" applyBorder="1" applyAlignment="1" applyProtection="1">
      <alignment horizontal="center" vertical="center"/>
      <protection locked="0" hidden="1"/>
    </xf>
    <xf numFmtId="168" fontId="21" fillId="0" borderId="0" xfId="2" applyNumberFormat="1" applyFont="1" applyFill="1" applyBorder="1" applyAlignment="1" applyProtection="1">
      <alignment horizontal="right"/>
      <protection locked="0"/>
    </xf>
    <xf numFmtId="173" fontId="21" fillId="0" borderId="0" xfId="2" applyNumberFormat="1" applyFont="1" applyFill="1" applyBorder="1" applyAlignment="1" applyProtection="1">
      <alignment horizontal="right"/>
      <protection locked="0"/>
    </xf>
    <xf numFmtId="168" fontId="21" fillId="3" borderId="9" xfId="2" applyNumberFormat="1" applyFont="1" applyFill="1" applyBorder="1" applyAlignment="1" applyProtection="1">
      <alignment horizontal="right" vertical="center"/>
      <protection locked="0"/>
    </xf>
    <xf numFmtId="168" fontId="26" fillId="0" borderId="0" xfId="2" applyNumberFormat="1" applyFont="1" applyFill="1" applyBorder="1" applyAlignment="1" applyProtection="1">
      <alignment horizontal="right" vertical="center"/>
      <protection locked="0"/>
    </xf>
    <xf numFmtId="168" fontId="21" fillId="0" borderId="0" xfId="2" applyNumberFormat="1" applyFont="1" applyFill="1" applyBorder="1" applyAlignment="1" applyProtection="1">
      <alignment horizontal="right" vertical="center"/>
      <protection locked="0"/>
    </xf>
    <xf numFmtId="168" fontId="25" fillId="0" borderId="0" xfId="2" applyNumberFormat="1" applyFont="1" applyFill="1" applyAlignment="1" applyProtection="1">
      <alignment horizontal="right"/>
      <protection locked="0"/>
    </xf>
    <xf numFmtId="168" fontId="25" fillId="3" borderId="0" xfId="2" applyNumberFormat="1" applyFont="1" applyFill="1" applyAlignment="1" applyProtection="1">
      <alignment horizontal="right"/>
      <protection locked="0"/>
    </xf>
    <xf numFmtId="168" fontId="26" fillId="0" borderId="9" xfId="2" applyNumberFormat="1" applyFont="1" applyFill="1" applyBorder="1" applyAlignment="1" applyProtection="1">
      <alignment horizontal="right" vertical="center"/>
      <protection locked="0"/>
    </xf>
    <xf numFmtId="9" fontId="9" fillId="0" borderId="0" xfId="2" applyFont="1" applyFill="1" applyBorder="1" applyProtection="1">
      <protection locked="0"/>
    </xf>
    <xf numFmtId="172" fontId="21" fillId="0" borderId="0" xfId="0" applyNumberFormat="1" applyFont="1" applyProtection="1">
      <protection locked="0"/>
    </xf>
    <xf numFmtId="168" fontId="25" fillId="3" borderId="9" xfId="2" applyNumberFormat="1" applyFont="1" applyFill="1" applyBorder="1" applyAlignment="1" applyProtection="1">
      <alignment horizontal="right"/>
      <protection locked="0"/>
    </xf>
    <xf numFmtId="168" fontId="25" fillId="3" borderId="0" xfId="2" applyNumberFormat="1" applyFont="1" applyFill="1" applyBorder="1" applyAlignment="1" applyProtection="1">
      <alignment horizontal="right" vertical="center" wrapText="1"/>
      <protection locked="0"/>
    </xf>
    <xf numFmtId="168" fontId="25" fillId="0" borderId="9" xfId="2" applyNumberFormat="1" applyFont="1" applyFill="1" applyBorder="1" applyAlignment="1" applyProtection="1">
      <alignment horizontal="right"/>
      <protection locked="0"/>
    </xf>
    <xf numFmtId="168" fontId="25" fillId="3" borderId="9" xfId="2" applyNumberFormat="1" applyFont="1" applyFill="1" applyBorder="1" applyAlignment="1" applyProtection="1">
      <alignment horizontal="right" vertical="center"/>
      <protection locked="0"/>
    </xf>
    <xf numFmtId="168" fontId="25" fillId="4" borderId="0" xfId="2" applyNumberFormat="1" applyFont="1" applyFill="1" applyBorder="1" applyAlignment="1" applyProtection="1">
      <alignment horizontal="right" vertical="center"/>
      <protection locked="0"/>
    </xf>
    <xf numFmtId="168" fontId="9" fillId="3" borderId="0" xfId="2" applyNumberFormat="1" applyFont="1" applyFill="1" applyBorder="1" applyAlignment="1" applyProtection="1">
      <alignment horizontal="right"/>
      <protection locked="0"/>
    </xf>
    <xf numFmtId="168" fontId="9" fillId="0" borderId="0" xfId="2" applyNumberFormat="1" applyFont="1" applyFill="1" applyBorder="1" applyAlignment="1" applyProtection="1">
      <alignment horizontal="right"/>
      <protection locked="0"/>
    </xf>
    <xf numFmtId="168" fontId="21" fillId="3" borderId="0" xfId="2" applyNumberFormat="1" applyFont="1" applyFill="1" applyAlignment="1" applyProtection="1">
      <alignment horizontal="right"/>
      <protection locked="0"/>
    </xf>
    <xf numFmtId="182" fontId="25" fillId="0" borderId="0" xfId="2" applyNumberFormat="1" applyFont="1" applyFill="1" applyBorder="1" applyAlignment="1" applyProtection="1">
      <alignment horizontal="right" vertical="center"/>
      <protection locked="0"/>
    </xf>
    <xf numFmtId="182" fontId="25" fillId="3" borderId="0" xfId="2" applyNumberFormat="1" applyFont="1" applyFill="1" applyBorder="1" applyAlignment="1" applyProtection="1">
      <alignment horizontal="right" vertical="center"/>
      <protection locked="0"/>
    </xf>
    <xf numFmtId="182" fontId="25" fillId="4" borderId="0" xfId="2" applyNumberFormat="1" applyFont="1" applyFill="1" applyBorder="1" applyAlignment="1" applyProtection="1">
      <alignment horizontal="right" vertical="center"/>
      <protection locked="0"/>
    </xf>
    <xf numFmtId="182" fontId="51" fillId="0" borderId="0" xfId="0" applyNumberFormat="1" applyFont="1" applyAlignment="1" applyProtection="1">
      <alignment horizontal="right" vertical="center"/>
      <protection locked="0"/>
    </xf>
    <xf numFmtId="182" fontId="9" fillId="0" borderId="0" xfId="2" applyNumberFormat="1" applyFont="1" applyFill="1" applyAlignment="1" applyProtection="1">
      <alignment horizontal="right"/>
      <protection locked="0"/>
    </xf>
    <xf numFmtId="168" fontId="25" fillId="3" borderId="9" xfId="1" applyNumberFormat="1" applyFont="1" applyFill="1" applyBorder="1" applyAlignment="1" applyProtection="1">
      <alignment horizontal="right"/>
      <protection locked="0"/>
    </xf>
    <xf numFmtId="168" fontId="25" fillId="0" borderId="0" xfId="1" applyNumberFormat="1" applyFont="1" applyFill="1" applyBorder="1" applyAlignment="1" applyProtection="1">
      <alignment horizontal="right"/>
      <protection locked="0"/>
    </xf>
    <xf numFmtId="168" fontId="25" fillId="3" borderId="0" xfId="1" applyNumberFormat="1" applyFont="1" applyFill="1" applyBorder="1" applyAlignment="1" applyProtection="1">
      <alignment horizontal="right"/>
      <protection locked="0"/>
    </xf>
    <xf numFmtId="168" fontId="21" fillId="3" borderId="9" xfId="0" applyNumberFormat="1" applyFont="1" applyFill="1" applyBorder="1" applyProtection="1">
      <protection locked="0"/>
    </xf>
    <xf numFmtId="168" fontId="25" fillId="0" borderId="9" xfId="1" applyNumberFormat="1" applyFont="1" applyFill="1" applyBorder="1" applyAlignment="1" applyProtection="1">
      <alignment horizontal="right"/>
      <protection locked="0"/>
    </xf>
    <xf numFmtId="168" fontId="25" fillId="0" borderId="0" xfId="1" applyNumberFormat="1" applyFont="1" applyFill="1" applyBorder="1" applyAlignment="1" applyProtection="1">
      <alignment horizontal="right" vertical="center" wrapText="1"/>
      <protection locked="0"/>
    </xf>
    <xf numFmtId="168" fontId="25" fillId="3" borderId="0" xfId="1" applyNumberFormat="1" applyFont="1" applyFill="1" applyBorder="1" applyAlignment="1" applyProtection="1">
      <alignment horizontal="right" vertical="center" wrapText="1"/>
      <protection locked="0"/>
    </xf>
    <xf numFmtId="168" fontId="26" fillId="0" borderId="9" xfId="1" applyNumberFormat="1" applyFont="1" applyFill="1" applyBorder="1" applyAlignment="1" applyProtection="1">
      <alignment horizontal="right" vertical="center" wrapText="1"/>
      <protection locked="0"/>
    </xf>
    <xf numFmtId="182" fontId="26" fillId="3" borderId="9" xfId="2" applyNumberFormat="1" applyFont="1" applyFill="1" applyBorder="1" applyAlignment="1" applyProtection="1">
      <alignment horizontal="right" vertical="center" wrapText="1"/>
      <protection locked="0"/>
    </xf>
    <xf numFmtId="182" fontId="26" fillId="0" borderId="9" xfId="2" applyNumberFormat="1" applyFont="1" applyFill="1" applyBorder="1" applyAlignment="1" applyProtection="1">
      <alignment horizontal="right" vertical="center" wrapText="1"/>
      <protection locked="0"/>
    </xf>
    <xf numFmtId="168" fontId="25" fillId="3" borderId="9" xfId="1" applyNumberFormat="1" applyFont="1" applyFill="1" applyBorder="1" applyAlignment="1" applyProtection="1">
      <alignment horizontal="right" vertical="center"/>
      <protection locked="0"/>
    </xf>
    <xf numFmtId="168" fontId="25" fillId="0" borderId="0" xfId="1" applyNumberFormat="1" applyFont="1" applyFill="1" applyBorder="1" applyAlignment="1" applyProtection="1">
      <alignment horizontal="right" vertical="center"/>
      <protection locked="0"/>
    </xf>
    <xf numFmtId="168" fontId="25" fillId="3" borderId="0" xfId="1" applyNumberFormat="1" applyFont="1" applyFill="1" applyBorder="1" applyAlignment="1" applyProtection="1">
      <alignment horizontal="right" vertical="center"/>
      <protection locked="0"/>
    </xf>
    <xf numFmtId="168" fontId="26" fillId="3" borderId="9" xfId="1" applyNumberFormat="1" applyFont="1" applyFill="1" applyBorder="1" applyAlignment="1" applyProtection="1">
      <alignment horizontal="right" vertical="center"/>
      <protection locked="0"/>
    </xf>
    <xf numFmtId="168" fontId="25" fillId="0" borderId="9" xfId="1" applyNumberFormat="1" applyFont="1" applyFill="1" applyBorder="1" applyAlignment="1" applyProtection="1">
      <alignment horizontal="right" vertical="center"/>
      <protection locked="0"/>
    </xf>
    <xf numFmtId="168" fontId="26" fillId="0" borderId="9" xfId="1" applyNumberFormat="1" applyFont="1" applyFill="1" applyBorder="1" applyAlignment="1" applyProtection="1">
      <alignment horizontal="right" vertical="center"/>
      <protection locked="0"/>
    </xf>
    <xf numFmtId="168" fontId="9" fillId="3" borderId="0" xfId="0" applyNumberFormat="1" applyFont="1" applyFill="1" applyProtection="1">
      <protection locked="0"/>
    </xf>
    <xf numFmtId="168" fontId="9" fillId="3" borderId="0" xfId="1" applyNumberFormat="1" applyFont="1" applyFill="1" applyAlignment="1" applyProtection="1">
      <alignment horizontal="right"/>
      <protection locked="0"/>
    </xf>
    <xf numFmtId="182" fontId="9" fillId="3" borderId="0" xfId="2" applyNumberFormat="1" applyFont="1" applyFill="1" applyBorder="1" applyAlignment="1" applyProtection="1">
      <alignment horizontal="right" vertical="center" wrapText="1"/>
      <protection locked="0"/>
    </xf>
    <xf numFmtId="182" fontId="9" fillId="0" borderId="0" xfId="2" applyNumberFormat="1" applyFont="1" applyFill="1" applyBorder="1" applyAlignment="1" applyProtection="1">
      <alignment horizontal="right" vertical="center" wrapText="1"/>
      <protection locked="0"/>
    </xf>
    <xf numFmtId="182" fontId="25" fillId="3" borderId="0" xfId="2" applyNumberFormat="1" applyFont="1" applyFill="1" applyBorder="1" applyAlignment="1" applyProtection="1">
      <alignment horizontal="right"/>
      <protection locked="0"/>
    </xf>
    <xf numFmtId="182" fontId="25" fillId="0" borderId="0" xfId="2" applyNumberFormat="1" applyFont="1" applyFill="1" applyBorder="1" applyAlignment="1" applyProtection="1">
      <alignment horizontal="right"/>
      <protection locked="0"/>
    </xf>
    <xf numFmtId="168" fontId="9" fillId="0" borderId="0" xfId="1" applyNumberFormat="1" applyFont="1" applyFill="1" applyAlignment="1" applyProtection="1">
      <alignment horizontal="right"/>
      <protection locked="0"/>
    </xf>
    <xf numFmtId="168" fontId="9" fillId="3" borderId="0" xfId="0" applyNumberFormat="1" applyFont="1" applyFill="1" applyAlignment="1" applyProtection="1">
      <alignment horizontal="right"/>
      <protection locked="0"/>
    </xf>
    <xf numFmtId="168" fontId="25" fillId="4" borderId="0" xfId="1" applyNumberFormat="1" applyFont="1" applyFill="1" applyBorder="1" applyAlignment="1" applyProtection="1">
      <alignment horizontal="right"/>
      <protection locked="0"/>
    </xf>
    <xf numFmtId="182" fontId="21" fillId="0" borderId="9" xfId="2" applyNumberFormat="1" applyFont="1" applyFill="1" applyBorder="1" applyAlignment="1" applyProtection="1">
      <alignment horizontal="right"/>
      <protection locked="0"/>
    </xf>
    <xf numFmtId="182" fontId="21" fillId="3" borderId="9" xfId="2" applyNumberFormat="1" applyFont="1" applyFill="1" applyBorder="1" applyAlignment="1" applyProtection="1">
      <alignment horizontal="right"/>
      <protection locked="0"/>
    </xf>
    <xf numFmtId="168" fontId="25" fillId="4" borderId="9" xfId="1" applyNumberFormat="1" applyFont="1" applyFill="1" applyBorder="1" applyAlignment="1" applyProtection="1">
      <alignment horizontal="right"/>
      <protection locked="0"/>
    </xf>
    <xf numFmtId="168" fontId="25" fillId="4" borderId="0" xfId="1" applyNumberFormat="1" applyFont="1" applyFill="1" applyAlignment="1" applyProtection="1">
      <alignment horizontal="right"/>
      <protection locked="0"/>
    </xf>
    <xf numFmtId="168" fontId="9" fillId="4" borderId="0" xfId="0" applyNumberFormat="1" applyFont="1" applyFill="1" applyProtection="1">
      <protection locked="0"/>
    </xf>
    <xf numFmtId="182" fontId="21" fillId="4" borderId="9" xfId="2" applyNumberFormat="1" applyFont="1" applyFill="1" applyBorder="1" applyAlignment="1" applyProtection="1">
      <alignment horizontal="right"/>
      <protection locked="0"/>
    </xf>
    <xf numFmtId="168" fontId="9" fillId="0" borderId="0" xfId="1" applyNumberFormat="1" applyFont="1" applyFill="1" applyBorder="1" applyAlignment="1" applyProtection="1">
      <alignment horizontal="right"/>
      <protection locked="0"/>
    </xf>
    <xf numFmtId="168" fontId="9" fillId="3" borderId="0" xfId="1" applyNumberFormat="1" applyFont="1" applyFill="1" applyBorder="1" applyAlignment="1" applyProtection="1">
      <alignment horizontal="right"/>
      <protection locked="0"/>
    </xf>
    <xf numFmtId="168" fontId="21" fillId="0" borderId="3" xfId="2" applyNumberFormat="1" applyFont="1" applyFill="1" applyBorder="1" applyAlignment="1" applyProtection="1">
      <alignment horizontal="right"/>
      <protection locked="0"/>
    </xf>
    <xf numFmtId="168" fontId="21" fillId="3" borderId="3" xfId="2" applyNumberFormat="1" applyFont="1" applyFill="1" applyBorder="1" applyAlignment="1" applyProtection="1">
      <alignment horizontal="right"/>
      <protection locked="0"/>
    </xf>
    <xf numFmtId="168" fontId="9" fillId="3" borderId="9" xfId="1" applyNumberFormat="1" applyFont="1" applyFill="1" applyBorder="1" applyAlignment="1" applyProtection="1">
      <alignment horizontal="right" vertical="center" wrapText="1"/>
      <protection locked="0"/>
    </xf>
    <xf numFmtId="168" fontId="9" fillId="0" borderId="0" xfId="1" applyNumberFormat="1" applyFont="1" applyFill="1" applyBorder="1" applyAlignment="1" applyProtection="1">
      <alignment horizontal="right" vertical="center" wrapText="1"/>
      <protection locked="0"/>
    </xf>
    <xf numFmtId="182" fontId="9" fillId="3" borderId="0" xfId="2" applyNumberFormat="1" applyFont="1" applyFill="1" applyBorder="1" applyAlignment="1" applyProtection="1">
      <alignment horizontal="right" wrapText="1"/>
      <protection locked="0"/>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8" fillId="0" borderId="0" xfId="0" applyFont="1" applyAlignment="1">
      <alignment vertical="center"/>
    </xf>
    <xf numFmtId="0" fontId="40" fillId="0" borderId="0" xfId="0" applyFont="1" applyAlignment="1">
      <alignment vertical="center"/>
    </xf>
    <xf numFmtId="0" fontId="40" fillId="0" borderId="0" xfId="0" applyFont="1" applyAlignment="1">
      <alignment vertical="center" wrapText="1"/>
    </xf>
    <xf numFmtId="0" fontId="41" fillId="0" borderId="0" xfId="0" applyFont="1" applyAlignment="1">
      <alignment vertical="center"/>
    </xf>
    <xf numFmtId="165" fontId="9" fillId="0" borderId="9" xfId="1" applyNumberFormat="1" applyFont="1" applyFill="1" applyBorder="1" applyAlignment="1" applyProtection="1">
      <alignment horizontal="left" vertical="center" wrapText="1" indent="1"/>
      <protection locked="0" hidden="1"/>
    </xf>
    <xf numFmtId="165" fontId="9" fillId="0" borderId="0" xfId="1" applyNumberFormat="1" applyFont="1" applyFill="1" applyBorder="1" applyAlignment="1" applyProtection="1">
      <alignment horizontal="left" vertical="center" wrapText="1" indent="2"/>
      <protection locked="0" hidden="1"/>
    </xf>
    <xf numFmtId="0" fontId="9" fillId="0" borderId="0" xfId="0" applyFont="1" applyAlignment="1" applyProtection="1">
      <alignment horizontal="left" vertical="center" indent="3"/>
      <protection locked="0"/>
    </xf>
    <xf numFmtId="165" fontId="52" fillId="0" borderId="0" xfId="1" applyNumberFormat="1" applyFont="1" applyFill="1" applyBorder="1" applyAlignment="1" applyProtection="1">
      <alignment vertical="center" wrapText="1"/>
      <protection locked="0" hidden="1"/>
    </xf>
    <xf numFmtId="165" fontId="30" fillId="0" borderId="0" xfId="1" applyNumberFormat="1" applyFont="1" applyFill="1" applyBorder="1" applyAlignment="1" applyProtection="1">
      <alignment horizontal="left" vertical="center" wrapText="1" indent="1"/>
      <protection locked="0" hidden="1"/>
    </xf>
    <xf numFmtId="0" fontId="30" fillId="0" borderId="0" xfId="0" applyFont="1" applyAlignment="1" applyProtection="1">
      <alignment horizontal="left" vertical="center" wrapText="1" indent="2"/>
      <protection locked="0"/>
    </xf>
    <xf numFmtId="165" fontId="9" fillId="4" borderId="9" xfId="1" applyNumberFormat="1" applyFont="1" applyFill="1" applyBorder="1" applyAlignment="1" applyProtection="1">
      <alignment horizontal="left" vertical="center" wrapText="1" indent="1"/>
      <protection locked="0" hidden="1"/>
    </xf>
    <xf numFmtId="170" fontId="9" fillId="4" borderId="9" xfId="1" applyNumberFormat="1" applyFont="1" applyFill="1" applyBorder="1" applyAlignment="1" applyProtection="1">
      <alignment horizontal="right" vertical="center" wrapText="1"/>
      <protection locked="0"/>
    </xf>
    <xf numFmtId="165" fontId="9" fillId="4" borderId="0" xfId="1" applyNumberFormat="1" applyFont="1" applyFill="1" applyBorder="1" applyAlignment="1" applyProtection="1">
      <alignment horizontal="left" vertical="center" wrapText="1" indent="1"/>
      <protection locked="0" hidden="1"/>
    </xf>
    <xf numFmtId="173" fontId="9" fillId="4" borderId="0" xfId="0" applyNumberFormat="1" applyFont="1" applyFill="1" applyAlignment="1" applyProtection="1">
      <alignment horizontal="right"/>
      <protection locked="0"/>
    </xf>
    <xf numFmtId="165" fontId="30" fillId="4" borderId="0" xfId="1" applyNumberFormat="1" applyFont="1" applyFill="1" applyBorder="1" applyAlignment="1" applyProtection="1">
      <alignment horizontal="left" vertical="center" wrapText="1" indent="1"/>
      <protection locked="0" hidden="1"/>
    </xf>
    <xf numFmtId="165" fontId="9" fillId="4" borderId="0" xfId="1" applyNumberFormat="1" applyFont="1" applyFill="1" applyBorder="1" applyAlignment="1" applyProtection="1">
      <alignment horizontal="left" vertical="center" wrapText="1" indent="2"/>
      <protection locked="0" hidden="1"/>
    </xf>
    <xf numFmtId="165" fontId="9" fillId="4" borderId="0" xfId="1" applyNumberFormat="1" applyFont="1" applyFill="1" applyBorder="1" applyAlignment="1" applyProtection="1">
      <alignment horizontal="right" vertical="center" wrapText="1"/>
      <protection locked="0"/>
    </xf>
    <xf numFmtId="0" fontId="9" fillId="4" borderId="0" xfId="0" applyFont="1" applyFill="1" applyAlignment="1" applyProtection="1">
      <alignment horizontal="left" vertical="center" wrapText="1" indent="1"/>
      <protection locked="0"/>
    </xf>
    <xf numFmtId="0" fontId="9" fillId="4" borderId="0" xfId="0" applyFont="1" applyFill="1" applyProtection="1">
      <protection locked="0"/>
    </xf>
    <xf numFmtId="0" fontId="30" fillId="4" borderId="0" xfId="0" applyFont="1" applyFill="1" applyAlignment="1" applyProtection="1">
      <alignment horizontal="left" vertical="center" wrapText="1"/>
      <protection locked="0"/>
    </xf>
    <xf numFmtId="0" fontId="9" fillId="4" borderId="0" xfId="0" applyFont="1" applyFill="1" applyAlignment="1" applyProtection="1">
      <alignment horizontal="left" vertical="center" wrapText="1" indent="2"/>
      <protection locked="0"/>
    </xf>
    <xf numFmtId="0" fontId="30" fillId="4" borderId="0" xfId="0" applyFont="1" applyFill="1" applyAlignment="1" applyProtection="1">
      <alignment horizontal="left" vertical="center" wrapText="1" indent="2"/>
      <protection locked="0"/>
    </xf>
    <xf numFmtId="165" fontId="26" fillId="4" borderId="0" xfId="1" applyNumberFormat="1" applyFont="1" applyFill="1" applyBorder="1" applyAlignment="1" applyProtection="1">
      <alignment vertical="center" wrapText="1"/>
      <protection locked="0" hidden="1"/>
    </xf>
    <xf numFmtId="0" fontId="9" fillId="4" borderId="0" xfId="0" applyFont="1" applyFill="1" applyAlignment="1" applyProtection="1">
      <alignment horizontal="left" indent="3"/>
      <protection locked="0"/>
    </xf>
    <xf numFmtId="0" fontId="9" fillId="4" borderId="0" xfId="0" applyFont="1" applyFill="1" applyAlignment="1" applyProtection="1">
      <alignment horizontal="left" vertical="center" indent="3"/>
      <protection locked="0"/>
    </xf>
    <xf numFmtId="168" fontId="9" fillId="4" borderId="9" xfId="1" applyNumberFormat="1" applyFont="1" applyFill="1" applyBorder="1" applyAlignment="1" applyProtection="1">
      <alignment horizontal="right" vertical="center" wrapText="1"/>
      <protection locked="0"/>
    </xf>
    <xf numFmtId="168" fontId="9" fillId="4" borderId="0" xfId="1" applyNumberFormat="1" applyFont="1" applyFill="1" applyBorder="1" applyAlignment="1" applyProtection="1">
      <alignment horizontal="right" vertical="center" wrapText="1"/>
      <protection locked="0"/>
    </xf>
    <xf numFmtId="168" fontId="9" fillId="0" borderId="9" xfId="1" applyNumberFormat="1" applyFont="1" applyFill="1" applyBorder="1" applyAlignment="1" applyProtection="1">
      <alignment horizontal="right" vertical="center" wrapText="1"/>
      <protection locked="0"/>
    </xf>
    <xf numFmtId="168" fontId="9" fillId="4" borderId="0" xfId="0" applyNumberFormat="1" applyFont="1" applyFill="1" applyAlignment="1" applyProtection="1">
      <alignment horizontal="right"/>
      <protection locked="0"/>
    </xf>
    <xf numFmtId="172" fontId="9" fillId="0" borderId="0" xfId="1" applyNumberFormat="1" applyFont="1" applyFill="1" applyBorder="1" applyAlignment="1" applyProtection="1">
      <alignment horizontal="right" wrapText="1"/>
      <protection locked="0"/>
    </xf>
    <xf numFmtId="172" fontId="9" fillId="0" borderId="10" xfId="1" applyNumberFormat="1" applyFont="1" applyFill="1" applyBorder="1" applyAlignment="1" applyProtection="1">
      <alignment horizontal="right" wrapText="1"/>
      <protection locked="0"/>
    </xf>
    <xf numFmtId="165" fontId="54" fillId="4" borderId="9" xfId="11" applyNumberFormat="1" applyFont="1" applyFill="1" applyBorder="1" applyAlignment="1" applyProtection="1">
      <alignment horizontal="left" vertical="center" wrapText="1"/>
      <protection locked="0" hidden="1"/>
    </xf>
    <xf numFmtId="0" fontId="55" fillId="0" borderId="0" xfId="0" applyFont="1" applyProtection="1">
      <protection locked="0"/>
    </xf>
    <xf numFmtId="165" fontId="54" fillId="0" borderId="0" xfId="11" applyNumberFormat="1" applyFont="1" applyFill="1" applyBorder="1" applyAlignment="1" applyProtection="1">
      <alignment horizontal="left" vertical="center" wrapText="1"/>
      <protection locked="0" hidden="1"/>
    </xf>
    <xf numFmtId="165" fontId="56" fillId="0" borderId="0" xfId="1" applyNumberFormat="1" applyFont="1" applyFill="1" applyBorder="1" applyAlignment="1" applyProtection="1">
      <alignment horizontal="left" vertical="center" wrapText="1" indent="1"/>
      <protection locked="0" hidden="1"/>
    </xf>
    <xf numFmtId="165" fontId="56" fillId="4" borderId="0" xfId="1" applyNumberFormat="1" applyFont="1" applyFill="1" applyBorder="1" applyAlignment="1" applyProtection="1">
      <alignment horizontal="left" vertical="center" wrapText="1" indent="1"/>
      <protection locked="0" hidden="1"/>
    </xf>
    <xf numFmtId="0" fontId="54" fillId="4" borderId="0" xfId="11" applyFont="1" applyFill="1" applyProtection="1">
      <protection locked="0"/>
    </xf>
    <xf numFmtId="0" fontId="54" fillId="0" borderId="0" xfId="11" applyFont="1" applyAlignment="1" applyProtection="1">
      <alignment horizontal="left" vertical="center"/>
      <protection locked="0"/>
    </xf>
    <xf numFmtId="0" fontId="54" fillId="4" borderId="0" xfId="11" applyFont="1" applyFill="1" applyAlignment="1" applyProtection="1">
      <alignment horizontal="left" vertical="center"/>
      <protection locked="0"/>
    </xf>
    <xf numFmtId="0" fontId="48" fillId="0" borderId="5" xfId="1" applyNumberFormat="1" applyFont="1" applyFill="1" applyBorder="1" applyAlignment="1" applyProtection="1">
      <alignment horizontal="center" vertical="center"/>
      <protection locked="0" hidden="1"/>
    </xf>
    <xf numFmtId="0" fontId="33" fillId="0" borderId="11" xfId="0" applyFont="1" applyBorder="1" applyAlignment="1" applyProtection="1">
      <alignment vertical="center"/>
      <protection locked="0" hidden="1"/>
    </xf>
    <xf numFmtId="0" fontId="32" fillId="0" borderId="12" xfId="0" applyFont="1" applyBorder="1" applyAlignment="1" applyProtection="1">
      <alignment horizontal="center" vertical="center"/>
      <protection locked="0" hidden="1"/>
    </xf>
    <xf numFmtId="0" fontId="32" fillId="0" borderId="13" xfId="0" applyFont="1" applyBorder="1" applyAlignment="1" applyProtection="1">
      <alignment horizontal="center" vertical="center"/>
      <protection locked="0" hidden="1"/>
    </xf>
    <xf numFmtId="0" fontId="33" fillId="0" borderId="14" xfId="0" applyFont="1" applyBorder="1" applyAlignment="1" applyProtection="1">
      <alignment vertical="center"/>
      <protection locked="0" hidden="1"/>
    </xf>
    <xf numFmtId="0" fontId="36" fillId="0" borderId="0" xfId="0" applyFont="1" applyAlignment="1" applyProtection="1">
      <alignment horizontal="center" vertical="center"/>
      <protection locked="0" hidden="1"/>
    </xf>
    <xf numFmtId="0" fontId="32" fillId="0" borderId="15" xfId="0" applyFont="1" applyBorder="1" applyAlignment="1" applyProtection="1">
      <alignment horizontal="center" vertical="center"/>
      <protection locked="0" hidden="1"/>
    </xf>
    <xf numFmtId="0" fontId="32" fillId="3" borderId="0" xfId="0" applyFont="1" applyFill="1" applyAlignment="1" applyProtection="1">
      <alignment vertical="center"/>
      <protection locked="0" hidden="1"/>
    </xf>
    <xf numFmtId="168" fontId="32" fillId="0" borderId="15" xfId="2" applyNumberFormat="1" applyFont="1" applyFill="1" applyBorder="1" applyAlignment="1" applyProtection="1">
      <alignment horizontal="center" vertical="center"/>
      <protection locked="0" hidden="1"/>
    </xf>
    <xf numFmtId="0" fontId="33" fillId="0" borderId="0" xfId="0" applyFont="1" applyAlignment="1" applyProtection="1">
      <alignment vertical="center"/>
      <protection locked="0" hidden="1"/>
    </xf>
    <xf numFmtId="168" fontId="33" fillId="0" borderId="15" xfId="2" applyNumberFormat="1" applyFont="1" applyFill="1" applyBorder="1" applyAlignment="1" applyProtection="1">
      <alignment horizontal="center" vertical="center"/>
      <protection locked="0" hidden="1"/>
    </xf>
    <xf numFmtId="168" fontId="32" fillId="6" borderId="0" xfId="0" applyNumberFormat="1" applyFont="1" applyFill="1" applyAlignment="1" applyProtection="1">
      <alignment horizontal="center" vertical="center"/>
      <protection locked="0" hidden="1"/>
    </xf>
    <xf numFmtId="0" fontId="33" fillId="0" borderId="16" xfId="0" applyFont="1" applyBorder="1" applyAlignment="1" applyProtection="1">
      <alignment vertical="center"/>
      <protection locked="0" hidden="1"/>
    </xf>
    <xf numFmtId="0" fontId="33" fillId="0" borderId="17" xfId="0" applyFont="1" applyBorder="1" applyAlignment="1" applyProtection="1">
      <alignment vertical="center"/>
      <protection locked="0" hidden="1"/>
    </xf>
    <xf numFmtId="0" fontId="33" fillId="0" borderId="17" xfId="0" applyFont="1" applyBorder="1" applyAlignment="1" applyProtection="1">
      <alignment horizontal="center" vertical="center"/>
      <protection locked="0" hidden="1"/>
    </xf>
    <xf numFmtId="0" fontId="33" fillId="0" borderId="18" xfId="0" applyFont="1" applyBorder="1" applyAlignment="1" applyProtection="1">
      <alignment horizontal="center" vertical="center"/>
      <protection locked="0" hidden="1"/>
    </xf>
    <xf numFmtId="0" fontId="33" fillId="2" borderId="11" xfId="0" applyFont="1" applyFill="1" applyBorder="1" applyAlignment="1" applyProtection="1">
      <alignment vertical="center"/>
      <protection locked="0" hidden="1"/>
    </xf>
    <xf numFmtId="0" fontId="33" fillId="2" borderId="12" xfId="0" applyFont="1" applyFill="1" applyBorder="1" applyAlignment="1" applyProtection="1">
      <alignment vertical="center"/>
      <protection locked="0" hidden="1"/>
    </xf>
    <xf numFmtId="0" fontId="33" fillId="2" borderId="12" xfId="0" applyFont="1" applyFill="1" applyBorder="1" applyAlignment="1" applyProtection="1">
      <alignment horizontal="center" vertical="center"/>
      <protection locked="0" hidden="1"/>
    </xf>
    <xf numFmtId="0" fontId="32" fillId="2" borderId="13" xfId="0" applyFont="1" applyFill="1" applyBorder="1" applyAlignment="1" applyProtection="1">
      <alignment horizontal="center" vertical="center"/>
      <protection locked="0" hidden="1"/>
    </xf>
    <xf numFmtId="0" fontId="33" fillId="0" borderId="15" xfId="0" applyFont="1" applyBorder="1" applyAlignment="1" applyProtection="1">
      <alignment horizontal="center" vertical="center" wrapText="1"/>
      <protection locked="0" hidden="1"/>
    </xf>
    <xf numFmtId="168" fontId="33" fillId="0" borderId="15" xfId="2" applyNumberFormat="1" applyFont="1" applyFill="1" applyBorder="1" applyAlignment="1" applyProtection="1">
      <alignment horizontal="center" vertical="center" wrapText="1"/>
      <protection locked="0" hidden="1"/>
    </xf>
    <xf numFmtId="0" fontId="33" fillId="2" borderId="16" xfId="0" applyFont="1" applyFill="1" applyBorder="1" applyAlignment="1" applyProtection="1">
      <alignment vertical="center"/>
      <protection locked="0" hidden="1"/>
    </xf>
    <xf numFmtId="0" fontId="33" fillId="2" borderId="17" xfId="0" applyFont="1" applyFill="1" applyBorder="1" applyAlignment="1" applyProtection="1">
      <alignment vertical="center"/>
      <protection locked="0" hidden="1"/>
    </xf>
    <xf numFmtId="0" fontId="33" fillId="2" borderId="17" xfId="0" applyFont="1" applyFill="1" applyBorder="1" applyAlignment="1" applyProtection="1">
      <alignment horizontal="center" vertical="center"/>
      <protection locked="0" hidden="1"/>
    </xf>
    <xf numFmtId="0" fontId="33" fillId="2" borderId="18" xfId="0" applyFont="1" applyFill="1" applyBorder="1" applyAlignment="1" applyProtection="1">
      <alignment horizontal="center" vertical="center"/>
      <protection locked="0" hidden="1"/>
    </xf>
    <xf numFmtId="0" fontId="33" fillId="2" borderId="13" xfId="0" applyFont="1" applyFill="1" applyBorder="1" applyAlignment="1" applyProtection="1">
      <alignment vertical="center"/>
      <protection locked="0" hidden="1"/>
    </xf>
    <xf numFmtId="0" fontId="33" fillId="2" borderId="14" xfId="0" applyFont="1" applyFill="1" applyBorder="1" applyAlignment="1" applyProtection="1">
      <alignment vertical="center"/>
      <protection locked="0" hidden="1"/>
    </xf>
    <xf numFmtId="0" fontId="33" fillId="2" borderId="15" xfId="0" applyFont="1" applyFill="1" applyBorder="1" applyAlignment="1" applyProtection="1">
      <alignment vertical="center"/>
      <protection locked="0" hidden="1"/>
    </xf>
    <xf numFmtId="0" fontId="38" fillId="2" borderId="17" xfId="0" applyFont="1" applyFill="1" applyBorder="1" applyAlignment="1" applyProtection="1">
      <alignment vertical="center"/>
      <protection locked="0" hidden="1"/>
    </xf>
    <xf numFmtId="0" fontId="33" fillId="2" borderId="18" xfId="0" applyFont="1" applyFill="1" applyBorder="1" applyAlignment="1" applyProtection="1">
      <alignment vertical="center"/>
      <protection locked="0" hidden="1"/>
    </xf>
    <xf numFmtId="0" fontId="48" fillId="0" borderId="0" xfId="0" applyFont="1" applyAlignment="1" applyProtection="1">
      <alignment horizontal="center" vertical="center"/>
      <protection locked="0" hidden="1"/>
    </xf>
    <xf numFmtId="0" fontId="33" fillId="0" borderId="0" xfId="0" applyFont="1" applyAlignment="1" applyProtection="1">
      <alignment vertical="center" wrapText="1"/>
      <protection locked="0" hidden="1"/>
    </xf>
    <xf numFmtId="0" fontId="32" fillId="0" borderId="11" xfId="0" applyFont="1" applyBorder="1" applyAlignment="1" applyProtection="1">
      <alignment horizontal="center" vertical="center"/>
      <protection locked="0" hidden="1"/>
    </xf>
    <xf numFmtId="0" fontId="33" fillId="0" borderId="12" xfId="0" applyFont="1" applyBorder="1" applyAlignment="1" applyProtection="1">
      <alignment vertical="center"/>
      <protection locked="0" hidden="1"/>
    </xf>
    <xf numFmtId="0" fontId="33" fillId="0" borderId="13" xfId="0" applyFont="1" applyBorder="1" applyAlignment="1" applyProtection="1">
      <alignment vertical="center"/>
      <protection locked="0" hidden="1"/>
    </xf>
    <xf numFmtId="0" fontId="34" fillId="0" borderId="0" xfId="0" applyFont="1" applyAlignment="1" applyProtection="1">
      <alignment horizontal="center" vertical="center"/>
      <protection locked="0" hidden="1"/>
    </xf>
    <xf numFmtId="0" fontId="33" fillId="0" borderId="15" xfId="0" applyFont="1" applyBorder="1" applyAlignment="1" applyProtection="1">
      <alignment vertical="center"/>
      <protection locked="0" hidden="1"/>
    </xf>
    <xf numFmtId="0" fontId="33" fillId="0" borderId="0" xfId="0" applyFont="1" applyAlignment="1" applyProtection="1">
      <alignment horizontal="left" vertical="center"/>
      <protection locked="0" hidden="1"/>
    </xf>
    <xf numFmtId="172" fontId="33" fillId="0" borderId="0" xfId="0" applyNumberFormat="1" applyFont="1" applyAlignment="1" applyProtection="1">
      <alignment vertical="center"/>
      <protection locked="0" hidden="1"/>
    </xf>
    <xf numFmtId="175" fontId="33" fillId="0" borderId="0" xfId="0" applyNumberFormat="1" applyFont="1" applyAlignment="1" applyProtection="1">
      <alignment vertical="center"/>
      <protection locked="0" hidden="1"/>
    </xf>
    <xf numFmtId="0" fontId="33" fillId="3" borderId="0" xfId="0" applyFont="1" applyFill="1" applyAlignment="1" applyProtection="1">
      <alignment horizontal="left" vertical="center"/>
      <protection locked="0" hidden="1"/>
    </xf>
    <xf numFmtId="172" fontId="33" fillId="3" borderId="0" xfId="0" applyNumberFormat="1" applyFont="1" applyFill="1" applyAlignment="1" applyProtection="1">
      <alignment vertical="center"/>
      <protection locked="0" hidden="1"/>
    </xf>
    <xf numFmtId="175" fontId="33" fillId="3" borderId="0" xfId="0" applyNumberFormat="1" applyFont="1" applyFill="1" applyAlignment="1" applyProtection="1">
      <alignment vertical="center"/>
      <protection locked="0" hidden="1"/>
    </xf>
    <xf numFmtId="174" fontId="33" fillId="3" borderId="0" xfId="0" applyNumberFormat="1" applyFont="1" applyFill="1" applyAlignment="1" applyProtection="1">
      <alignment vertical="center"/>
      <protection locked="0" hidden="1"/>
    </xf>
    <xf numFmtId="176" fontId="33" fillId="3" borderId="0" xfId="0" applyNumberFormat="1" applyFont="1" applyFill="1" applyAlignment="1" applyProtection="1">
      <alignment vertical="center"/>
      <protection locked="0" hidden="1"/>
    </xf>
    <xf numFmtId="174" fontId="33" fillId="0" borderId="0" xfId="0" applyNumberFormat="1" applyFont="1" applyAlignment="1" applyProtection="1">
      <alignment vertical="center"/>
      <protection locked="0" hidden="1"/>
    </xf>
    <xf numFmtId="176" fontId="33" fillId="0" borderId="0" xfId="0" applyNumberFormat="1" applyFont="1" applyAlignment="1" applyProtection="1">
      <alignment vertical="center"/>
      <protection locked="0" hidden="1"/>
    </xf>
    <xf numFmtId="0" fontId="32" fillId="0" borderId="0" xfId="0" applyFont="1" applyAlignment="1" applyProtection="1">
      <alignment horizontal="left" vertical="center"/>
      <protection locked="0" hidden="1"/>
    </xf>
    <xf numFmtId="172" fontId="32" fillId="2" borderId="17" xfId="1" applyNumberFormat="1" applyFont="1" applyFill="1" applyBorder="1" applyAlignment="1" applyProtection="1">
      <alignment horizontal="right" vertical="center"/>
      <protection locked="0" hidden="1"/>
    </xf>
    <xf numFmtId="0" fontId="31" fillId="2" borderId="17" xfId="0" applyFont="1" applyFill="1" applyBorder="1" applyAlignment="1" applyProtection="1">
      <alignment vertical="center"/>
      <protection locked="0" hidden="1"/>
    </xf>
    <xf numFmtId="0" fontId="33" fillId="0" borderId="18" xfId="0" applyFont="1" applyBorder="1" applyAlignment="1" applyProtection="1">
      <alignment vertical="center"/>
      <protection locked="0" hidden="1"/>
    </xf>
    <xf numFmtId="172" fontId="32" fillId="0" borderId="12" xfId="1" applyNumberFormat="1" applyFont="1" applyFill="1" applyBorder="1" applyAlignment="1" applyProtection="1">
      <alignment horizontal="right" vertical="center"/>
      <protection locked="0" hidden="1"/>
    </xf>
    <xf numFmtId="0" fontId="31" fillId="0" borderId="12" xfId="0" applyFont="1" applyBorder="1" applyAlignment="1" applyProtection="1">
      <alignment vertical="center"/>
      <protection locked="0" hidden="1"/>
    </xf>
    <xf numFmtId="0" fontId="32" fillId="0" borderId="0" xfId="0" applyFont="1" applyAlignment="1" applyProtection="1">
      <alignment vertical="center"/>
      <protection locked="0" hidden="1"/>
    </xf>
    <xf numFmtId="0" fontId="31" fillId="7" borderId="0" xfId="0" applyFont="1" applyFill="1" applyAlignment="1" applyProtection="1">
      <alignment vertical="center"/>
      <protection locked="0" hidden="1"/>
    </xf>
    <xf numFmtId="0" fontId="33" fillId="4" borderId="0" xfId="0" applyFont="1" applyFill="1" applyAlignment="1" applyProtection="1">
      <alignment horizontal="left" vertical="center"/>
      <protection locked="0" hidden="1"/>
    </xf>
    <xf numFmtId="0" fontId="33" fillId="0" borderId="0" xfId="0" applyFont="1" applyAlignment="1" applyProtection="1">
      <alignment horizontal="left" vertical="center" indent="2"/>
      <protection locked="0" hidden="1"/>
    </xf>
    <xf numFmtId="0" fontId="33" fillId="4" borderId="0" xfId="0" applyFont="1" applyFill="1" applyAlignment="1" applyProtection="1">
      <alignment vertical="center"/>
      <protection locked="0" hidden="1"/>
    </xf>
    <xf numFmtId="174" fontId="9" fillId="0" borderId="0" xfId="0" applyNumberFormat="1" applyFont="1" applyProtection="1">
      <protection locked="0"/>
    </xf>
    <xf numFmtId="43" fontId="9" fillId="0" borderId="0" xfId="1" applyFont="1" applyProtection="1">
      <protection locked="0"/>
    </xf>
    <xf numFmtId="183" fontId="9" fillId="0" borderId="0" xfId="0" applyNumberFormat="1" applyFont="1" applyProtection="1">
      <protection locked="0"/>
    </xf>
    <xf numFmtId="174" fontId="9" fillId="0" borderId="0" xfId="1" applyNumberFormat="1" applyFont="1" applyFill="1" applyAlignment="1" applyProtection="1">
      <alignment horizontal="right"/>
      <protection locked="0"/>
    </xf>
    <xf numFmtId="43" fontId="9" fillId="0" borderId="0" xfId="1" applyFont="1" applyFill="1" applyProtection="1">
      <protection locked="0"/>
    </xf>
    <xf numFmtId="173" fontId="9" fillId="0" borderId="0" xfId="0" applyNumberFormat="1" applyFont="1" applyProtection="1">
      <protection locked="0"/>
    </xf>
    <xf numFmtId="0" fontId="26" fillId="0" borderId="9" xfId="0" applyFont="1" applyBorder="1" applyAlignment="1" applyProtection="1">
      <alignment horizontal="left" vertical="center" wrapText="1"/>
      <protection locked="0" hidden="1"/>
    </xf>
    <xf numFmtId="167" fontId="26" fillId="0" borderId="9" xfId="0" applyNumberFormat="1" applyFont="1" applyBorder="1" applyAlignment="1" applyProtection="1">
      <alignment horizontal="right" vertical="center" wrapText="1"/>
      <protection locked="0"/>
    </xf>
    <xf numFmtId="0" fontId="27" fillId="0" borderId="0" xfId="0" applyFont="1" applyAlignment="1" applyProtection="1">
      <alignment horizontal="left" vertical="center" indent="7"/>
      <protection locked="0" hidden="1"/>
    </xf>
    <xf numFmtId="0" fontId="27" fillId="0" borderId="0" xfId="0" applyFont="1" applyAlignment="1" applyProtection="1">
      <alignment horizontal="left" vertical="center" indent="3"/>
      <protection locked="0" hidden="1"/>
    </xf>
    <xf numFmtId="0" fontId="27" fillId="0" borderId="0" xfId="0" applyFont="1" applyAlignment="1" applyProtection="1">
      <alignment horizontal="left" vertical="center" indent="9"/>
      <protection locked="0" hidden="1"/>
    </xf>
    <xf numFmtId="168" fontId="21" fillId="0" borderId="0" xfId="2" applyNumberFormat="1" applyFont="1" applyFill="1" applyAlignment="1" applyProtection="1">
      <alignment horizontal="right"/>
      <protection locked="0"/>
    </xf>
    <xf numFmtId="182" fontId="9" fillId="0" borderId="0" xfId="2" applyNumberFormat="1" applyFont="1" applyFill="1" applyBorder="1" applyAlignment="1" applyProtection="1">
      <alignment horizontal="right"/>
      <protection locked="0"/>
    </xf>
    <xf numFmtId="172" fontId="9" fillId="3" borderId="9" xfId="1" applyNumberFormat="1" applyFont="1" applyFill="1" applyBorder="1" applyProtection="1">
      <protection locked="0"/>
    </xf>
    <xf numFmtId="168" fontId="9" fillId="3" borderId="9" xfId="2" applyNumberFormat="1" applyFont="1" applyFill="1" applyBorder="1" applyAlignment="1" applyProtection="1">
      <alignment horizontal="right"/>
      <protection locked="0"/>
    </xf>
    <xf numFmtId="182" fontId="9" fillId="3" borderId="0" xfId="2" applyNumberFormat="1" applyFont="1" applyFill="1" applyBorder="1" applyAlignment="1" applyProtection="1">
      <alignment horizontal="right"/>
      <protection locked="0"/>
    </xf>
    <xf numFmtId="182" fontId="51" fillId="4" borderId="0" xfId="0" applyNumberFormat="1" applyFont="1" applyFill="1" applyAlignment="1" applyProtection="1">
      <alignment horizontal="right" vertical="center"/>
      <protection locked="0"/>
    </xf>
    <xf numFmtId="182" fontId="9" fillId="4" borderId="0" xfId="2" applyNumberFormat="1" applyFont="1" applyFill="1" applyBorder="1" applyAlignment="1" applyProtection="1">
      <alignment horizontal="right"/>
      <protection locked="0"/>
    </xf>
    <xf numFmtId="168" fontId="25" fillId="4" borderId="0" xfId="2" applyNumberFormat="1" applyFont="1" applyFill="1" applyAlignment="1" applyProtection="1">
      <alignment horizontal="right" vertical="center" wrapText="1"/>
      <protection locked="0"/>
    </xf>
    <xf numFmtId="168" fontId="25" fillId="4" borderId="0" xfId="2" applyNumberFormat="1" applyFont="1" applyFill="1" applyBorder="1" applyAlignment="1" applyProtection="1">
      <alignment horizontal="right"/>
      <protection locked="0"/>
    </xf>
    <xf numFmtId="168" fontId="25" fillId="4" borderId="0" xfId="2" applyNumberFormat="1" applyFont="1" applyFill="1" applyAlignment="1" applyProtection="1">
      <alignment horizontal="right"/>
      <protection locked="0"/>
    </xf>
    <xf numFmtId="168" fontId="25" fillId="4" borderId="0" xfId="2" applyNumberFormat="1" applyFont="1" applyFill="1" applyAlignment="1" applyProtection="1">
      <alignment horizontal="right" vertical="center"/>
      <protection locked="0"/>
    </xf>
    <xf numFmtId="167" fontId="26" fillId="0" borderId="0" xfId="0" applyNumberFormat="1" applyFont="1" applyAlignment="1" applyProtection="1">
      <alignment horizontal="right" vertical="center" wrapText="1"/>
      <protection locked="0"/>
    </xf>
    <xf numFmtId="168" fontId="9" fillId="0" borderId="19" xfId="2" applyNumberFormat="1" applyFont="1" applyFill="1" applyBorder="1" applyAlignment="1" applyProtection="1">
      <alignment horizontal="right"/>
      <protection locked="0"/>
    </xf>
    <xf numFmtId="168" fontId="25" fillId="0" borderId="9" xfId="2" applyNumberFormat="1" applyFont="1" applyFill="1" applyBorder="1" applyAlignment="1" applyProtection="1">
      <alignment horizontal="right" vertical="center"/>
      <protection locked="0"/>
    </xf>
    <xf numFmtId="0" fontId="27" fillId="0" borderId="0" xfId="0" applyFont="1" applyAlignment="1" applyProtection="1">
      <alignment horizontal="left" vertical="center" indent="6"/>
      <protection locked="0" hidden="1"/>
    </xf>
    <xf numFmtId="0" fontId="21" fillId="0" borderId="9" xfId="0" applyFont="1" applyBorder="1" applyAlignment="1" applyProtection="1">
      <alignment horizontal="left"/>
      <protection locked="0" hidden="1"/>
    </xf>
    <xf numFmtId="0" fontId="9" fillId="0" borderId="9" xfId="0" applyFont="1" applyBorder="1" applyAlignment="1" applyProtection="1">
      <alignment horizontal="left" indent="1"/>
      <protection locked="0" hidden="1"/>
    </xf>
    <xf numFmtId="172" fontId="9" fillId="0" borderId="9" xfId="0" applyNumberFormat="1" applyFont="1" applyBorder="1" applyProtection="1">
      <protection locked="0"/>
    </xf>
    <xf numFmtId="168" fontId="9" fillId="0" borderId="9" xfId="0" applyNumberFormat="1" applyFont="1" applyBorder="1" applyProtection="1">
      <protection locked="0"/>
    </xf>
    <xf numFmtId="182" fontId="26" fillId="0" borderId="9" xfId="2" applyNumberFormat="1" applyFont="1" applyFill="1" applyBorder="1" applyAlignment="1" applyProtection="1">
      <alignment horizontal="right" vertical="center"/>
      <protection locked="0"/>
    </xf>
    <xf numFmtId="0" fontId="26" fillId="0" borderId="0" xfId="0" applyFont="1" applyAlignment="1" applyProtection="1">
      <alignment horizontal="left" vertical="center" wrapText="1"/>
      <protection locked="0" hidden="1"/>
    </xf>
    <xf numFmtId="0" fontId="26" fillId="3" borderId="9" xfId="0" applyFont="1" applyFill="1" applyBorder="1" applyAlignment="1" applyProtection="1">
      <alignment horizontal="left" vertical="center" wrapText="1"/>
      <protection locked="0" hidden="1"/>
    </xf>
    <xf numFmtId="167" fontId="26" fillId="3" borderId="9" xfId="0" applyNumberFormat="1" applyFont="1" applyFill="1" applyBorder="1" applyAlignment="1" applyProtection="1">
      <alignment horizontal="right" vertical="center" wrapText="1"/>
      <protection locked="0"/>
    </xf>
    <xf numFmtId="167" fontId="26" fillId="3" borderId="0" xfId="0" applyNumberFormat="1" applyFont="1" applyFill="1" applyAlignment="1" applyProtection="1">
      <alignment horizontal="right" vertical="center" wrapText="1"/>
      <protection locked="0"/>
    </xf>
    <xf numFmtId="168" fontId="26" fillId="3" borderId="0" xfId="2" applyNumberFormat="1" applyFont="1" applyFill="1" applyBorder="1" applyAlignment="1" applyProtection="1">
      <alignment horizontal="right" vertical="center" wrapText="1"/>
      <protection locked="0"/>
    </xf>
    <xf numFmtId="168" fontId="26" fillId="0" borderId="10" xfId="2" applyNumberFormat="1" applyFont="1" applyFill="1" applyBorder="1" applyAlignment="1" applyProtection="1">
      <alignment horizontal="right" vertical="center" wrapText="1"/>
      <protection locked="0"/>
    </xf>
    <xf numFmtId="184" fontId="25" fillId="0" borderId="10" xfId="0" applyNumberFormat="1" applyFont="1" applyBorder="1" applyAlignment="1" applyProtection="1">
      <alignment horizontal="right" vertical="center" wrapText="1"/>
      <protection locked="0"/>
    </xf>
    <xf numFmtId="184" fontId="25" fillId="3" borderId="0" xfId="0" applyNumberFormat="1" applyFont="1" applyFill="1" applyAlignment="1" applyProtection="1">
      <alignment horizontal="right" vertical="center" wrapText="1"/>
      <protection locked="0"/>
    </xf>
    <xf numFmtId="184" fontId="25" fillId="0" borderId="0" xfId="0" applyNumberFormat="1" applyFont="1" applyAlignment="1" applyProtection="1">
      <alignment horizontal="right" vertical="center" wrapText="1"/>
      <protection locked="0"/>
    </xf>
    <xf numFmtId="168" fontId="25" fillId="0" borderId="10" xfId="2" applyNumberFormat="1" applyFont="1" applyFill="1" applyBorder="1" applyAlignment="1" applyProtection="1">
      <alignment horizontal="right" vertical="center" wrapText="1"/>
      <protection locked="0"/>
    </xf>
    <xf numFmtId="165" fontId="9" fillId="0" borderId="0" xfId="1" applyNumberFormat="1" applyFont="1" applyFill="1" applyBorder="1" applyAlignment="1" applyProtection="1">
      <alignment horizontal="right"/>
      <protection locked="0"/>
    </xf>
    <xf numFmtId="0" fontId="27" fillId="0" borderId="0" xfId="0" applyFont="1" applyAlignment="1" applyProtection="1">
      <alignment horizontal="left" indent="5"/>
      <protection locked="0" hidden="1"/>
    </xf>
    <xf numFmtId="165" fontId="9" fillId="3" borderId="0" xfId="1" applyNumberFormat="1" applyFont="1" applyFill="1" applyAlignment="1" applyProtection="1">
      <alignment horizontal="right"/>
      <protection locked="0"/>
    </xf>
    <xf numFmtId="0" fontId="30" fillId="3" borderId="0" xfId="0" applyFont="1" applyFill="1" applyAlignment="1" applyProtection="1">
      <alignment horizontal="left" indent="5"/>
      <protection locked="0" hidden="1"/>
    </xf>
    <xf numFmtId="168" fontId="9" fillId="3" borderId="0" xfId="2" applyNumberFormat="1" applyFont="1" applyFill="1" applyBorder="1" applyAlignment="1" applyProtection="1">
      <alignment horizontal="right" wrapText="1"/>
      <protection locked="0"/>
    </xf>
    <xf numFmtId="0" fontId="54" fillId="0" borderId="9" xfId="11" applyNumberFormat="1" applyFont="1" applyFill="1" applyBorder="1" applyAlignment="1" applyProtection="1">
      <alignment horizontal="left" vertical="center" wrapText="1"/>
      <protection locked="0" hidden="1"/>
    </xf>
    <xf numFmtId="174" fontId="33" fillId="4" borderId="0" xfId="0" applyNumberFormat="1" applyFont="1" applyFill="1" applyAlignment="1" applyProtection="1">
      <alignment vertical="center"/>
      <protection locked="0" hidden="1"/>
    </xf>
    <xf numFmtId="174" fontId="31" fillId="7" borderId="0" xfId="0" applyNumberFormat="1" applyFont="1" applyFill="1" applyAlignment="1" applyProtection="1">
      <alignment vertical="center"/>
      <protection locked="0" hidden="1"/>
    </xf>
    <xf numFmtId="176" fontId="33" fillId="0" borderId="0" xfId="0" applyNumberFormat="1" applyFont="1" applyAlignment="1" applyProtection="1">
      <alignment horizontal="right" vertical="center"/>
      <protection locked="0" hidden="1"/>
    </xf>
    <xf numFmtId="0" fontId="27" fillId="0" borderId="0" xfId="0" applyFont="1" applyAlignment="1" applyProtection="1">
      <alignment horizontal="left" indent="2"/>
      <protection locked="0" hidden="1"/>
    </xf>
    <xf numFmtId="0" fontId="27" fillId="3" borderId="0" xfId="0" applyFont="1" applyFill="1" applyAlignment="1" applyProtection="1">
      <alignment horizontal="left" indent="2"/>
      <protection locked="0" hidden="1"/>
    </xf>
    <xf numFmtId="172" fontId="25" fillId="3" borderId="0" xfId="2" applyNumberFormat="1" applyFont="1" applyFill="1" applyBorder="1" applyAlignment="1" applyProtection="1">
      <alignment horizontal="right" vertical="center"/>
      <protection locked="0"/>
    </xf>
    <xf numFmtId="9" fontId="25" fillId="3" borderId="0" xfId="2" applyFont="1" applyFill="1" applyBorder="1" applyAlignment="1" applyProtection="1">
      <alignment horizontal="right" vertical="center"/>
      <protection locked="0"/>
    </xf>
    <xf numFmtId="0" fontId="25" fillId="3" borderId="0" xfId="0" applyFont="1" applyFill="1" applyAlignment="1" applyProtection="1">
      <alignment horizontal="left"/>
      <protection locked="0" hidden="1"/>
    </xf>
    <xf numFmtId="182" fontId="57" fillId="0" borderId="10" xfId="0" applyNumberFormat="1" applyFont="1" applyBorder="1" applyAlignment="1" applyProtection="1">
      <alignment horizontal="right" vertical="center"/>
      <protection locked="0"/>
    </xf>
    <xf numFmtId="172" fontId="9" fillId="0" borderId="9" xfId="1" applyNumberFormat="1" applyFont="1" applyFill="1" applyBorder="1" applyProtection="1">
      <protection locked="0"/>
    </xf>
    <xf numFmtId="168" fontId="9" fillId="0" borderId="9" xfId="2" applyNumberFormat="1" applyFont="1" applyFill="1" applyBorder="1" applyProtection="1">
      <protection locked="0"/>
    </xf>
    <xf numFmtId="182" fontId="9" fillId="0" borderId="9" xfId="2" applyNumberFormat="1" applyFont="1" applyFill="1" applyBorder="1" applyAlignment="1" applyProtection="1">
      <alignment horizontal="right"/>
      <protection locked="0"/>
    </xf>
    <xf numFmtId="172" fontId="25" fillId="0" borderId="0" xfId="0" applyNumberFormat="1" applyFont="1" applyAlignment="1" applyProtection="1">
      <alignment horizontal="right" vertical="center" wrapText="1"/>
      <protection locked="0"/>
    </xf>
    <xf numFmtId="168" fontId="9" fillId="3" borderId="0" xfId="2" applyNumberFormat="1" applyFont="1" applyFill="1" applyBorder="1" applyProtection="1">
      <protection locked="0"/>
    </xf>
    <xf numFmtId="172" fontId="25" fillId="3" borderId="9" xfId="0" applyNumberFormat="1" applyFont="1" applyFill="1" applyBorder="1" applyAlignment="1" applyProtection="1">
      <alignment horizontal="right" vertical="center" wrapText="1"/>
      <protection locked="0"/>
    </xf>
    <xf numFmtId="168" fontId="25" fillId="3" borderId="9" xfId="2" applyNumberFormat="1" applyFont="1" applyFill="1" applyBorder="1" applyAlignment="1" applyProtection="1">
      <alignment horizontal="right" vertical="center" wrapText="1"/>
      <protection locked="0"/>
    </xf>
    <xf numFmtId="172" fontId="25" fillId="3" borderId="9" xfId="1" applyNumberFormat="1" applyFont="1" applyFill="1" applyBorder="1" applyAlignment="1" applyProtection="1">
      <alignment vertical="center"/>
      <protection locked="0"/>
    </xf>
    <xf numFmtId="172" fontId="21" fillId="3" borderId="9" xfId="1" applyNumberFormat="1" applyFont="1" applyFill="1" applyBorder="1" applyAlignment="1" applyProtection="1">
      <alignment horizontal="right"/>
      <protection locked="0"/>
    </xf>
    <xf numFmtId="173" fontId="21" fillId="3" borderId="9" xfId="2" applyNumberFormat="1" applyFont="1" applyFill="1" applyBorder="1" applyAlignment="1" applyProtection="1">
      <alignment horizontal="right"/>
      <protection locked="0"/>
    </xf>
    <xf numFmtId="168" fontId="9" fillId="4" borderId="0" xfId="2" applyNumberFormat="1" applyFont="1" applyFill="1" applyAlignment="1" applyProtection="1">
      <alignment horizontal="right"/>
      <protection locked="0"/>
    </xf>
    <xf numFmtId="168" fontId="9" fillId="0" borderId="9" xfId="2" applyNumberFormat="1" applyFont="1" applyFill="1" applyBorder="1" applyAlignment="1" applyProtection="1">
      <alignment horizontal="right" vertical="center" wrapText="1"/>
      <protection locked="0"/>
    </xf>
    <xf numFmtId="177" fontId="25" fillId="3" borderId="0" xfId="2" applyNumberFormat="1" applyFont="1" applyFill="1" applyBorder="1" applyAlignment="1" applyProtection="1">
      <alignment vertical="center"/>
      <protection locked="0"/>
    </xf>
    <xf numFmtId="172" fontId="9" fillId="3" borderId="0" xfId="1" applyNumberFormat="1" applyFont="1" applyFill="1" applyBorder="1" applyAlignment="1" applyProtection="1">
      <alignment horizontal="right" vertical="center"/>
      <protection locked="0"/>
    </xf>
    <xf numFmtId="165" fontId="21" fillId="3" borderId="0" xfId="1" applyNumberFormat="1" applyFont="1" applyFill="1" applyBorder="1" applyAlignment="1" applyProtection="1">
      <alignment horizontal="left" vertical="center" wrapText="1"/>
      <protection locked="0" hidden="1"/>
    </xf>
    <xf numFmtId="180" fontId="25" fillId="3" borderId="0" xfId="2" applyNumberFormat="1" applyFont="1" applyFill="1" applyBorder="1" applyAlignment="1" applyProtection="1">
      <alignment horizontal="right" vertical="center"/>
      <protection locked="0"/>
    </xf>
    <xf numFmtId="177" fontId="9" fillId="0" borderId="0" xfId="2" applyNumberFormat="1" applyFont="1" applyFill="1" applyBorder="1" applyAlignment="1" applyProtection="1">
      <alignment horizontal="right" vertical="center"/>
      <protection locked="0"/>
    </xf>
    <xf numFmtId="168" fontId="26" fillId="3" borderId="10" xfId="2" applyNumberFormat="1" applyFont="1" applyFill="1" applyBorder="1" applyAlignment="1" applyProtection="1">
      <alignment horizontal="right" vertical="center" wrapText="1"/>
      <protection locked="0"/>
    </xf>
    <xf numFmtId="172" fontId="9" fillId="0" borderId="0" xfId="1" applyNumberFormat="1" applyFont="1" applyProtection="1">
      <protection locked="0"/>
    </xf>
    <xf numFmtId="168" fontId="21" fillId="0" borderId="0" xfId="2" applyNumberFormat="1" applyFont="1" applyFill="1" applyBorder="1" applyProtection="1">
      <protection locked="0"/>
    </xf>
    <xf numFmtId="9" fontId="21" fillId="0" borderId="0" xfId="2" applyFont="1" applyFill="1" applyBorder="1" applyProtection="1">
      <protection locked="0"/>
    </xf>
    <xf numFmtId="172" fontId="25" fillId="0" borderId="0" xfId="2" applyNumberFormat="1" applyFont="1" applyFill="1" applyBorder="1" applyAlignment="1" applyProtection="1">
      <alignment horizontal="right" vertical="center"/>
      <protection locked="0"/>
    </xf>
    <xf numFmtId="182" fontId="57" fillId="0" borderId="0" xfId="0" applyNumberFormat="1" applyFont="1" applyAlignment="1" applyProtection="1">
      <alignment horizontal="right" vertical="center"/>
      <protection locked="0"/>
    </xf>
    <xf numFmtId="165" fontId="25" fillId="0" borderId="0" xfId="1" applyNumberFormat="1" applyFont="1" applyFill="1" applyBorder="1" applyAlignment="1" applyProtection="1">
      <alignment horizontal="left" vertical="center" wrapText="1"/>
      <protection locked="0"/>
    </xf>
    <xf numFmtId="174" fontId="25" fillId="0" borderId="0" xfId="1" applyNumberFormat="1" applyFont="1" applyFill="1" applyBorder="1" applyAlignment="1" applyProtection="1">
      <alignment horizontal="right" vertical="center"/>
      <protection locked="0"/>
    </xf>
    <xf numFmtId="0" fontId="30" fillId="0" borderId="0" xfId="0" applyFont="1" applyAlignment="1" applyProtection="1">
      <alignment horizontal="left" vertical="center" wrapText="1" indent="3"/>
      <protection locked="0" hidden="1"/>
    </xf>
    <xf numFmtId="165" fontId="9" fillId="0" borderId="0" xfId="0" applyNumberFormat="1" applyFont="1" applyProtection="1">
      <protection locked="0"/>
    </xf>
    <xf numFmtId="165" fontId="26" fillId="3" borderId="9" xfId="1" applyNumberFormat="1" applyFont="1" applyFill="1" applyBorder="1" applyAlignment="1" applyProtection="1">
      <alignment horizontal="left" vertical="center" wrapText="1"/>
      <protection locked="0"/>
    </xf>
    <xf numFmtId="182" fontId="51" fillId="3" borderId="0" xfId="0" applyNumberFormat="1" applyFont="1" applyFill="1" applyAlignment="1" applyProtection="1">
      <alignment horizontal="right" vertical="center"/>
      <protection locked="0"/>
    </xf>
    <xf numFmtId="165" fontId="9" fillId="3" borderId="0" xfId="0" applyNumberFormat="1" applyFont="1" applyFill="1" applyProtection="1">
      <protection locked="0"/>
    </xf>
    <xf numFmtId="0" fontId="27" fillId="3" borderId="0" xfId="0" applyFont="1" applyFill="1" applyAlignment="1" applyProtection="1">
      <alignment horizontal="left" indent="5"/>
      <protection locked="0" hidden="1"/>
    </xf>
    <xf numFmtId="182" fontId="57" fillId="3" borderId="10" xfId="0" applyNumberFormat="1" applyFont="1" applyFill="1" applyBorder="1" applyAlignment="1" applyProtection="1">
      <alignment horizontal="right" vertical="center"/>
      <protection locked="0"/>
    </xf>
    <xf numFmtId="165" fontId="9" fillId="0" borderId="0" xfId="1" applyNumberFormat="1" applyFont="1" applyFill="1" applyAlignment="1" applyProtection="1">
      <alignment horizontal="right"/>
      <protection locked="0"/>
    </xf>
    <xf numFmtId="172" fontId="9" fillId="0" borderId="0" xfId="1" applyNumberFormat="1" applyFont="1" applyAlignment="1" applyProtection="1">
      <alignment horizontal="right"/>
      <protection locked="0"/>
    </xf>
    <xf numFmtId="172" fontId="21" fillId="0" borderId="9" xfId="1" applyNumberFormat="1" applyFont="1" applyFill="1" applyBorder="1" applyAlignment="1" applyProtection="1">
      <alignment horizontal="right"/>
      <protection locked="0"/>
    </xf>
    <xf numFmtId="0" fontId="27" fillId="3" borderId="0" xfId="0" applyFont="1" applyFill="1" applyAlignment="1" applyProtection="1">
      <alignment horizontal="left" indent="6"/>
      <protection locked="0" hidden="1"/>
    </xf>
    <xf numFmtId="0" fontId="9" fillId="3" borderId="9" xfId="0" applyFont="1" applyFill="1" applyBorder="1" applyAlignment="1" applyProtection="1">
      <alignment horizontal="left" indent="1"/>
      <protection locked="0" hidden="1"/>
    </xf>
    <xf numFmtId="172" fontId="9" fillId="3" borderId="9" xfId="0" applyNumberFormat="1" applyFont="1" applyFill="1" applyBorder="1" applyProtection="1">
      <protection locked="0"/>
    </xf>
    <xf numFmtId="1" fontId="47" fillId="0" borderId="0" xfId="1" applyNumberFormat="1" applyFont="1" applyFill="1" applyAlignment="1" applyProtection="1">
      <alignment horizontal="center" vertical="center"/>
      <protection locked="0" hidden="1"/>
    </xf>
    <xf numFmtId="170" fontId="9" fillId="3" borderId="0" xfId="1" applyNumberFormat="1" applyFont="1" applyFill="1" applyBorder="1" applyAlignment="1" applyProtection="1">
      <alignment horizontal="left" vertical="center" wrapText="1" indent="1"/>
      <protection locked="0" hidden="1"/>
    </xf>
    <xf numFmtId="170" fontId="9" fillId="3" borderId="0" xfId="1" applyNumberFormat="1" applyFont="1" applyFill="1" applyBorder="1" applyAlignment="1" applyProtection="1">
      <alignment horizontal="right" vertical="center" wrapText="1"/>
      <protection locked="0"/>
    </xf>
    <xf numFmtId="168" fontId="26" fillId="3" borderId="0" xfId="1" applyNumberFormat="1" applyFont="1" applyFill="1" applyBorder="1" applyAlignment="1" applyProtection="1">
      <alignment horizontal="right" vertical="center" wrapText="1"/>
      <protection locked="0"/>
    </xf>
    <xf numFmtId="0" fontId="10" fillId="9" borderId="0" xfId="11" applyFont="1" applyFill="1" applyBorder="1" applyAlignment="1" applyProtection="1">
      <alignment horizontal="left" vertical="center" wrapText="1"/>
      <protection locked="0" hidden="1"/>
    </xf>
    <xf numFmtId="0" fontId="10" fillId="9" borderId="0" xfId="11" applyFont="1" applyFill="1" applyBorder="1" applyAlignment="1" applyProtection="1">
      <alignment horizontal="left" wrapText="1"/>
      <protection locked="0" hidden="1"/>
    </xf>
    <xf numFmtId="0" fontId="10" fillId="9" borderId="0" xfId="11" applyFont="1" applyFill="1" applyBorder="1" applyAlignment="1" applyProtection="1">
      <alignment horizontal="center" vertical="center" wrapText="1"/>
      <protection locked="0" hidden="1"/>
    </xf>
    <xf numFmtId="0" fontId="12" fillId="9" borderId="0" xfId="11" applyFont="1" applyFill="1" applyBorder="1" applyAlignment="1" applyProtection="1">
      <alignment horizontal="left" vertical="center" wrapText="1"/>
      <protection locked="0" hidden="1"/>
    </xf>
    <xf numFmtId="0" fontId="10" fillId="9" borderId="0" xfId="0" applyFont="1" applyFill="1" applyProtection="1">
      <protection locked="0" hidden="1"/>
    </xf>
    <xf numFmtId="0" fontId="10" fillId="9" borderId="0" xfId="0" applyFont="1" applyFill="1" applyAlignment="1" applyProtection="1">
      <alignment horizontal="center"/>
      <protection locked="0" hidden="1"/>
    </xf>
    <xf numFmtId="0" fontId="15" fillId="9" borderId="0" xfId="0" applyFont="1" applyFill="1" applyAlignment="1" applyProtection="1">
      <alignment horizontal="left" vertical="center" indent="1"/>
      <protection locked="0" hidden="1"/>
    </xf>
    <xf numFmtId="0" fontId="9" fillId="9" borderId="0" xfId="0" applyFont="1" applyFill="1" applyProtection="1">
      <protection locked="0" hidden="1"/>
    </xf>
    <xf numFmtId="0" fontId="9" fillId="9" borderId="0" xfId="0" applyFont="1" applyFill="1" applyAlignment="1" applyProtection="1">
      <alignment horizontal="center"/>
      <protection locked="0" hidden="1"/>
    </xf>
    <xf numFmtId="0" fontId="18" fillId="9" borderId="0" xfId="0" applyFont="1" applyFill="1" applyAlignment="1" applyProtection="1">
      <alignment horizontal="left"/>
      <protection locked="0" hidden="1"/>
    </xf>
    <xf numFmtId="0" fontId="18" fillId="9" borderId="0" xfId="0" applyFont="1" applyFill="1" applyAlignment="1" applyProtection="1">
      <alignment horizontal="center"/>
      <protection locked="0" hidden="1"/>
    </xf>
    <xf numFmtId="0" fontId="20" fillId="9" borderId="0" xfId="0" applyFont="1" applyFill="1" applyAlignment="1" applyProtection="1">
      <alignment vertical="center"/>
      <protection locked="0" hidden="1"/>
    </xf>
    <xf numFmtId="0" fontId="20" fillId="9"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right"/>
      <protection locked="0" hidden="1"/>
    </xf>
    <xf numFmtId="0" fontId="14" fillId="9" borderId="0" xfId="0" applyFont="1" applyFill="1" applyAlignment="1" applyProtection="1">
      <alignment wrapText="1"/>
      <protection locked="0" hidden="1"/>
    </xf>
    <xf numFmtId="0" fontId="13" fillId="9" borderId="0" xfId="0" applyFont="1" applyFill="1" applyAlignment="1" applyProtection="1">
      <alignment horizontal="left" vertical="center" wrapText="1"/>
      <protection locked="0" hidden="1"/>
    </xf>
    <xf numFmtId="0" fontId="14" fillId="9" borderId="0" xfId="0" applyFont="1" applyFill="1" applyAlignment="1" applyProtection="1">
      <alignment horizontal="center" wrapText="1"/>
      <protection locked="0" hidden="1"/>
    </xf>
    <xf numFmtId="0" fontId="14" fillId="9" borderId="0" xfId="0" applyFont="1" applyFill="1" applyAlignment="1" applyProtection="1">
      <alignment horizontal="center" vertical="center" wrapText="1"/>
      <protection locked="0" hidden="1"/>
    </xf>
    <xf numFmtId="0" fontId="12" fillId="9" borderId="0" xfId="0" applyFont="1" applyFill="1" applyProtection="1">
      <protection locked="0" hidden="1"/>
    </xf>
    <xf numFmtId="0" fontId="53" fillId="8" borderId="20" xfId="0" applyFont="1" applyFill="1" applyBorder="1" applyAlignment="1" applyProtection="1">
      <alignment horizontal="center" vertical="center"/>
      <protection locked="0" hidden="1"/>
    </xf>
    <xf numFmtId="0" fontId="58" fillId="9" borderId="0" xfId="0" applyFont="1" applyFill="1" applyAlignment="1" applyProtection="1">
      <alignment horizontal="center" vertical="center"/>
      <protection locked="0" hidden="1"/>
    </xf>
    <xf numFmtId="0" fontId="17" fillId="3" borderId="0" xfId="0" applyFont="1" applyFill="1" applyProtection="1">
      <protection locked="0" hidden="1"/>
    </xf>
    <xf numFmtId="0" fontId="17" fillId="3"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center" vertical="center"/>
      <protection locked="0" hidden="1"/>
    </xf>
    <xf numFmtId="49" fontId="11" fillId="9" borderId="0" xfId="0" applyNumberFormat="1" applyFont="1" applyFill="1" applyAlignment="1" applyProtection="1">
      <alignment horizontal="left" vertical="center"/>
      <protection locked="0" hidden="1"/>
    </xf>
    <xf numFmtId="0" fontId="10" fillId="9" borderId="0" xfId="0" applyFont="1" applyFill="1" applyAlignment="1" applyProtection="1">
      <alignment vertical="center"/>
      <protection locked="0" hidden="1"/>
    </xf>
    <xf numFmtId="0" fontId="10" fillId="9"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right" vertical="center"/>
      <protection locked="0" hidden="1"/>
    </xf>
    <xf numFmtId="0" fontId="59" fillId="9" borderId="0" xfId="11" applyFont="1" applyFill="1" applyBorder="1" applyAlignment="1" applyProtection="1">
      <alignment vertical="center"/>
      <protection locked="0" hidden="1"/>
    </xf>
    <xf numFmtId="0" fontId="0" fillId="10" borderId="0" xfId="0" applyFill="1" applyAlignment="1">
      <alignment vertical="center"/>
    </xf>
    <xf numFmtId="0" fontId="9" fillId="9" borderId="0" xfId="0" applyFont="1" applyFill="1" applyAlignment="1" applyProtection="1">
      <alignment vertical="center"/>
      <protection locked="0" hidden="1"/>
    </xf>
    <xf numFmtId="0" fontId="9" fillId="9" borderId="0" xfId="0" applyFont="1" applyFill="1" applyAlignment="1" applyProtection="1">
      <alignment horizontal="right" vertical="center"/>
      <protection locked="0" hidden="1"/>
    </xf>
    <xf numFmtId="165" fontId="21" fillId="0" borderId="0" xfId="1" applyNumberFormat="1" applyFont="1" applyFill="1" applyBorder="1" applyAlignment="1" applyProtection="1">
      <alignment horizontal="left" vertical="center" wrapText="1"/>
      <protection locked="0" hidden="1"/>
    </xf>
    <xf numFmtId="168" fontId="26" fillId="3" borderId="9" xfId="2" applyNumberFormat="1" applyFont="1" applyFill="1" applyBorder="1" applyAlignment="1" applyProtection="1">
      <alignment horizontal="right"/>
      <protection locked="0"/>
    </xf>
    <xf numFmtId="0" fontId="30" fillId="3" borderId="0" xfId="0" applyFont="1" applyFill="1" applyAlignment="1" applyProtection="1">
      <alignment horizontal="left" vertical="center" wrapText="1" indent="3"/>
      <protection locked="0" hidden="1"/>
    </xf>
    <xf numFmtId="168" fontId="9" fillId="0" borderId="0" xfId="2" applyNumberFormat="1" applyFont="1" applyBorder="1" applyAlignment="1" applyProtection="1">
      <alignment horizontal="right"/>
      <protection locked="0"/>
    </xf>
    <xf numFmtId="174" fontId="9" fillId="0" borderId="0" xfId="1" applyNumberFormat="1" applyFont="1" applyFill="1" applyBorder="1" applyAlignment="1" applyProtection="1">
      <alignment horizontal="right"/>
      <protection locked="0"/>
    </xf>
    <xf numFmtId="182" fontId="9" fillId="3" borderId="10" xfId="2" applyNumberFormat="1" applyFont="1" applyFill="1" applyBorder="1" applyAlignment="1" applyProtection="1">
      <alignment horizontal="right" vertical="center" wrapText="1"/>
      <protection locked="0"/>
    </xf>
    <xf numFmtId="174" fontId="9" fillId="3" borderId="0" xfId="1" applyNumberFormat="1" applyFont="1" applyFill="1" applyBorder="1" applyAlignment="1" applyProtection="1">
      <alignment horizontal="right"/>
      <protection locked="0"/>
    </xf>
    <xf numFmtId="165" fontId="26" fillId="3" borderId="10" xfId="1" applyNumberFormat="1" applyFont="1" applyFill="1" applyBorder="1" applyAlignment="1" applyProtection="1">
      <alignment horizontal="left" vertical="center" wrapText="1"/>
      <protection locked="0" hidden="1"/>
    </xf>
    <xf numFmtId="168" fontId="26" fillId="3" borderId="10" xfId="2" applyNumberFormat="1" applyFont="1" applyFill="1" applyBorder="1" applyAlignment="1" applyProtection="1">
      <alignment horizontal="right"/>
      <protection locked="0"/>
    </xf>
    <xf numFmtId="0" fontId="44" fillId="0" borderId="0" xfId="0" applyFont="1" applyProtection="1">
      <protection locked="0"/>
    </xf>
    <xf numFmtId="43" fontId="33" fillId="0" borderId="0" xfId="1" applyFont="1" applyFill="1" applyBorder="1" applyAlignment="1" applyProtection="1">
      <alignment horizontal="left" vertical="center" indent="1"/>
      <protection locked="0"/>
    </xf>
    <xf numFmtId="172" fontId="32" fillId="0" borderId="6" xfId="1" applyNumberFormat="1" applyFont="1" applyFill="1" applyBorder="1" applyAlignment="1" applyProtection="1">
      <alignment horizontal="right" vertical="center"/>
      <protection locked="0" hidden="1"/>
    </xf>
    <xf numFmtId="172" fontId="16" fillId="5" borderId="6" xfId="1" applyNumberFormat="1" applyFont="1" applyFill="1" applyBorder="1" applyAlignment="1" applyProtection="1">
      <alignment horizontal="right" vertical="center"/>
      <protection locked="0" hidden="1"/>
    </xf>
    <xf numFmtId="172" fontId="31" fillId="5" borderId="0" xfId="0" applyNumberFormat="1" applyFont="1" applyFill="1" applyAlignment="1" applyProtection="1">
      <alignment vertical="center"/>
      <protection locked="0" hidden="1"/>
    </xf>
    <xf numFmtId="172" fontId="32" fillId="3" borderId="6" xfId="1" applyNumberFormat="1" applyFont="1" applyFill="1" applyBorder="1" applyAlignment="1" applyProtection="1">
      <alignment horizontal="right" vertical="center"/>
      <protection locked="0" hidden="1"/>
    </xf>
    <xf numFmtId="172" fontId="32" fillId="0" borderId="0" xfId="1" applyNumberFormat="1" applyFont="1" applyFill="1" applyBorder="1" applyAlignment="1" applyProtection="1">
      <alignment horizontal="right" vertical="center"/>
      <protection locked="0" hidden="1"/>
    </xf>
    <xf numFmtId="172" fontId="16" fillId="5" borderId="0" xfId="1" applyNumberFormat="1" applyFont="1" applyFill="1" applyBorder="1" applyAlignment="1" applyProtection="1">
      <alignment horizontal="right" vertical="center"/>
      <protection locked="0" hidden="1"/>
    </xf>
    <xf numFmtId="172" fontId="33" fillId="3" borderId="0" xfId="1" applyNumberFormat="1" applyFont="1" applyFill="1" applyAlignment="1" applyProtection="1">
      <alignment vertical="center"/>
      <protection locked="0" hidden="1"/>
    </xf>
    <xf numFmtId="0" fontId="17" fillId="9" borderId="21" xfId="0" applyFont="1" applyFill="1" applyBorder="1" applyAlignment="1" applyProtection="1">
      <alignment vertical="center"/>
      <protection locked="0" hidden="1"/>
    </xf>
    <xf numFmtId="0" fontId="10" fillId="9" borderId="10" xfId="0" applyFont="1" applyFill="1" applyBorder="1" applyProtection="1">
      <protection locked="0" hidden="1"/>
    </xf>
    <xf numFmtId="0" fontId="10" fillId="9" borderId="10" xfId="0" applyFont="1" applyFill="1" applyBorder="1" applyAlignment="1" applyProtection="1">
      <alignment horizontal="center"/>
      <protection locked="0" hidden="1"/>
    </xf>
    <xf numFmtId="0" fontId="10" fillId="9" borderId="22" xfId="0" applyFont="1" applyFill="1" applyBorder="1" applyProtection="1">
      <protection locked="0" hidden="1"/>
    </xf>
    <xf numFmtId="0" fontId="17" fillId="9" borderId="23" xfId="0" applyFont="1" applyFill="1" applyBorder="1" applyAlignment="1" applyProtection="1">
      <alignment vertical="center"/>
      <protection locked="0" hidden="1"/>
    </xf>
    <xf numFmtId="0" fontId="10" fillId="9" borderId="24" xfId="0" applyFont="1" applyFill="1" applyBorder="1" applyProtection="1">
      <protection locked="0" hidden="1"/>
    </xf>
    <xf numFmtId="0" fontId="17" fillId="9" borderId="24" xfId="0" applyFont="1" applyFill="1" applyBorder="1" applyAlignment="1" applyProtection="1">
      <alignment vertical="center"/>
      <protection locked="0" hidden="1"/>
    </xf>
    <xf numFmtId="0" fontId="10" fillId="9" borderId="24" xfId="11" applyFont="1" applyFill="1" applyBorder="1" applyAlignment="1" applyProtection="1">
      <alignment horizontal="left" vertical="center" wrapText="1"/>
      <protection locked="0" hidden="1"/>
    </xf>
    <xf numFmtId="0" fontId="10" fillId="9" borderId="0" xfId="0" applyFont="1" applyFill="1" applyAlignment="1">
      <alignment vertical="center"/>
    </xf>
    <xf numFmtId="0" fontId="9" fillId="9" borderId="24" xfId="0" applyFont="1" applyFill="1" applyBorder="1" applyProtection="1">
      <protection locked="0" hidden="1"/>
    </xf>
    <xf numFmtId="0" fontId="9" fillId="9" borderId="23" xfId="0" applyFont="1" applyFill="1" applyBorder="1" applyProtection="1">
      <protection locked="0" hidden="1"/>
    </xf>
    <xf numFmtId="0" fontId="9" fillId="9" borderId="25" xfId="0" applyFont="1" applyFill="1" applyBorder="1" applyProtection="1">
      <protection locked="0" hidden="1"/>
    </xf>
    <xf numFmtId="0" fontId="9" fillId="9" borderId="19" xfId="0" applyFont="1" applyFill="1" applyBorder="1" applyProtection="1">
      <protection locked="0" hidden="1"/>
    </xf>
    <xf numFmtId="49" fontId="11" fillId="9" borderId="19" xfId="0" applyNumberFormat="1" applyFont="1" applyFill="1" applyBorder="1" applyAlignment="1" applyProtection="1">
      <alignment horizontal="right" vertical="center"/>
      <protection locked="0" hidden="1"/>
    </xf>
    <xf numFmtId="0" fontId="10" fillId="9" borderId="19" xfId="0" applyFont="1" applyFill="1" applyBorder="1" applyAlignment="1">
      <alignment vertical="center"/>
    </xf>
    <xf numFmtId="0" fontId="9" fillId="9" borderId="19" xfId="0" applyFont="1" applyFill="1" applyBorder="1" applyAlignment="1" applyProtection="1">
      <alignment horizontal="center"/>
      <protection locked="0" hidden="1"/>
    </xf>
    <xf numFmtId="0" fontId="9" fillId="9" borderId="26" xfId="0" applyFont="1" applyFill="1" applyBorder="1" applyProtection="1">
      <protection locked="0" hidden="1"/>
    </xf>
    <xf numFmtId="168" fontId="9" fillId="3" borderId="9" xfId="0" applyNumberFormat="1" applyFont="1" applyFill="1" applyBorder="1" applyProtection="1">
      <protection locked="0"/>
    </xf>
    <xf numFmtId="182" fontId="26" fillId="3" borderId="9" xfId="2" applyNumberFormat="1" applyFont="1" applyFill="1" applyBorder="1" applyAlignment="1" applyProtection="1">
      <alignment horizontal="right" vertical="center"/>
      <protection locked="0"/>
    </xf>
    <xf numFmtId="178" fontId="9" fillId="3" borderId="0" xfId="2" applyNumberFormat="1" applyFont="1" applyFill="1" applyBorder="1" applyAlignment="1" applyProtection="1">
      <alignment horizontal="right" vertical="center"/>
      <protection locked="0"/>
    </xf>
    <xf numFmtId="0" fontId="27" fillId="0" borderId="0" xfId="0" applyFont="1" applyAlignment="1" applyProtection="1">
      <alignment horizontal="left" indent="6"/>
      <protection locked="0" hidden="1"/>
    </xf>
    <xf numFmtId="182" fontId="21" fillId="0" borderId="0" xfId="2" applyNumberFormat="1" applyFont="1" applyFill="1" applyBorder="1" applyAlignment="1" applyProtection="1">
      <alignment horizontal="right"/>
      <protection locked="0"/>
    </xf>
    <xf numFmtId="185" fontId="25" fillId="0" borderId="9" xfId="1" applyNumberFormat="1" applyFont="1" applyFill="1" applyBorder="1" applyAlignment="1" applyProtection="1">
      <alignment horizontal="right"/>
      <protection locked="0"/>
    </xf>
    <xf numFmtId="185" fontId="25" fillId="0" borderId="0" xfId="1" applyNumberFormat="1" applyFont="1" applyFill="1" applyBorder="1" applyAlignment="1" applyProtection="1">
      <alignment horizontal="right"/>
      <protection locked="0"/>
    </xf>
    <xf numFmtId="185" fontId="9" fillId="0" borderId="0" xfId="1" applyNumberFormat="1" applyFont="1" applyFill="1" applyBorder="1" applyAlignment="1" applyProtection="1">
      <alignment horizontal="right"/>
      <protection locked="0"/>
    </xf>
    <xf numFmtId="168" fontId="21" fillId="3" borderId="0" xfId="2" applyNumberFormat="1" applyFont="1" applyFill="1" applyBorder="1" applyAlignment="1" applyProtection="1">
      <alignment horizontal="right"/>
      <protection locked="0"/>
    </xf>
    <xf numFmtId="182" fontId="21" fillId="3" borderId="0" xfId="2" applyNumberFormat="1" applyFont="1" applyFill="1" applyBorder="1" applyAlignment="1" applyProtection="1">
      <alignment horizontal="right"/>
      <protection locked="0"/>
    </xf>
    <xf numFmtId="185" fontId="25" fillId="3" borderId="0" xfId="1" applyNumberFormat="1" applyFont="1" applyFill="1" applyBorder="1" applyAlignment="1" applyProtection="1">
      <alignment horizontal="right"/>
      <protection locked="0"/>
    </xf>
    <xf numFmtId="185" fontId="9" fillId="3" borderId="0" xfId="1" applyNumberFormat="1" applyFont="1" applyFill="1" applyAlignment="1" applyProtection="1">
      <alignment horizontal="right"/>
      <protection locked="0"/>
    </xf>
    <xf numFmtId="182" fontId="9" fillId="3" borderId="9" xfId="2" applyNumberFormat="1" applyFont="1" applyFill="1" applyBorder="1" applyAlignment="1" applyProtection="1">
      <alignment horizontal="right"/>
      <protection locked="0"/>
    </xf>
    <xf numFmtId="0" fontId="25" fillId="3" borderId="9" xfId="0" applyFont="1" applyFill="1" applyBorder="1" applyAlignment="1" applyProtection="1">
      <alignment horizontal="left" indent="2"/>
      <protection locked="0" hidden="1"/>
    </xf>
    <xf numFmtId="172" fontId="25" fillId="3" borderId="4" xfId="1" applyNumberFormat="1" applyFont="1" applyFill="1" applyBorder="1" applyAlignment="1" applyProtection="1">
      <alignment horizontal="right"/>
      <protection locked="0"/>
    </xf>
    <xf numFmtId="165" fontId="21" fillId="0" borderId="0" xfId="1" applyNumberFormat="1" applyFont="1" applyAlignment="1" applyProtection="1">
      <alignment horizontal="right" vertical="center"/>
      <protection locked="0"/>
    </xf>
    <xf numFmtId="165" fontId="26" fillId="0" borderId="0" xfId="1" applyNumberFormat="1" applyFont="1" applyAlignment="1" applyProtection="1">
      <alignment vertical="center" wrapText="1"/>
      <protection locked="0"/>
    </xf>
    <xf numFmtId="170" fontId="9" fillId="0" borderId="0" xfId="1" applyNumberFormat="1" applyFont="1" applyAlignment="1" applyProtection="1">
      <alignment horizontal="right" vertical="center" wrapText="1"/>
      <protection locked="0"/>
    </xf>
    <xf numFmtId="170" fontId="9" fillId="0" borderId="0" xfId="1" applyNumberFormat="1" applyFont="1" applyAlignment="1" applyProtection="1">
      <alignment horizontal="right" wrapText="1"/>
      <protection locked="0"/>
    </xf>
    <xf numFmtId="172" fontId="9" fillId="0" borderId="0" xfId="1" applyNumberFormat="1" applyFont="1" applyAlignment="1" applyProtection="1">
      <alignment horizontal="right" wrapText="1"/>
      <protection locked="0"/>
    </xf>
    <xf numFmtId="165" fontId="9" fillId="4" borderId="0" xfId="1" applyNumberFormat="1" applyFont="1" applyFill="1" applyAlignment="1" applyProtection="1">
      <alignment horizontal="right" vertical="center" wrapText="1"/>
      <protection locked="0"/>
    </xf>
    <xf numFmtId="173" fontId="9" fillId="0" borderId="0" xfId="2" applyNumberFormat="1" applyFont="1" applyAlignment="1" applyProtection="1">
      <alignment horizontal="right" wrapText="1"/>
      <protection locked="0"/>
    </xf>
    <xf numFmtId="172" fontId="9" fillId="0" borderId="10" xfId="1" applyNumberFormat="1" applyFont="1" applyBorder="1" applyAlignment="1" applyProtection="1">
      <alignment horizontal="right" wrapText="1"/>
      <protection locked="0"/>
    </xf>
    <xf numFmtId="165" fontId="35" fillId="0" borderId="0" xfId="1" applyNumberFormat="1" applyFont="1" applyAlignment="1" applyProtection="1">
      <alignment horizontal="center" vertical="center"/>
      <protection locked="0" hidden="1"/>
    </xf>
    <xf numFmtId="9" fontId="9" fillId="0" borderId="0" xfId="2" applyFont="1" applyAlignment="1" applyProtection="1">
      <alignment horizontal="right"/>
      <protection locked="0"/>
    </xf>
    <xf numFmtId="166" fontId="21" fillId="0" borderId="9" xfId="0" applyNumberFormat="1" applyFont="1" applyBorder="1" applyProtection="1">
      <protection locked="0"/>
    </xf>
    <xf numFmtId="168" fontId="21" fillId="0" borderId="9" xfId="0" applyNumberFormat="1" applyFont="1" applyBorder="1" applyProtection="1">
      <protection locked="0"/>
    </xf>
    <xf numFmtId="0" fontId="25" fillId="0" borderId="0" xfId="0" applyFont="1" applyAlignment="1" applyProtection="1">
      <alignment horizontal="left"/>
      <protection locked="0" hidden="1"/>
    </xf>
    <xf numFmtId="0" fontId="0" fillId="11" borderId="0" xfId="0" applyFill="1" applyAlignment="1">
      <alignment vertical="center"/>
    </xf>
    <xf numFmtId="0" fontId="30" fillId="0" borderId="0" xfId="0" applyFont="1" applyAlignment="1" applyProtection="1">
      <alignment horizontal="left" vertical="center" wrapText="1" indent="6"/>
      <protection locked="0" hidden="1"/>
    </xf>
    <xf numFmtId="0" fontId="30" fillId="3" borderId="0" xfId="0" applyFont="1" applyFill="1" applyAlignment="1" applyProtection="1">
      <alignment horizontal="left" vertical="center" wrapText="1" indent="6"/>
      <protection locked="0" hidden="1"/>
    </xf>
    <xf numFmtId="186" fontId="21" fillId="3" borderId="10" xfId="0" applyNumberFormat="1" applyFont="1" applyFill="1" applyBorder="1" applyAlignment="1" applyProtection="1">
      <alignment horizontal="right"/>
      <protection locked="0"/>
    </xf>
    <xf numFmtId="168" fontId="9" fillId="3" borderId="10" xfId="2" applyNumberFormat="1" applyFont="1" applyFill="1" applyBorder="1" applyAlignment="1" applyProtection="1">
      <alignment horizontal="right"/>
      <protection locked="0"/>
    </xf>
    <xf numFmtId="168" fontId="9" fillId="0" borderId="10" xfId="2" applyNumberFormat="1" applyFont="1" applyFill="1" applyBorder="1" applyAlignment="1" applyProtection="1">
      <alignment horizontal="right"/>
      <protection locked="0"/>
    </xf>
    <xf numFmtId="186" fontId="21" fillId="0" borderId="10" xfId="0" applyNumberFormat="1" applyFont="1" applyBorder="1" applyAlignment="1" applyProtection="1">
      <alignment horizontal="right"/>
      <protection locked="0"/>
    </xf>
    <xf numFmtId="187" fontId="21" fillId="3" borderId="0" xfId="0" applyNumberFormat="1" applyFont="1" applyFill="1" applyAlignment="1" applyProtection="1">
      <alignment horizontal="right"/>
      <protection locked="0"/>
    </xf>
    <xf numFmtId="172" fontId="9" fillId="0" borderId="9" xfId="1" applyNumberFormat="1" applyFont="1" applyFill="1" applyBorder="1" applyAlignment="1" applyProtection="1">
      <alignment horizontal="right"/>
      <protection locked="0"/>
    </xf>
    <xf numFmtId="168" fontId="9" fillId="0" borderId="9" xfId="2" applyNumberFormat="1" applyFont="1" applyFill="1" applyBorder="1" applyAlignment="1" applyProtection="1">
      <alignment horizontal="right"/>
      <protection locked="0"/>
    </xf>
    <xf numFmtId="0" fontId="21" fillId="0" borderId="0" xfId="0" applyFont="1" applyAlignment="1" applyProtection="1">
      <alignment horizontal="left" indent="1"/>
      <protection locked="0" hidden="1"/>
    </xf>
    <xf numFmtId="172" fontId="21" fillId="3" borderId="0" xfId="1" applyNumberFormat="1" applyFont="1" applyFill="1" applyBorder="1" applyAlignment="1" applyProtection="1">
      <alignment horizontal="right"/>
      <protection locked="0"/>
    </xf>
    <xf numFmtId="0" fontId="25" fillId="2" borderId="0" xfId="0" applyFont="1" applyFill="1" applyAlignment="1" applyProtection="1">
      <alignment horizontal="left" indent="1"/>
      <protection locked="0" hidden="1"/>
    </xf>
    <xf numFmtId="174" fontId="9" fillId="2" borderId="0" xfId="1" applyNumberFormat="1" applyFont="1" applyFill="1" applyBorder="1" applyAlignment="1" applyProtection="1">
      <alignment horizontal="right"/>
      <protection locked="0"/>
    </xf>
    <xf numFmtId="168" fontId="9" fillId="2" borderId="0" xfId="2" applyNumberFormat="1" applyFont="1" applyFill="1" applyBorder="1" applyAlignment="1" applyProtection="1">
      <alignment horizontal="right"/>
      <protection locked="0"/>
    </xf>
    <xf numFmtId="182" fontId="9" fillId="2" borderId="0" xfId="2" applyNumberFormat="1" applyFont="1" applyFill="1" applyBorder="1" applyAlignment="1" applyProtection="1">
      <alignment horizontal="right" vertical="center" wrapText="1"/>
      <protection locked="0"/>
    </xf>
    <xf numFmtId="168" fontId="9" fillId="2" borderId="0" xfId="2" applyNumberFormat="1" applyFont="1" applyFill="1" applyBorder="1" applyAlignment="1" applyProtection="1">
      <alignment horizontal="right" vertical="center" wrapText="1"/>
      <protection locked="0"/>
    </xf>
    <xf numFmtId="172" fontId="26" fillId="3" borderId="9" xfId="1" applyNumberFormat="1" applyFont="1" applyFill="1" applyBorder="1" applyAlignment="1" applyProtection="1">
      <alignment horizontal="right"/>
      <protection locked="0"/>
    </xf>
    <xf numFmtId="0" fontId="26" fillId="3" borderId="9" xfId="0" applyFont="1" applyFill="1" applyBorder="1" applyAlignment="1" applyProtection="1">
      <alignment horizontal="left" indent="1"/>
      <protection locked="0" hidden="1"/>
    </xf>
    <xf numFmtId="171" fontId="9" fillId="0" borderId="0" xfId="0" applyNumberFormat="1" applyFont="1" applyProtection="1">
      <protection locked="0"/>
    </xf>
    <xf numFmtId="0" fontId="25" fillId="2" borderId="0" xfId="0" applyFont="1" applyFill="1" applyAlignment="1" applyProtection="1">
      <alignment horizontal="left" vertical="center" indent="1"/>
      <protection locked="0" hidden="1"/>
    </xf>
    <xf numFmtId="0" fontId="27" fillId="2" borderId="0" xfId="0" applyFont="1" applyFill="1" applyAlignment="1" applyProtection="1">
      <alignment horizontal="left" vertical="center" indent="2"/>
      <protection locked="0" hidden="1"/>
    </xf>
    <xf numFmtId="1" fontId="25" fillId="3" borderId="0" xfId="2" applyNumberFormat="1" applyFont="1" applyFill="1" applyBorder="1" applyAlignment="1" applyProtection="1">
      <alignment horizontal="right" vertical="center"/>
      <protection locked="0"/>
    </xf>
    <xf numFmtId="43" fontId="25" fillId="3" borderId="0" xfId="1" applyFont="1" applyFill="1" applyBorder="1" applyAlignment="1" applyProtection="1">
      <alignment horizontal="right"/>
      <protection locked="0"/>
    </xf>
    <xf numFmtId="0" fontId="25" fillId="2" borderId="0" xfId="0" applyFont="1" applyFill="1" applyAlignment="1" applyProtection="1">
      <alignment vertical="center"/>
      <protection locked="0"/>
    </xf>
    <xf numFmtId="172" fontId="25" fillId="2" borderId="0" xfId="1" applyNumberFormat="1" applyFont="1" applyFill="1" applyBorder="1" applyAlignment="1" applyProtection="1">
      <alignment horizontal="right" vertical="center"/>
      <protection locked="0"/>
    </xf>
    <xf numFmtId="180" fontId="25" fillId="2" borderId="0" xfId="2" applyNumberFormat="1" applyFont="1" applyFill="1" applyBorder="1" applyAlignment="1" applyProtection="1">
      <alignment vertical="center"/>
      <protection locked="0"/>
    </xf>
    <xf numFmtId="0" fontId="9" fillId="2" borderId="0" xfId="0" applyFont="1" applyFill="1" applyAlignment="1" applyProtection="1">
      <alignment horizontal="right" vertical="center"/>
      <protection locked="0"/>
    </xf>
    <xf numFmtId="0" fontId="9" fillId="2" borderId="0" xfId="0" applyFont="1" applyFill="1" applyAlignment="1" applyProtection="1">
      <alignment vertical="center"/>
      <protection locked="0"/>
    </xf>
    <xf numFmtId="172" fontId="26" fillId="2" borderId="0" xfId="1" applyNumberFormat="1"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9" fillId="2" borderId="9" xfId="0" applyFont="1" applyFill="1" applyBorder="1" applyAlignment="1" applyProtection="1">
      <alignment horizontal="left" vertical="center" indent="1"/>
      <protection locked="0" hidden="1"/>
    </xf>
    <xf numFmtId="174" fontId="25" fillId="2" borderId="9" xfId="1" applyNumberFormat="1" applyFont="1" applyFill="1" applyBorder="1" applyAlignment="1" applyProtection="1">
      <alignment vertical="center"/>
      <protection locked="0"/>
    </xf>
    <xf numFmtId="174" fontId="25" fillId="2" borderId="0" xfId="1" applyNumberFormat="1" applyFont="1" applyFill="1" applyBorder="1" applyAlignment="1" applyProtection="1">
      <alignment vertical="center"/>
      <protection locked="0"/>
    </xf>
    <xf numFmtId="180" fontId="25" fillId="2" borderId="9" xfId="2" applyNumberFormat="1" applyFont="1" applyFill="1" applyBorder="1" applyAlignment="1" applyProtection="1">
      <alignment vertical="center"/>
      <protection locked="0"/>
    </xf>
    <xf numFmtId="180" fontId="25" fillId="2" borderId="9" xfId="2" applyNumberFormat="1" applyFont="1" applyFill="1" applyBorder="1" applyAlignment="1" applyProtection="1">
      <alignment horizontal="right" vertical="center"/>
      <protection locked="0"/>
    </xf>
    <xf numFmtId="180" fontId="25" fillId="2" borderId="0" xfId="2" applyNumberFormat="1" applyFont="1" applyFill="1" applyBorder="1" applyAlignment="1" applyProtection="1">
      <alignment horizontal="right" vertical="center"/>
      <protection locked="0"/>
    </xf>
    <xf numFmtId="43" fontId="9" fillId="2" borderId="0" xfId="2" applyNumberFormat="1" applyFont="1" applyFill="1" applyBorder="1" applyAlignment="1" applyProtection="1">
      <alignment vertical="center"/>
      <protection locked="0"/>
    </xf>
    <xf numFmtId="172" fontId="25" fillId="2" borderId="0" xfId="1" applyNumberFormat="1" applyFont="1" applyFill="1" applyBorder="1" applyAlignment="1" applyProtection="1">
      <alignment vertical="center"/>
      <protection locked="0"/>
    </xf>
    <xf numFmtId="172" fontId="21" fillId="2" borderId="0" xfId="1" applyNumberFormat="1" applyFont="1" applyFill="1" applyBorder="1" applyAlignment="1" applyProtection="1">
      <alignment horizontal="right" vertical="center"/>
      <protection locked="0"/>
    </xf>
    <xf numFmtId="0" fontId="27" fillId="2" borderId="0" xfId="0" applyFont="1" applyFill="1" applyAlignment="1" applyProtection="1">
      <alignment horizontal="left" vertical="center" indent="3"/>
      <protection locked="0" hidden="1"/>
    </xf>
    <xf numFmtId="0" fontId="60" fillId="0" borderId="0" xfId="0" applyFont="1" applyAlignment="1">
      <alignment vertical="center"/>
    </xf>
    <xf numFmtId="174" fontId="9" fillId="0" borderId="0" xfId="1" applyNumberFormat="1" applyFont="1" applyFill="1" applyBorder="1" applyProtection="1">
      <protection locked="0"/>
    </xf>
    <xf numFmtId="182" fontId="51" fillId="2" borderId="0" xfId="0" applyNumberFormat="1" applyFont="1" applyFill="1" applyAlignment="1" applyProtection="1">
      <alignment horizontal="right" vertical="center"/>
      <protection locked="0"/>
    </xf>
    <xf numFmtId="172" fontId="45" fillId="2" borderId="0" xfId="1" applyNumberFormat="1" applyFont="1" applyFill="1" applyBorder="1" applyAlignment="1" applyProtection="1">
      <alignment horizontal="right"/>
      <protection locked="0"/>
    </xf>
    <xf numFmtId="172" fontId="25" fillId="2" borderId="0" xfId="1" applyNumberFormat="1" applyFont="1" applyFill="1" applyBorder="1" applyAlignment="1" applyProtection="1">
      <alignment horizontal="right"/>
      <protection locked="0"/>
    </xf>
    <xf numFmtId="168" fontId="26" fillId="2" borderId="0" xfId="2" applyNumberFormat="1" applyFont="1" applyFill="1" applyBorder="1" applyAlignment="1" applyProtection="1">
      <alignment horizontal="right"/>
      <protection locked="0"/>
    </xf>
    <xf numFmtId="0" fontId="4" fillId="2" borderId="0" xfId="0" applyFont="1" applyFill="1" applyAlignment="1" applyProtection="1">
      <alignment horizontal="right"/>
      <protection locked="0"/>
    </xf>
    <xf numFmtId="172" fontId="21" fillId="2" borderId="0" xfId="1" applyNumberFormat="1" applyFont="1" applyFill="1" applyBorder="1" applyAlignment="1" applyProtection="1">
      <alignment horizontal="right"/>
      <protection locked="0"/>
    </xf>
    <xf numFmtId="172" fontId="9" fillId="2" borderId="0" xfId="1" applyNumberFormat="1" applyFont="1" applyFill="1" applyBorder="1" applyAlignment="1" applyProtection="1">
      <alignment horizontal="right"/>
      <protection locked="0"/>
    </xf>
    <xf numFmtId="168" fontId="21" fillId="2" borderId="0" xfId="2" applyNumberFormat="1" applyFont="1" applyFill="1" applyBorder="1" applyAlignment="1" applyProtection="1">
      <alignment horizontal="right"/>
      <protection locked="0"/>
    </xf>
    <xf numFmtId="0" fontId="9" fillId="3" borderId="19" xfId="0" applyFont="1" applyFill="1" applyBorder="1" applyAlignment="1" applyProtection="1">
      <alignment horizontal="left" indent="1"/>
      <protection locked="0" hidden="1"/>
    </xf>
    <xf numFmtId="172" fontId="9" fillId="3" borderId="19" xfId="1" applyNumberFormat="1" applyFont="1" applyFill="1" applyBorder="1" applyAlignment="1" applyProtection="1">
      <alignment horizontal="right"/>
      <protection locked="0"/>
    </xf>
    <xf numFmtId="168" fontId="21" fillId="0" borderId="27" xfId="2" applyNumberFormat="1" applyFont="1" applyFill="1" applyBorder="1" applyAlignment="1" applyProtection="1">
      <alignment horizontal="right"/>
      <protection locked="0"/>
    </xf>
    <xf numFmtId="187" fontId="21" fillId="0" borderId="27" xfId="0" applyNumberFormat="1" applyFont="1" applyBorder="1" applyAlignment="1" applyProtection="1">
      <alignment horizontal="right"/>
      <protection locked="0"/>
    </xf>
    <xf numFmtId="0" fontId="9" fillId="2" borderId="0" xfId="0" applyFont="1" applyFill="1" applyProtection="1">
      <protection locked="0"/>
    </xf>
    <xf numFmtId="0" fontId="27" fillId="2" borderId="0" xfId="0" applyFont="1" applyFill="1" applyAlignment="1" applyProtection="1">
      <alignment horizontal="left" vertical="center" indent="7"/>
      <protection locked="0" hidden="1"/>
    </xf>
    <xf numFmtId="172" fontId="9" fillId="2" borderId="0" xfId="1" applyNumberFormat="1" applyFont="1" applyFill="1" applyBorder="1" applyProtection="1">
      <protection locked="0"/>
    </xf>
    <xf numFmtId="172" fontId="25" fillId="2" borderId="0" xfId="1" applyNumberFormat="1" applyFont="1" applyFill="1" applyAlignment="1" applyProtection="1">
      <alignment horizontal="right" vertical="center"/>
      <protection locked="0"/>
    </xf>
    <xf numFmtId="0" fontId="27" fillId="2" borderId="0" xfId="0" applyFont="1" applyFill="1" applyAlignment="1" applyProtection="1">
      <alignment horizontal="left" vertical="center" indent="9"/>
      <protection locked="0" hidden="1"/>
    </xf>
    <xf numFmtId="172" fontId="9" fillId="2" borderId="0" xfId="1" applyNumberFormat="1" applyFont="1" applyFill="1" applyBorder="1" applyAlignment="1" applyProtection="1">
      <alignment horizontal="center"/>
      <protection locked="0"/>
    </xf>
    <xf numFmtId="168" fontId="9" fillId="3" borderId="19" xfId="2" applyNumberFormat="1" applyFont="1" applyFill="1" applyBorder="1" applyAlignment="1" applyProtection="1">
      <alignment horizontal="right"/>
      <protection locked="0"/>
    </xf>
    <xf numFmtId="0" fontId="26" fillId="2" borderId="9" xfId="0" applyFont="1" applyFill="1" applyBorder="1" applyAlignment="1" applyProtection="1">
      <alignment horizontal="left" vertical="center" wrapText="1"/>
      <protection locked="0" hidden="1"/>
    </xf>
    <xf numFmtId="167" fontId="26" fillId="2" borderId="9" xfId="0" applyNumberFormat="1" applyFont="1" applyFill="1" applyBorder="1" applyAlignment="1" applyProtection="1">
      <alignment horizontal="right" vertical="center" wrapText="1"/>
      <protection locked="0"/>
    </xf>
    <xf numFmtId="167" fontId="26" fillId="2" borderId="0" xfId="0" applyNumberFormat="1" applyFont="1" applyFill="1" applyAlignment="1" applyProtection="1">
      <alignment horizontal="right" vertical="center" wrapText="1"/>
      <protection locked="0"/>
    </xf>
    <xf numFmtId="168" fontId="26" fillId="2" borderId="0" xfId="2" applyNumberFormat="1" applyFont="1" applyFill="1" applyBorder="1" applyAlignment="1" applyProtection="1">
      <alignment horizontal="right" vertical="center" wrapText="1"/>
      <protection locked="0"/>
    </xf>
    <xf numFmtId="173" fontId="61" fillId="0" borderId="0" xfId="2" applyNumberFormat="1" applyFont="1" applyFill="1" applyBorder="1" applyAlignment="1" applyProtection="1">
      <alignment horizontal="right" vertical="center"/>
      <protection locked="0"/>
    </xf>
    <xf numFmtId="174" fontId="9" fillId="0" borderId="0" xfId="0" applyNumberFormat="1" applyFont="1" applyAlignment="1" applyProtection="1">
      <alignment horizontal="right" vertical="center"/>
      <protection locked="0"/>
    </xf>
    <xf numFmtId="169" fontId="21" fillId="0" borderId="0" xfId="1" applyNumberFormat="1" applyFont="1" applyFill="1" applyBorder="1" applyAlignment="1" applyProtection="1">
      <alignment horizontal="right" vertical="center"/>
      <protection locked="0"/>
    </xf>
    <xf numFmtId="0" fontId="26" fillId="3" borderId="27" xfId="0" applyFont="1" applyFill="1" applyBorder="1" applyAlignment="1" applyProtection="1">
      <alignment horizontal="left" indent="1"/>
      <protection locked="0" hidden="1"/>
    </xf>
    <xf numFmtId="168" fontId="26" fillId="3" borderId="27" xfId="2" applyNumberFormat="1" applyFont="1" applyFill="1" applyBorder="1" applyAlignment="1" applyProtection="1">
      <alignment horizontal="right"/>
      <protection locked="0"/>
    </xf>
    <xf numFmtId="172" fontId="25" fillId="0" borderId="28" xfId="1" applyNumberFormat="1" applyFont="1" applyFill="1" applyBorder="1" applyAlignment="1" applyProtection="1">
      <alignment horizontal="right"/>
      <protection locked="0"/>
    </xf>
    <xf numFmtId="168" fontId="9" fillId="0" borderId="28" xfId="2" applyNumberFormat="1" applyFont="1" applyBorder="1" applyAlignment="1" applyProtection="1">
      <alignment horizontal="right"/>
      <protection locked="0"/>
    </xf>
    <xf numFmtId="0" fontId="9" fillId="4" borderId="9" xfId="0" applyFont="1" applyFill="1" applyBorder="1" applyAlignment="1" applyProtection="1">
      <alignment horizontal="left" vertical="center" indent="1"/>
      <protection locked="0" hidden="1"/>
    </xf>
    <xf numFmtId="168" fontId="25" fillId="4" borderId="9" xfId="2" applyNumberFormat="1" applyFont="1" applyFill="1" applyBorder="1" applyAlignment="1" applyProtection="1">
      <alignment vertical="center"/>
      <protection locked="0"/>
    </xf>
    <xf numFmtId="179" fontId="25" fillId="4" borderId="9" xfId="2" applyNumberFormat="1" applyFont="1" applyFill="1" applyBorder="1" applyAlignment="1" applyProtection="1">
      <alignment vertical="center"/>
      <protection locked="0"/>
    </xf>
    <xf numFmtId="179" fontId="25" fillId="4" borderId="9" xfId="2" applyNumberFormat="1" applyFont="1" applyFill="1" applyBorder="1" applyAlignment="1" applyProtection="1">
      <alignment horizontal="right" vertical="center"/>
      <protection locked="0"/>
    </xf>
    <xf numFmtId="0" fontId="9" fillId="0" borderId="0" xfId="0" applyFont="1" applyAlignment="1" applyProtection="1">
      <alignment horizontal="left" vertical="center" indent="1"/>
      <protection locked="0" hidden="1"/>
    </xf>
    <xf numFmtId="179" fontId="25" fillId="0" borderId="0" xfId="2" applyNumberFormat="1" applyFont="1" applyFill="1" applyBorder="1" applyAlignment="1" applyProtection="1">
      <alignment vertical="center"/>
      <protection locked="0"/>
    </xf>
    <xf numFmtId="179" fontId="25" fillId="0" borderId="0" xfId="2" applyNumberFormat="1" applyFont="1" applyFill="1" applyBorder="1" applyAlignment="1" applyProtection="1">
      <alignment horizontal="right" vertical="center"/>
      <protection locked="0"/>
    </xf>
    <xf numFmtId="0" fontId="25" fillId="0" borderId="0" xfId="0" applyFont="1" applyAlignment="1" applyProtection="1">
      <alignment horizontal="left" vertical="center" indent="5"/>
      <protection locked="0" hidden="1"/>
    </xf>
    <xf numFmtId="177" fontId="25" fillId="0" borderId="0" xfId="2" applyNumberFormat="1" applyFont="1" applyFill="1" applyBorder="1" applyAlignment="1" applyProtection="1">
      <alignment vertical="center"/>
      <protection locked="0"/>
    </xf>
    <xf numFmtId="177" fontId="25" fillId="0" borderId="0" xfId="2" applyNumberFormat="1" applyFont="1" applyFill="1" applyBorder="1" applyAlignment="1" applyProtection="1">
      <alignment horizontal="right" vertical="center"/>
      <protection locked="0"/>
    </xf>
    <xf numFmtId="168" fontId="25" fillId="0" borderId="9" xfId="2" applyNumberFormat="1" applyFont="1" applyFill="1" applyBorder="1" applyAlignment="1" applyProtection="1">
      <alignment vertical="center"/>
      <protection locked="0"/>
    </xf>
    <xf numFmtId="179" fontId="25" fillId="0" borderId="10" xfId="2" applyNumberFormat="1" applyFont="1" applyFill="1" applyBorder="1" applyAlignment="1" applyProtection="1">
      <alignment vertical="center"/>
      <protection locked="0"/>
    </xf>
    <xf numFmtId="179" fontId="25" fillId="0" borderId="10" xfId="2" applyNumberFormat="1" applyFont="1" applyFill="1" applyBorder="1" applyAlignment="1" applyProtection="1">
      <alignment horizontal="right" vertical="center"/>
      <protection locked="0"/>
    </xf>
    <xf numFmtId="0" fontId="25" fillId="4" borderId="0" xfId="0" applyFont="1" applyFill="1" applyAlignment="1" applyProtection="1">
      <alignment horizontal="left" vertical="center" indent="1"/>
      <protection locked="0" hidden="1"/>
    </xf>
    <xf numFmtId="179" fontId="25" fillId="4" borderId="0" xfId="2" applyNumberFormat="1" applyFont="1" applyFill="1" applyBorder="1" applyAlignment="1" applyProtection="1">
      <alignment vertical="center"/>
      <protection locked="0"/>
    </xf>
    <xf numFmtId="179" fontId="25" fillId="4" borderId="0" xfId="2" applyNumberFormat="1" applyFont="1" applyFill="1" applyBorder="1" applyAlignment="1" applyProtection="1">
      <alignment horizontal="right" vertical="center"/>
      <protection locked="0"/>
    </xf>
    <xf numFmtId="0" fontId="26" fillId="4" borderId="0" xfId="0" applyFont="1" applyFill="1" applyAlignment="1" applyProtection="1">
      <alignment horizontal="left" vertical="center"/>
      <protection locked="0" hidden="1"/>
    </xf>
    <xf numFmtId="0" fontId="9" fillId="4" borderId="0" xfId="0" applyFont="1" applyFill="1" applyAlignment="1" applyProtection="1">
      <alignment horizontal="right" vertical="center"/>
      <protection locked="0"/>
    </xf>
    <xf numFmtId="177" fontId="9" fillId="4" borderId="0" xfId="2" applyNumberFormat="1" applyFont="1" applyFill="1" applyBorder="1" applyAlignment="1" applyProtection="1">
      <alignment horizontal="right" vertical="center"/>
      <protection locked="0"/>
    </xf>
    <xf numFmtId="168" fontId="9" fillId="4" borderId="0" xfId="2" applyNumberFormat="1" applyFont="1" applyFill="1" applyBorder="1" applyAlignment="1" applyProtection="1">
      <alignment vertical="center"/>
      <protection locked="0"/>
    </xf>
    <xf numFmtId="0" fontId="9" fillId="4" borderId="0" xfId="0" applyFont="1" applyFill="1" applyAlignment="1" applyProtection="1">
      <alignment horizontal="left" vertical="center" indent="1"/>
      <protection locked="0" hidden="1"/>
    </xf>
    <xf numFmtId="168" fontId="9" fillId="4" borderId="0" xfId="2" applyNumberFormat="1" applyFont="1" applyFill="1" applyBorder="1" applyAlignment="1" applyProtection="1">
      <alignment horizontal="right" vertical="center"/>
      <protection locked="0"/>
    </xf>
    <xf numFmtId="0" fontId="19" fillId="9" borderId="0" xfId="0" applyFont="1" applyFill="1" applyAlignment="1" applyProtection="1">
      <alignment horizontal="center" vertical="center"/>
      <protection locked="0" hidden="1"/>
    </xf>
    <xf numFmtId="0" fontId="9" fillId="0" borderId="0" xfId="0" applyFont="1" applyAlignment="1" applyProtection="1">
      <alignment horizontal="left" wrapText="1"/>
      <protection locked="0" hidden="1"/>
    </xf>
    <xf numFmtId="0" fontId="9" fillId="0" borderId="0" xfId="0" applyFont="1" applyAlignment="1" applyProtection="1">
      <alignment horizontal="left" wrapText="1"/>
      <protection locked="0"/>
    </xf>
    <xf numFmtId="0" fontId="49" fillId="2" borderId="0" xfId="0" applyFont="1" applyFill="1" applyAlignment="1" applyProtection="1">
      <alignment horizontal="center" vertical="center"/>
      <protection locked="0" hidden="1"/>
    </xf>
    <xf numFmtId="0" fontId="9" fillId="2" borderId="0" xfId="0" applyFont="1" applyFill="1" applyAlignment="1" applyProtection="1">
      <alignment horizontal="left" vertical="top" wrapText="1"/>
      <protection locked="0" hidden="1"/>
    </xf>
    <xf numFmtId="0" fontId="9" fillId="2" borderId="15" xfId="0" applyFont="1" applyFill="1" applyBorder="1" applyAlignment="1" applyProtection="1">
      <alignment horizontal="left" vertical="top" wrapText="1"/>
      <protection locked="0" hidden="1"/>
    </xf>
    <xf numFmtId="0" fontId="33" fillId="3" borderId="0" xfId="0" applyFont="1" applyFill="1" applyAlignment="1" applyProtection="1">
      <alignment horizontal="center" vertical="center" wrapText="1"/>
      <protection locked="0" hidden="1"/>
    </xf>
    <xf numFmtId="0" fontId="37" fillId="0" borderId="12" xfId="0" applyFont="1" applyBorder="1" applyAlignment="1" applyProtection="1">
      <alignment horizontal="center" vertical="center"/>
      <protection locked="0" hidden="1"/>
    </xf>
    <xf numFmtId="0" fontId="33" fillId="2" borderId="0" xfId="0" applyFont="1" applyFill="1" applyAlignment="1" applyProtection="1">
      <alignment horizontal="left" wrapText="1"/>
      <protection locked="0" hidden="1"/>
    </xf>
    <xf numFmtId="0" fontId="33" fillId="2" borderId="15" xfId="0" applyFont="1" applyFill="1" applyBorder="1" applyAlignment="1" applyProtection="1">
      <alignment horizontal="left" wrapText="1"/>
      <protection locked="0" hidden="1"/>
    </xf>
    <xf numFmtId="0" fontId="9" fillId="0" borderId="0" xfId="0" applyFont="1" applyAlignment="1" applyProtection="1">
      <alignment horizontal="center" wrapText="1"/>
      <protection locked="0" hidden="1"/>
    </xf>
    <xf numFmtId="166" fontId="25" fillId="3" borderId="8" xfId="1" applyNumberFormat="1" applyFont="1" applyFill="1" applyBorder="1" applyAlignment="1" applyProtection="1">
      <alignment horizontal="right" vertical="center"/>
      <protection locked="0"/>
    </xf>
  </cellXfs>
  <cellStyles count="12">
    <cellStyle name="Comma" xfId="1" builtinId="3"/>
    <cellStyle name="Estilo 2" xfId="8" xr:uid="{00000000-0005-0000-0000-000000000000}"/>
    <cellStyle name="Hyperlink" xfId="11" builtinId="8"/>
    <cellStyle name="Normal" xfId="0" builtinId="0"/>
    <cellStyle name="Normal 11" xfId="5" xr:uid="{00000000-0005-0000-0000-000002000000}"/>
    <cellStyle name="Normal 2" xfId="9" xr:uid="{00000000-0005-0000-0000-000003000000}"/>
    <cellStyle name="Normal 22" xfId="10" xr:uid="{2EEDC521-205B-2040-ACE3-A03EF593B3D5}"/>
    <cellStyle name="Normal 6 2 2" xfId="4" xr:uid="{00000000-0005-0000-0000-000004000000}"/>
    <cellStyle name="Percent" xfId="2" builtinId="5"/>
    <cellStyle name="Vírgula 3" xfId="7" xr:uid="{00000000-0005-0000-0000-000007000000}"/>
    <cellStyle name="Vírgula 4" xfId="3" xr:uid="{00000000-0005-0000-0000-000008000000}"/>
    <cellStyle name="Vírgula 7" xfId="6" xr:uid="{00000000-0005-0000-0000-000009000000}"/>
  </cellStyles>
  <dxfs count="0"/>
  <tableStyles count="0" defaultTableStyle="TableStyleMedium2" defaultPivotStyle="PivotStyleLight16"/>
  <colors>
    <mruColors>
      <color rgb="FFF2F2F2"/>
      <color rgb="FFE1E2E1"/>
      <color rgb="FFF0975C"/>
      <color rgb="FFEC7100"/>
      <color rgb="FFFF8700"/>
      <color rgb="FFD9D9D9"/>
      <color rgb="FFFFF2E6"/>
      <color rgb="FFFFE9D0"/>
      <color rgb="FFF7CAB0"/>
      <color rgb="FFFBE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Summary | Sum&#225;rio'!A1"/><Relationship Id="rId1" Type="http://schemas.openxmlformats.org/officeDocument/2006/relationships/image" Target="../media/image5.jpeg"/><Relationship Id="rId4" Type="http://schemas.openxmlformats.org/officeDocument/2006/relationships/image" Target="../media/image4.svg"/></Relationships>
</file>

<file path=xl/drawings/_rels/drawing2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2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3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3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Summary | Sum&#225;rio'!A1"/></Relationships>
</file>

<file path=xl/drawings/drawing1.xml><?xml version="1.0" encoding="utf-8"?>
<xdr:wsDr xmlns:xdr="http://schemas.openxmlformats.org/drawingml/2006/spreadsheetDrawing" xmlns:a="http://schemas.openxmlformats.org/drawingml/2006/main">
  <xdr:twoCellAnchor>
    <xdr:from>
      <xdr:col>4</xdr:col>
      <xdr:colOff>1239024</xdr:colOff>
      <xdr:row>7</xdr:row>
      <xdr:rowOff>139391</xdr:rowOff>
    </xdr:from>
    <xdr:to>
      <xdr:col>7</xdr:col>
      <xdr:colOff>3199340</xdr:colOff>
      <xdr:row>7</xdr:row>
      <xdr:rowOff>596591</xdr:rowOff>
    </xdr:to>
    <xdr:sp macro="" textlink="">
      <xdr:nvSpPr>
        <xdr:cNvPr id="7" name="Rounded Rectangle 5">
          <a:extLst>
            <a:ext uri="{FF2B5EF4-FFF2-40B4-BE49-F238E27FC236}">
              <a16:creationId xmlns:a16="http://schemas.microsoft.com/office/drawing/2014/main" id="{00000000-0008-0000-0100-000007000000}"/>
            </a:ext>
          </a:extLst>
        </xdr:cNvPr>
        <xdr:cNvSpPr/>
      </xdr:nvSpPr>
      <xdr:spPr>
        <a:xfrm>
          <a:off x="5163324" y="1650691"/>
          <a:ext cx="4030416" cy="457200"/>
        </a:xfrm>
        <a:prstGeom prst="roundRect">
          <a:avLst>
            <a:gd name="adj" fmla="val 26105"/>
          </a:avLst>
        </a:prstGeom>
        <a:solidFill>
          <a:srgbClr val="EA71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Calibri" panose="020F0502020204030204" pitchFamily="34" charset="0"/>
              <a:cs typeface="Calibri" panose="020F0502020204030204" pitchFamily="34" charset="0"/>
            </a:rPr>
            <a:t>Inter&amp;Co</a:t>
          </a:r>
        </a:p>
      </xdr:txBody>
    </xdr:sp>
    <xdr:clientData/>
  </xdr:twoCellAnchor>
  <xdr:twoCellAnchor>
    <xdr:from>
      <xdr:col>8</xdr:col>
      <xdr:colOff>11004</xdr:colOff>
      <xdr:row>7</xdr:row>
      <xdr:rowOff>135674</xdr:rowOff>
    </xdr:from>
    <xdr:to>
      <xdr:col>10</xdr:col>
      <xdr:colOff>3427713</xdr:colOff>
      <xdr:row>7</xdr:row>
      <xdr:rowOff>596591</xdr:rowOff>
    </xdr:to>
    <xdr:sp macro="" textlink="Names!I53">
      <xdr:nvSpPr>
        <xdr:cNvPr id="4" name="Rounded Rectangle 6">
          <a:extLst>
            <a:ext uri="{FF2B5EF4-FFF2-40B4-BE49-F238E27FC236}">
              <a16:creationId xmlns:a16="http://schemas.microsoft.com/office/drawing/2014/main" id="{00000000-0008-0000-0100-000004000000}"/>
            </a:ext>
          </a:extLst>
        </xdr:cNvPr>
        <xdr:cNvSpPr/>
      </xdr:nvSpPr>
      <xdr:spPr>
        <a:xfrm>
          <a:off x="9459804" y="1646974"/>
          <a:ext cx="3797709" cy="460917"/>
        </a:xfrm>
        <a:prstGeom prst="roundRect">
          <a:avLst>
            <a:gd name="adj" fmla="val 34845"/>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90567AA-CF6B-664B-B3B8-8E7A9D45AFBF}" type="TxLink">
            <a:rPr lang="en-US" sz="2000" b="1" i="0" u="none" strike="noStrike">
              <a:solidFill>
                <a:srgbClr val="000000"/>
              </a:solidFill>
              <a:latin typeface="Calibri"/>
              <a:cs typeface="Calibri"/>
            </a:rPr>
            <a:pPr algn="ctr"/>
            <a:t>Others</a:t>
          </a:fld>
          <a:endParaRPr lang="en-US" sz="2000" b="1">
            <a:solidFill>
              <a:schemeClr val="tx1"/>
            </a:solidFill>
            <a:latin typeface="Calibri" panose="020F0502020204030204" pitchFamily="34" charset="0"/>
            <a:cs typeface="Calibri" panose="020F0502020204030204" pitchFamily="34" charset="0"/>
          </a:endParaRPr>
        </a:p>
      </xdr:txBody>
    </xdr:sp>
    <xdr:clientData/>
  </xdr:twoCellAnchor>
  <xdr:twoCellAnchor editAs="oneCell">
    <xdr:from>
      <xdr:col>2</xdr:col>
      <xdr:colOff>92347</xdr:colOff>
      <xdr:row>7</xdr:row>
      <xdr:rowOff>336290</xdr:rowOff>
    </xdr:from>
    <xdr:to>
      <xdr:col>4</xdr:col>
      <xdr:colOff>443714</xdr:colOff>
      <xdr:row>44</xdr:row>
      <xdr:rowOff>52656</xdr:rowOff>
    </xdr:to>
    <xdr:pic>
      <xdr:nvPicPr>
        <xdr:cNvPr id="11" name="Picture 10">
          <a:extLst>
            <a:ext uri="{FF2B5EF4-FFF2-40B4-BE49-F238E27FC236}">
              <a16:creationId xmlns:a16="http://schemas.microsoft.com/office/drawing/2014/main" id="{0DA8E6C1-ACDA-01C7-C0FC-DB5D7FFF7F7D}"/>
            </a:ext>
          </a:extLst>
        </xdr:cNvPr>
        <xdr:cNvPicPr>
          <a:picLocks noChangeAspect="1"/>
        </xdr:cNvPicPr>
      </xdr:nvPicPr>
      <xdr:blipFill>
        <a:blip xmlns:r="http://schemas.openxmlformats.org/officeDocument/2006/relationships" r:embed="rId1"/>
        <a:stretch>
          <a:fillRect/>
        </a:stretch>
      </xdr:blipFill>
      <xdr:spPr>
        <a:xfrm>
          <a:off x="600347" y="1877223"/>
          <a:ext cx="3771900" cy="7962900"/>
        </a:xfrm>
        <a:prstGeom prst="rect">
          <a:avLst/>
        </a:prstGeom>
      </xdr:spPr>
    </xdr:pic>
    <xdr:clientData/>
  </xdr:twoCellAnchor>
  <xdr:twoCellAnchor editAs="oneCell">
    <xdr:from>
      <xdr:col>7</xdr:col>
      <xdr:colOff>1866899</xdr:colOff>
      <xdr:row>1</xdr:row>
      <xdr:rowOff>76201</xdr:rowOff>
    </xdr:from>
    <xdr:to>
      <xdr:col>10</xdr:col>
      <xdr:colOff>850900</xdr:colOff>
      <xdr:row>7</xdr:row>
      <xdr:rowOff>63501</xdr:rowOff>
    </xdr:to>
    <xdr:pic>
      <xdr:nvPicPr>
        <xdr:cNvPr id="6" name="Picture 5">
          <a:extLst>
            <a:ext uri="{FF2B5EF4-FFF2-40B4-BE49-F238E27FC236}">
              <a16:creationId xmlns:a16="http://schemas.microsoft.com/office/drawing/2014/main" id="{100D01E2-CB73-B2F5-C4DA-DC20EBAC37C4}"/>
            </a:ext>
          </a:extLst>
        </xdr:cNvPr>
        <xdr:cNvPicPr>
          <a:picLocks noChangeAspect="1"/>
        </xdr:cNvPicPr>
      </xdr:nvPicPr>
      <xdr:blipFill rotWithShape="1">
        <a:blip xmlns:r="http://schemas.openxmlformats.org/officeDocument/2006/relationships" r:embed="rId2"/>
        <a:srcRect l="17863" t="32244" r="23960" b="17442"/>
        <a:stretch>
          <a:fillRect/>
        </a:stretch>
      </xdr:blipFill>
      <xdr:spPr>
        <a:xfrm>
          <a:off x="7861299" y="203201"/>
          <a:ext cx="2819401" cy="1371600"/>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B128EDB0-2E1A-EE4B-ACD0-50A644CF96F8}"/>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B3EDA946-89A3-A330-25ED-84BE21521C6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E5D1F1E6-2D69-A13B-02C2-A354DB910D2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C54FA78A-7764-1C4C-82A0-742324F97262}"/>
            </a:ext>
          </a:extLst>
        </xdr:cNvPr>
        <xdr:cNvGrpSpPr/>
      </xdr:nvGrpSpPr>
      <xdr:grpSpPr>
        <a:xfrm>
          <a:off x="317119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AD38E3F-76F8-A234-DDA2-D1120C49C90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6AEE3D95-3B90-9604-EC21-9FBF8B32867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F2B29785-F52A-0842-8A37-E94F09CD09CA}"/>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561AB627-93B2-6ED3-607B-6B4B9D6CF84B}"/>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714A4F98-E431-0E02-29A5-8CA494E58F9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7A8337DE-9F57-AB4D-80E0-CB56FFA8DEC2}"/>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D2DF78B7-C273-E46D-D694-BA5A6334E8B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830BCDB9-F00A-2B54-849D-A5B84AE1F94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F15D35D1-E3F3-974D-B196-3861547A1856}"/>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F6E5FD0-1906-9B4B-6B64-46D0B95C74F5}"/>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FB06FF2C-9570-6833-9481-39180319A45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FB87C279-C437-0647-A40B-1F6B42C1B40A}"/>
            </a:ext>
          </a:extLst>
        </xdr:cNvPr>
        <xdr:cNvGrpSpPr/>
      </xdr:nvGrpSpPr>
      <xdr:grpSpPr>
        <a:xfrm>
          <a:off x="317881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799AFA6B-4B86-C6EA-5DBD-5DF0997AED2C}"/>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1B81187F-B765-C60B-AB9E-9A6F0B8ADC8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F4415D9D-71D2-D54E-B6F7-2FB4FD188D52}"/>
            </a:ext>
          </a:extLst>
        </xdr:cNvPr>
        <xdr:cNvGrpSpPr/>
      </xdr:nvGrpSpPr>
      <xdr:grpSpPr>
        <a:xfrm>
          <a:off x="31788100" y="165100"/>
          <a:ext cx="24852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499E809-2B88-82D2-2940-E888FC190A0B}"/>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D30A9E47-536E-D95A-F034-FFB55127F43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35</xdr:col>
      <xdr:colOff>0</xdr:colOff>
      <xdr:row>1</xdr:row>
      <xdr:rowOff>689</xdr:rowOff>
    </xdr:from>
    <xdr:to>
      <xdr:col>37</xdr:col>
      <xdr:colOff>46892</xdr:colOff>
      <xdr:row>2</xdr:row>
      <xdr:rowOff>120853</xdr:rowOff>
    </xdr:to>
    <xdr:sp macro="" textlink="Names!BQ2">
      <xdr:nvSpPr>
        <xdr:cNvPr id="2" name="Rounded Rectangle 1">
          <a:hlinkClick xmlns:r="http://schemas.openxmlformats.org/officeDocument/2006/relationships" r:id="rId1"/>
          <a:extLst>
            <a:ext uri="{FF2B5EF4-FFF2-40B4-BE49-F238E27FC236}">
              <a16:creationId xmlns:a16="http://schemas.microsoft.com/office/drawing/2014/main" id="{F50BE0C3-F8DF-144B-BA42-A8058CCC364E}"/>
            </a:ext>
          </a:extLst>
        </xdr:cNvPr>
        <xdr:cNvSpPr/>
      </xdr:nvSpPr>
      <xdr:spPr>
        <a:xfrm>
          <a:off x="275844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35</xdr:col>
      <xdr:colOff>89226</xdr:colOff>
      <xdr:row>1</xdr:row>
      <xdr:rowOff>0</xdr:rowOff>
    </xdr:from>
    <xdr:to>
      <xdr:col>35</xdr:col>
      <xdr:colOff>348163</xdr:colOff>
      <xdr:row>2</xdr:row>
      <xdr:rowOff>99817</xdr:rowOff>
    </xdr:to>
    <xdr:pic>
      <xdr:nvPicPr>
        <xdr:cNvPr id="3"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6D1A7185-5823-BA4F-BA8A-5CFC154D171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7673626" y="165100"/>
          <a:ext cx="258937" cy="26491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8BDEFC71-F9C2-C648-99F5-EC57A3714CD0}"/>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767C3C26-38D5-E36F-87FA-9714A4D3231C}"/>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25A088E8-0179-A517-562A-F631B6C358B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D287CBF5-6460-F44C-B4BC-47042C7D8292}"/>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A2B733A0-9002-36CA-20B1-D7832B3AD58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B52C688A-0A39-456F-D8C2-AE3F1DA31EE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266700</xdr:colOff>
      <xdr:row>0</xdr:row>
      <xdr:rowOff>88900</xdr:rowOff>
    </xdr:from>
    <xdr:to>
      <xdr:col>20</xdr:col>
      <xdr:colOff>313592</xdr:colOff>
      <xdr:row>2</xdr:row>
      <xdr:rowOff>44653</xdr:rowOff>
    </xdr:to>
    <xdr:grpSp>
      <xdr:nvGrpSpPr>
        <xdr:cNvPr id="2" name="Group 1">
          <a:extLst>
            <a:ext uri="{FF2B5EF4-FFF2-40B4-BE49-F238E27FC236}">
              <a16:creationId xmlns:a16="http://schemas.microsoft.com/office/drawing/2014/main" id="{948A8473-6824-E811-D85A-9A548DAFA38C}"/>
            </a:ext>
          </a:extLst>
        </xdr:cNvPr>
        <xdr:cNvGrpSpPr/>
      </xdr:nvGrpSpPr>
      <xdr:grpSpPr>
        <a:xfrm>
          <a:off x="18478500" y="88900"/>
          <a:ext cx="1697892" cy="285953"/>
          <a:chOff x="13982700" y="889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13982700" y="895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071926" y="88900"/>
            <a:ext cx="258937" cy="264917"/>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3F3FC7E7-49DF-8943-A82D-10C299AEBB9E}"/>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F0BC99D5-26F0-9B01-CFD9-79A003EA04E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D772D29D-6386-50BE-2E88-EDDD12AE4B4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29</xdr:col>
      <xdr:colOff>0</xdr:colOff>
      <xdr:row>1</xdr:row>
      <xdr:rowOff>0</xdr:rowOff>
    </xdr:from>
    <xdr:to>
      <xdr:col>31</xdr:col>
      <xdr:colOff>46892</xdr:colOff>
      <xdr:row>2</xdr:row>
      <xdr:rowOff>120853</xdr:rowOff>
    </xdr:to>
    <xdr:grpSp>
      <xdr:nvGrpSpPr>
        <xdr:cNvPr id="2" name="Group 1">
          <a:extLst>
            <a:ext uri="{FF2B5EF4-FFF2-40B4-BE49-F238E27FC236}">
              <a16:creationId xmlns:a16="http://schemas.microsoft.com/office/drawing/2014/main" id="{7E3042B5-67BD-B44A-A67E-B05845260AD7}"/>
            </a:ext>
          </a:extLst>
        </xdr:cNvPr>
        <xdr:cNvGrpSpPr/>
      </xdr:nvGrpSpPr>
      <xdr:grpSpPr>
        <a:xfrm>
          <a:off x="27368500" y="165100"/>
          <a:ext cx="1697892" cy="285953"/>
          <a:chOff x="178435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592A64D4-9F8E-6228-0017-07CD94A903CA}"/>
              </a:ext>
            </a:extLst>
          </xdr:cNvPr>
          <xdr:cNvSpPr/>
        </xdr:nvSpPr>
        <xdr:spPr>
          <a:xfrm>
            <a:off x="178435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4E93E50-F11C-BB41-66B7-5BD2894CE63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32726" y="165100"/>
            <a:ext cx="258937" cy="264917"/>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0</xdr:colOff>
      <xdr:row>1</xdr:row>
      <xdr:rowOff>0</xdr:rowOff>
    </xdr:from>
    <xdr:to>
      <xdr:col>30</xdr:col>
      <xdr:colOff>46892</xdr:colOff>
      <xdr:row>2</xdr:row>
      <xdr:rowOff>120853</xdr:rowOff>
    </xdr:to>
    <xdr:grpSp>
      <xdr:nvGrpSpPr>
        <xdr:cNvPr id="2" name="Group 1">
          <a:extLst>
            <a:ext uri="{FF2B5EF4-FFF2-40B4-BE49-F238E27FC236}">
              <a16:creationId xmlns:a16="http://schemas.microsoft.com/office/drawing/2014/main" id="{14BF3CFA-F63F-D243-BCFB-4ACEDBFEFD66}"/>
            </a:ext>
          </a:extLst>
        </xdr:cNvPr>
        <xdr:cNvGrpSpPr/>
      </xdr:nvGrpSpPr>
      <xdr:grpSpPr>
        <a:xfrm>
          <a:off x="35217100" y="165100"/>
          <a:ext cx="1697892" cy="285953"/>
          <a:chOff x="178435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76514F6-E457-2A12-FD02-F4A86E21EAE5}"/>
              </a:ext>
            </a:extLst>
          </xdr:cNvPr>
          <xdr:cNvSpPr/>
        </xdr:nvSpPr>
        <xdr:spPr>
          <a:xfrm>
            <a:off x="178435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A5F06A07-5F0C-F478-8A07-DD027350915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32726" y="165100"/>
            <a:ext cx="258937" cy="264917"/>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571471</xdr:colOff>
      <xdr:row>69</xdr:row>
      <xdr:rowOff>131773</xdr:rowOff>
    </xdr:from>
    <xdr:to>
      <xdr:col>15</xdr:col>
      <xdr:colOff>0</xdr:colOff>
      <xdr:row>127</xdr:row>
      <xdr:rowOff>20393</xdr:rowOff>
    </xdr:to>
    <xdr:sp macro="" textlink="">
      <xdr:nvSpPr>
        <xdr:cNvPr id="2" name="Rounded Rectangle 1">
          <a:extLst>
            <a:ext uri="{FF2B5EF4-FFF2-40B4-BE49-F238E27FC236}">
              <a16:creationId xmlns:a16="http://schemas.microsoft.com/office/drawing/2014/main" id="{00000000-0008-0000-1400-000002000000}"/>
            </a:ext>
          </a:extLst>
        </xdr:cNvPr>
        <xdr:cNvSpPr/>
      </xdr:nvSpPr>
      <xdr:spPr>
        <a:xfrm>
          <a:off x="1083262" y="9912669"/>
          <a:ext cx="10514526" cy="9783246"/>
        </a:xfrm>
        <a:prstGeom prst="roundRect">
          <a:avLst>
            <a:gd name="adj" fmla="val 2191"/>
          </a:avLst>
        </a:prstGeom>
        <a:noFill/>
        <a:ln w="31750">
          <a:solidFill>
            <a:srgbClr val="FF79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546686</xdr:colOff>
      <xdr:row>2</xdr:row>
      <xdr:rowOff>112751</xdr:rowOff>
    </xdr:from>
    <xdr:to>
      <xdr:col>20</xdr:col>
      <xdr:colOff>53559</xdr:colOff>
      <xdr:row>4</xdr:row>
      <xdr:rowOff>20740</xdr:rowOff>
    </xdr:to>
    <xdr:grpSp>
      <xdr:nvGrpSpPr>
        <xdr:cNvPr id="3" name="Group 2">
          <a:extLst>
            <a:ext uri="{FF2B5EF4-FFF2-40B4-BE49-F238E27FC236}">
              <a16:creationId xmlns:a16="http://schemas.microsoft.com/office/drawing/2014/main" id="{AAB57A62-6309-807B-193E-157CC383DF28}"/>
            </a:ext>
          </a:extLst>
        </xdr:cNvPr>
        <xdr:cNvGrpSpPr/>
      </xdr:nvGrpSpPr>
      <xdr:grpSpPr>
        <a:xfrm>
          <a:off x="0" y="407391"/>
          <a:ext cx="0" cy="294069"/>
          <a:chOff x="20616333" y="342900"/>
          <a:chExt cx="1816426" cy="290187"/>
        </a:xfrm>
      </xdr:grpSpPr>
      <xdr:sp macro="" textlink="Names!BQ2">
        <xdr:nvSpPr>
          <xdr:cNvPr id="21" name="Rounded Rectangle 20">
            <a:hlinkClick xmlns:r="http://schemas.openxmlformats.org/officeDocument/2006/relationships" r:id="rId1"/>
            <a:extLst>
              <a:ext uri="{FF2B5EF4-FFF2-40B4-BE49-F238E27FC236}">
                <a16:creationId xmlns:a16="http://schemas.microsoft.com/office/drawing/2014/main" id="{00000000-0008-0000-1400-000015000000}"/>
              </a:ext>
            </a:extLst>
          </xdr:cNvPr>
          <xdr:cNvSpPr/>
        </xdr:nvSpPr>
        <xdr:spPr>
          <a:xfrm>
            <a:off x="20616333" y="343599"/>
            <a:ext cx="1816426" cy="289488"/>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22"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711788" y="342900"/>
            <a:ext cx="277014" cy="268840"/>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35109</xdr:colOff>
      <xdr:row>3</xdr:row>
      <xdr:rowOff>127000</xdr:rowOff>
    </xdr:from>
    <xdr:to>
      <xdr:col>14</xdr:col>
      <xdr:colOff>749300</xdr:colOff>
      <xdr:row>33</xdr:row>
      <xdr:rowOff>101600</xdr:rowOff>
    </xdr:to>
    <xdr:sp macro="" textlink="">
      <xdr:nvSpPr>
        <xdr:cNvPr id="2" name="CaixaDeTexto 6">
          <a:extLst>
            <a:ext uri="{FF2B5EF4-FFF2-40B4-BE49-F238E27FC236}">
              <a16:creationId xmlns:a16="http://schemas.microsoft.com/office/drawing/2014/main" id="{00000000-0008-0000-1500-000002000000}"/>
            </a:ext>
          </a:extLst>
        </xdr:cNvPr>
        <xdr:cNvSpPr txBox="1"/>
      </xdr:nvSpPr>
      <xdr:spPr>
        <a:xfrm>
          <a:off x="4988109" y="698500"/>
          <a:ext cx="7318191" cy="5588000"/>
        </a:xfrm>
        <a:prstGeom prst="rect">
          <a:avLst/>
        </a:prstGeom>
        <a:noFill/>
      </xdr:spPr>
      <xdr:txBody>
        <a:bodyPr wrap="square" rtlCol="0">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algn="just"/>
          <a:r>
            <a:rPr lang="pt-BR" sz="1100" dirty="0">
              <a:latin typeface="Arial" panose="020B0604020202020204" pitchFamily="34" charset="0"/>
              <a:ea typeface="Inter Light BETA" panose="020B0402030000000004" pitchFamily="34" charset="0"/>
              <a:cs typeface="Arial" panose="020B0604020202020204" pitchFamily="34" charset="0"/>
            </a:rPr>
            <a:t>Os números de nossas principais métricas (Unit </a:t>
          </a:r>
          <a:r>
            <a:rPr lang="pt-BR" sz="1100" dirty="0" err="1">
              <a:latin typeface="Arial" panose="020B0604020202020204" pitchFamily="34" charset="0"/>
              <a:ea typeface="Inter Light BETA" panose="020B0402030000000004" pitchFamily="34" charset="0"/>
              <a:cs typeface="Arial" panose="020B0604020202020204" pitchFamily="34" charset="0"/>
            </a:rPr>
            <a:t>Economics</a:t>
          </a:r>
          <a:r>
            <a:rPr lang="pt-BR" sz="1100" dirty="0">
              <a:latin typeface="Arial" panose="020B0604020202020204" pitchFamily="34" charset="0"/>
              <a:ea typeface="Inter Light BETA" panose="020B0402030000000004" pitchFamily="34" charset="0"/>
              <a:cs typeface="Arial" panose="020B0604020202020204" pitchFamily="34" charset="0"/>
            </a:rPr>
            <a:t>), que incluem usuários ativos, como receita média por cliente ativo (ARPAC) e custo para servir (CTS), são calculados usando os dados internos da Inter. Embora acreditemos que essas métricas sejam baseadas em estimativas razoáveis, existem desafios inerentes à medição do uso de nossos negócios. Além disso, buscamos continuamente melhorar nossas estimativas, que podem mudar devido a melhorias ou mudanças na metodologia, nos processos de cálculo dessas métricas e, de tempos em tempos, podemos descobrir imprecisões e fazer ajustes para melhorar a precisão, incluindo ajustes que podem resultar no recálculo de nossas métricas históricas.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b="1" dirty="0">
              <a:solidFill>
                <a:srgbClr val="FF7A00"/>
              </a:solidFill>
              <a:latin typeface="Arial" panose="020B0604020202020204" pitchFamily="34" charset="0"/>
              <a:ea typeface="Inter Light BETA" panose="020B0402030000000004" pitchFamily="34" charset="0"/>
              <a:cs typeface="Arial" panose="020B0604020202020204" pitchFamily="34" charset="0"/>
            </a:rPr>
            <a:t>Sobre Medidas Financeiras Não-IFRS </a:t>
          </a:r>
        </a:p>
        <a:p>
          <a:pPr algn="just"/>
          <a:r>
            <a:rPr lang="pt-BR" sz="1100" b="1" dirty="0">
              <a:latin typeface="Arial" panose="020B0604020202020204" pitchFamily="34" charset="0"/>
              <a:ea typeface="Inter Light BETA" panose="020B0402030000000004" pitchFamily="34" charset="0"/>
              <a:cs typeface="Arial" panose="020B0604020202020204" pitchFamily="34" charset="0"/>
            </a:rPr>
            <a:t> </a:t>
          </a:r>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Para complementar as medidas financeiras apresentadas neste comunicado de imprensa e na teleconferência, apresentação ou webcast relacionados de acordo com o IFRS, 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também apresenta medidas não IFRS de desempenho financeiro, conforme destacado ao longo dos documentos. As Medidas Financeiras não IFRS incluem, entre outras: Resultado Líquido Ajustado, Custo de Serviço, Custo de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Índice de Eficiência, Originação, NPL &gt; 90 dias, NPL 15 a 90 dias, NPL e Formação da Fase 3, </a:t>
          </a:r>
          <a:r>
            <a:rPr lang="pt-BR" sz="1100" dirty="0" err="1">
              <a:latin typeface="Arial" panose="020B0604020202020204" pitchFamily="34" charset="0"/>
              <a:ea typeface="Inter Light BETA" panose="020B0402030000000004" pitchFamily="34" charset="0"/>
              <a:cs typeface="Arial" panose="020B0604020202020204" pitchFamily="34" charset="0"/>
            </a:rPr>
            <a:t>Cost</a:t>
          </a:r>
          <a:r>
            <a:rPr lang="pt-BR" sz="1100" dirty="0">
              <a:latin typeface="Arial" panose="020B0604020202020204" pitchFamily="34" charset="0"/>
              <a:ea typeface="Inter Light BETA" panose="020B0402030000000004" pitchFamily="34" charset="0"/>
              <a:cs typeface="Arial" panose="020B0604020202020204" pitchFamily="34" charset="0"/>
            </a:rPr>
            <a:t> </a:t>
          </a:r>
          <a:r>
            <a:rPr lang="pt-BR" sz="1100" dirty="0" err="1">
              <a:latin typeface="Arial" panose="020B0604020202020204" pitchFamily="34" charset="0"/>
              <a:ea typeface="Inter Light BETA" panose="020B0402030000000004" pitchFamily="34" charset="0"/>
              <a:cs typeface="Arial" panose="020B0604020202020204" pitchFamily="34" charset="0"/>
            </a:rPr>
            <a:t>of</a:t>
          </a:r>
          <a:r>
            <a:rPr lang="pt-BR" sz="1100" dirty="0">
              <a:latin typeface="Arial" panose="020B0604020202020204" pitchFamily="34" charset="0"/>
              <a:ea typeface="Inter Light BETA" panose="020B0402030000000004" pitchFamily="34" charset="0"/>
              <a:cs typeface="Arial" panose="020B0604020202020204" pitchFamily="34" charset="0"/>
            </a:rPr>
            <a:t> Risk, índice de Cobertura,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Custo de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Volume Bruto de Mercadorias (GMV), Prêmios, Entradas Líquidas, Depósitos e Investimentos de Serviços Globais, </a:t>
          </a:r>
          <a:r>
            <a:rPr lang="pt-BR" sz="1100" dirty="0" err="1">
              <a:latin typeface="Arial" panose="020B0604020202020204" pitchFamily="34" charset="0"/>
              <a:ea typeface="Inter Light BETA" panose="020B0402030000000004" pitchFamily="34" charset="0"/>
              <a:cs typeface="Arial" panose="020B0604020202020204" pitchFamily="34" charset="0"/>
            </a:rPr>
            <a:t>Fee</a:t>
          </a:r>
          <a:r>
            <a:rPr lang="pt-BR" sz="1100" dirty="0">
              <a:latin typeface="Arial" panose="020B0604020202020204" pitchFamily="34" charset="0"/>
              <a:ea typeface="Inter Light BETA" panose="020B0402030000000004" pitchFamily="34" charset="0"/>
              <a:cs typeface="Arial" panose="020B0604020202020204" pitchFamily="34" charset="0"/>
            </a:rPr>
            <a:t> Income </a:t>
          </a:r>
          <a:r>
            <a:rPr lang="pt-BR" sz="1100" dirty="0" err="1">
              <a:latin typeface="Arial" panose="020B0604020202020204" pitchFamily="34" charset="0"/>
              <a:ea typeface="Inter Light BETA" panose="020B0402030000000004" pitchFamily="34" charset="0"/>
              <a:cs typeface="Arial" panose="020B0604020202020204" pitchFamily="34" charset="0"/>
            </a:rPr>
            <a:t>Ratio</a:t>
          </a:r>
          <a:r>
            <a:rPr lang="pt-BR" sz="1100" dirty="0">
              <a:latin typeface="Arial" panose="020B0604020202020204" pitchFamily="34" charset="0"/>
              <a:ea typeface="Inter Light BETA" panose="020B0402030000000004" pitchFamily="34" charset="0"/>
              <a:cs typeface="Arial" panose="020B0604020202020204" pitchFamily="34" charset="0"/>
            </a:rPr>
            <a:t>,  Custo de Aquisição de Clientes, Cartões + PIX TPV, ARPAC Bruto, ARPAC Líquido, NIM Marginal 1.0, NIM Marginal 2.0, Margem de Juros Líquida IEP + Non-int. CC Recebíveis (1.0), Margem Líquida de Juros IEP (2.0), </a:t>
          </a:r>
          <a:r>
            <a:rPr lang="pt-BR" sz="1100" dirty="0" err="1">
              <a:latin typeface="Arial" panose="020B0604020202020204" pitchFamily="34" charset="0"/>
              <a:ea typeface="Inter Light BETA" panose="020B0402030000000004" pitchFamily="34" charset="0"/>
              <a:cs typeface="Arial" panose="020B0604020202020204" pitchFamily="34" charset="0"/>
            </a:rPr>
            <a:t>Custo</a:t>
          </a:r>
          <a:r>
            <a:rPr lang="pt-BR" sz="1100" baseline="0" dirty="0" err="1">
              <a:latin typeface="Arial" panose="020B0604020202020204" pitchFamily="34" charset="0"/>
              <a:ea typeface="Inter Light BETA" panose="020B0402030000000004" pitchFamily="34" charset="0"/>
              <a:cs typeface="Arial" panose="020B0604020202020204" pitchFamily="34" charset="0"/>
            </a:rPr>
            <a:t> de Servir.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Uma "medida financeira não IFRS" refere-se a uma medida numérica da posição histórica ou financeira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que exclui ou inclui montantes que normalmente não são excluídos ou incluídos na medida mais diretamente comparável calculada e apresentada de acordo com o IFRS nas demonstrações financeiras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fornece certas medidas não-IFRS como informações adicionais relacionadas aos seus resultados operacionais como complemento aos resultados fornecidos de acordo com o IFRS. As informações financeiras não IFRS aqui apresentadas devem ser consideradas em conjunto com, e não como um substituto ou superior a, as informações financeiras apresentadas de acordo com o IFRS. Existem limitações significativas associadas ao uso de medidas financeiras não IFRS. Além disso, estas medidas podem diferir das informações não IFRS, mesmo quando com títulos semelhantes, utilizadas por outras empresas e, por conseguinte, não devem ser utilizadas para comparar o desempenho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com o de outras empresas.</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xdr:txBody>
    </xdr:sp>
    <xdr:clientData/>
  </xdr:twoCellAnchor>
  <xdr:twoCellAnchor>
    <xdr:from>
      <xdr:col>0</xdr:col>
      <xdr:colOff>0</xdr:colOff>
      <xdr:row>1</xdr:row>
      <xdr:rowOff>120601</xdr:rowOff>
    </xdr:from>
    <xdr:to>
      <xdr:col>5</xdr:col>
      <xdr:colOff>375697</xdr:colOff>
      <xdr:row>4</xdr:row>
      <xdr:rowOff>180882</xdr:rowOff>
    </xdr:to>
    <xdr:sp macro="" textlink="">
      <xdr:nvSpPr>
        <xdr:cNvPr id="3" name="Rounded Rectangle 2">
          <a:extLst>
            <a:ext uri="{FF2B5EF4-FFF2-40B4-BE49-F238E27FC236}">
              <a16:creationId xmlns:a16="http://schemas.microsoft.com/office/drawing/2014/main" id="{00000000-0008-0000-1500-000003000000}"/>
            </a:ext>
          </a:extLst>
        </xdr:cNvPr>
        <xdr:cNvSpPr/>
      </xdr:nvSpPr>
      <xdr:spPr>
        <a:xfrm>
          <a:off x="0" y="311101"/>
          <a:ext cx="4503197" cy="631781"/>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lvl="0">
            <a:defRPr lang="pt-BR"/>
          </a:defPPr>
          <a:lvl1pPr marL="0" lvl="0" algn="l" defTabSz="914400" rtl="0" eaLnBrk="1" latinLnBrk="0" hangingPunct="1">
            <a:defRPr sz="1800" kern="1200">
              <a:solidFill>
                <a:schemeClr val="lt1"/>
              </a:solidFill>
              <a:latin typeface="+mn-lt"/>
              <a:ea typeface="+mn-ea"/>
              <a:cs typeface="+mn-cs"/>
            </a:defRPr>
          </a:lvl1pPr>
          <a:lvl2pPr marL="457200" lvl="1" algn="l" defTabSz="914400" rtl="0" eaLnBrk="1" latinLnBrk="0" hangingPunct="1">
            <a:defRPr sz="1800" kern="1200">
              <a:solidFill>
                <a:schemeClr val="lt1"/>
              </a:solidFill>
              <a:latin typeface="+mn-lt"/>
              <a:ea typeface="+mn-ea"/>
              <a:cs typeface="+mn-cs"/>
            </a:defRPr>
          </a:lvl2pPr>
          <a:lvl3pPr marL="914400" lvl="2" algn="l" defTabSz="914400" rtl="0" eaLnBrk="1" latinLnBrk="0" hangingPunct="1">
            <a:defRPr sz="1800" kern="1200">
              <a:solidFill>
                <a:schemeClr val="lt1"/>
              </a:solidFill>
              <a:latin typeface="+mn-lt"/>
              <a:ea typeface="+mn-ea"/>
              <a:cs typeface="+mn-cs"/>
            </a:defRPr>
          </a:lvl3pPr>
          <a:lvl4pPr marL="1371600" lvl="3" algn="l" defTabSz="914400" rtl="0" eaLnBrk="1" latinLnBrk="0" hangingPunct="1">
            <a:defRPr sz="1800" kern="1200">
              <a:solidFill>
                <a:schemeClr val="lt1"/>
              </a:solidFill>
              <a:latin typeface="+mn-lt"/>
              <a:ea typeface="+mn-ea"/>
              <a:cs typeface="+mn-cs"/>
            </a:defRPr>
          </a:lvl4pPr>
          <a:lvl5pPr marL="1828800" lvl="4" algn="l" defTabSz="914400" rtl="0" eaLnBrk="1" latinLnBrk="0" hangingPunct="1">
            <a:defRPr sz="1800" kern="1200">
              <a:solidFill>
                <a:schemeClr val="lt1"/>
              </a:solidFill>
              <a:latin typeface="+mn-lt"/>
              <a:ea typeface="+mn-ea"/>
              <a:cs typeface="+mn-cs"/>
            </a:defRPr>
          </a:lvl5pPr>
          <a:lvl6pPr marL="2286000" lvl="5" algn="l" defTabSz="914400" rtl="0" eaLnBrk="1" latinLnBrk="0" hangingPunct="1">
            <a:defRPr sz="1800" kern="1200">
              <a:solidFill>
                <a:schemeClr val="lt1"/>
              </a:solidFill>
              <a:latin typeface="+mn-lt"/>
              <a:ea typeface="+mn-ea"/>
              <a:cs typeface="+mn-cs"/>
            </a:defRPr>
          </a:lvl6pPr>
          <a:lvl7pPr marL="2743200" lvl="6" algn="l" defTabSz="914400" rtl="0" eaLnBrk="1" latinLnBrk="0" hangingPunct="1">
            <a:defRPr sz="1800" kern="1200">
              <a:solidFill>
                <a:schemeClr val="lt1"/>
              </a:solidFill>
              <a:latin typeface="+mn-lt"/>
              <a:ea typeface="+mn-ea"/>
              <a:cs typeface="+mn-cs"/>
            </a:defRPr>
          </a:lvl7pPr>
          <a:lvl8pPr marL="3200400" lvl="7" algn="l" defTabSz="914400" rtl="0" eaLnBrk="1" latinLnBrk="0" hangingPunct="1">
            <a:defRPr sz="1800" kern="1200">
              <a:solidFill>
                <a:schemeClr val="lt1"/>
              </a:solidFill>
              <a:latin typeface="+mn-lt"/>
              <a:ea typeface="+mn-ea"/>
              <a:cs typeface="+mn-cs"/>
            </a:defRPr>
          </a:lvl8pPr>
          <a:lvl9pPr marL="3657600" lvl="8" algn="l" defTabSz="914400" rtl="0" eaLnBrk="1" latinLnBrk="0" hangingPunct="1">
            <a:defRPr sz="1800" kern="1200">
              <a:solidFill>
                <a:schemeClr val="lt1"/>
              </a:solidFill>
              <a:latin typeface="+mn-lt"/>
              <a:ea typeface="+mn-ea"/>
              <a:cs typeface="+mn-cs"/>
            </a:defRPr>
          </a:lvl9pPr>
        </a:lstStyle>
        <a:p>
          <a:pPr algn="r"/>
          <a:r>
            <a:rPr lang="en-US" sz="4000" b="1">
              <a:solidFill>
                <a:srgbClr val="FF7A00"/>
              </a:solidFill>
              <a:latin typeface="Calibri" panose="020F0502020204030204" pitchFamily="34" charset="0"/>
              <a:cs typeface="Calibri" panose="020F0502020204030204" pitchFamily="34" charset="0"/>
            </a:rPr>
            <a:t>Disclaimer</a:t>
          </a:r>
        </a:p>
      </xdr:txBody>
    </xdr:sp>
    <xdr:clientData/>
  </xdr:twoCellAnchor>
  <xdr:twoCellAnchor editAs="oneCell">
    <xdr:from>
      <xdr:col>0</xdr:col>
      <xdr:colOff>180112</xdr:colOff>
      <xdr:row>6</xdr:row>
      <xdr:rowOff>55393</xdr:rowOff>
    </xdr:from>
    <xdr:to>
      <xdr:col>5</xdr:col>
      <xdr:colOff>476688</xdr:colOff>
      <xdr:row>31</xdr:row>
      <xdr:rowOff>36164</xdr:rowOff>
    </xdr:to>
    <xdr:pic>
      <xdr:nvPicPr>
        <xdr:cNvPr id="4" name="Picture 3" descr="A person sitting on an orange chair with a computer&#10;&#10;Description automatically generated with medium confidence">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80112" y="1198393"/>
          <a:ext cx="4424076" cy="4743271"/>
        </a:xfrm>
        <a:prstGeom prst="roundRect">
          <a:avLst/>
        </a:prstGeom>
      </xdr:spPr>
    </xdr:pic>
    <xdr:clientData/>
  </xdr:twoCellAnchor>
  <xdr:twoCellAnchor>
    <xdr:from>
      <xdr:col>21</xdr:col>
      <xdr:colOff>502140</xdr:colOff>
      <xdr:row>4</xdr:row>
      <xdr:rowOff>18689</xdr:rowOff>
    </xdr:from>
    <xdr:to>
      <xdr:col>30</xdr:col>
      <xdr:colOff>446138</xdr:colOff>
      <xdr:row>34</xdr:row>
      <xdr:rowOff>76043</xdr:rowOff>
    </xdr:to>
    <xdr:sp macro="" textlink="">
      <xdr:nvSpPr>
        <xdr:cNvPr id="5" name="CaixaDeTexto 6">
          <a:extLst>
            <a:ext uri="{FF2B5EF4-FFF2-40B4-BE49-F238E27FC236}">
              <a16:creationId xmlns:a16="http://schemas.microsoft.com/office/drawing/2014/main" id="{00000000-0008-0000-1500-000005000000}"/>
            </a:ext>
          </a:extLst>
        </xdr:cNvPr>
        <xdr:cNvSpPr txBox="1"/>
      </xdr:nvSpPr>
      <xdr:spPr>
        <a:xfrm>
          <a:off x="17708592" y="756108"/>
          <a:ext cx="7318191" cy="5588000"/>
        </a:xfrm>
        <a:prstGeom prst="rect">
          <a:avLst/>
        </a:prstGeom>
        <a:noFill/>
      </xdr:spPr>
      <xdr:txBody>
        <a:bodyPr wrap="square" rtlCol="0">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The numbers for our key metrics (Unit Economics), which include active users, as average revenue per active client (ARPAC), cost to serve (CTS), are calculated using Inter’s internal data. Although we believe these metrics are based on reasonable estimates, there are challenges inherent in measuring the use of our business. In addition, we continually seek to improve our estimates, which may change due to improvements or changes in methodology, in processes for calculating these metrics and, from time to time, we may discover inaccuracies and make adjustments to improve accuracy, including adjustments that may result in recalculating our historical metrics.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a:ln>
                <a:noFill/>
              </a:ln>
              <a:solidFill>
                <a:srgbClr val="FF7A00"/>
              </a:solidFill>
              <a:effectLst/>
              <a:uLnTx/>
              <a:uFillTx/>
              <a:latin typeface="Calibri" panose="020F0502020204030204" pitchFamily="34" charset="0"/>
              <a:ea typeface="Inter Light BETA" panose="020B0402030000000004" pitchFamily="34" charset="0"/>
              <a:cs typeface="Calibri" panose="020F0502020204030204" pitchFamily="34" charset="0"/>
            </a:rPr>
            <a:t>About Non-IFRS Financial Measures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To supplement the financial measures presented in this press release and related conference call, presentation, or webcast in accordance with IFRS, Inter&amp;Co also presents non-IFRS measures of financial performance, as highlighted throughout the documents. The non-IFRS Financial Measures include, among others: Adjusted Net Income, Cost to Serve, Cost of Funding, Efficiency Ratio, Underwriting, NPL &gt; 90 days, NPL 15 to 90 days, NPL and Stage 3 Formation, Cost of Risk, Coverage Ratio, Funding, All-in Cost of Funding, Gross Merchandise Volume (GMV), Premiums, Net Inflows, Global Services Deposits and Investments, Fee Income Ratio, Client Acquisition Cost, Cards+PIX TPV, Gross ARPAC, Net ARPAC, Marginal NIM 1.0, Marginal NIM 2.0, Net Interest Margin IEP + Non-int. CC Receivables (1.0), Net Interest Margin IEP (2.0), Cost-to-Serve.</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A “non-IFRS financial measure” refers to a numerical measure of Inter&amp;Co’s historical or financial position that either excludes or includes amounts that are not normally excluded or included in the most directly comparable measure calculated and presented in accordance with IFRS in Inter&amp;Co’s financial statements.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Inter&amp;Co provides certain non-IFRS measures as additional information relating to its operating results as a complement to results provided in accordance with IFRS. The non-IFRS financial information presented herein should be considered together with, and not as a substitute for or superior to, the financial information presented in accordance with IFRS. There are significant limitations associated with the use of non-IFRS financial measures. Further, these measures may differ from the non-IFRS information, even where similarly titled, used by other companies and therefore should not be used to compare Inter&amp;Co’s performance to that of other companies.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xdr:txBody>
    </xdr:sp>
    <xdr:clientData/>
  </xdr:twoCellAnchor>
  <xdr:twoCellAnchor>
    <xdr:from>
      <xdr:col>15</xdr:col>
      <xdr:colOff>430160</xdr:colOff>
      <xdr:row>2</xdr:row>
      <xdr:rowOff>-1</xdr:rowOff>
    </xdr:from>
    <xdr:to>
      <xdr:col>21</xdr:col>
      <xdr:colOff>17228</xdr:colOff>
      <xdr:row>5</xdr:row>
      <xdr:rowOff>78716</xdr:rowOff>
    </xdr:to>
    <xdr:sp macro="" textlink="">
      <xdr:nvSpPr>
        <xdr:cNvPr id="6" name="Rounded Rectangle 5">
          <a:extLst>
            <a:ext uri="{FF2B5EF4-FFF2-40B4-BE49-F238E27FC236}">
              <a16:creationId xmlns:a16="http://schemas.microsoft.com/office/drawing/2014/main" id="{00000000-0008-0000-1500-000006000000}"/>
            </a:ext>
          </a:extLst>
        </xdr:cNvPr>
        <xdr:cNvSpPr/>
      </xdr:nvSpPr>
      <xdr:spPr>
        <a:xfrm>
          <a:off x="12720483" y="368709"/>
          <a:ext cx="4503197" cy="631781"/>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lvl="0">
            <a:defRPr lang="pt-BR"/>
          </a:defPPr>
          <a:lvl1pPr marL="0" lvl="0" algn="l" defTabSz="914400" rtl="0" eaLnBrk="1" latinLnBrk="0" hangingPunct="1">
            <a:defRPr sz="1800" kern="1200">
              <a:solidFill>
                <a:schemeClr val="lt1"/>
              </a:solidFill>
              <a:latin typeface="+mn-lt"/>
              <a:ea typeface="+mn-ea"/>
              <a:cs typeface="+mn-cs"/>
            </a:defRPr>
          </a:lvl1pPr>
          <a:lvl2pPr marL="457200" lvl="1" algn="l" defTabSz="914400" rtl="0" eaLnBrk="1" latinLnBrk="0" hangingPunct="1">
            <a:defRPr sz="1800" kern="1200">
              <a:solidFill>
                <a:schemeClr val="lt1"/>
              </a:solidFill>
              <a:latin typeface="+mn-lt"/>
              <a:ea typeface="+mn-ea"/>
              <a:cs typeface="+mn-cs"/>
            </a:defRPr>
          </a:lvl2pPr>
          <a:lvl3pPr marL="914400" lvl="2" algn="l" defTabSz="914400" rtl="0" eaLnBrk="1" latinLnBrk="0" hangingPunct="1">
            <a:defRPr sz="1800" kern="1200">
              <a:solidFill>
                <a:schemeClr val="lt1"/>
              </a:solidFill>
              <a:latin typeface="+mn-lt"/>
              <a:ea typeface="+mn-ea"/>
              <a:cs typeface="+mn-cs"/>
            </a:defRPr>
          </a:lvl3pPr>
          <a:lvl4pPr marL="1371600" lvl="3" algn="l" defTabSz="914400" rtl="0" eaLnBrk="1" latinLnBrk="0" hangingPunct="1">
            <a:defRPr sz="1800" kern="1200">
              <a:solidFill>
                <a:schemeClr val="lt1"/>
              </a:solidFill>
              <a:latin typeface="+mn-lt"/>
              <a:ea typeface="+mn-ea"/>
              <a:cs typeface="+mn-cs"/>
            </a:defRPr>
          </a:lvl4pPr>
          <a:lvl5pPr marL="1828800" lvl="4" algn="l" defTabSz="914400" rtl="0" eaLnBrk="1" latinLnBrk="0" hangingPunct="1">
            <a:defRPr sz="1800" kern="1200">
              <a:solidFill>
                <a:schemeClr val="lt1"/>
              </a:solidFill>
              <a:latin typeface="+mn-lt"/>
              <a:ea typeface="+mn-ea"/>
              <a:cs typeface="+mn-cs"/>
            </a:defRPr>
          </a:lvl5pPr>
          <a:lvl6pPr marL="2286000" lvl="5" algn="l" defTabSz="914400" rtl="0" eaLnBrk="1" latinLnBrk="0" hangingPunct="1">
            <a:defRPr sz="1800" kern="1200">
              <a:solidFill>
                <a:schemeClr val="lt1"/>
              </a:solidFill>
              <a:latin typeface="+mn-lt"/>
              <a:ea typeface="+mn-ea"/>
              <a:cs typeface="+mn-cs"/>
            </a:defRPr>
          </a:lvl6pPr>
          <a:lvl7pPr marL="2743200" lvl="6" algn="l" defTabSz="914400" rtl="0" eaLnBrk="1" latinLnBrk="0" hangingPunct="1">
            <a:defRPr sz="1800" kern="1200">
              <a:solidFill>
                <a:schemeClr val="lt1"/>
              </a:solidFill>
              <a:latin typeface="+mn-lt"/>
              <a:ea typeface="+mn-ea"/>
              <a:cs typeface="+mn-cs"/>
            </a:defRPr>
          </a:lvl7pPr>
          <a:lvl8pPr marL="3200400" lvl="7" algn="l" defTabSz="914400" rtl="0" eaLnBrk="1" latinLnBrk="0" hangingPunct="1">
            <a:defRPr sz="1800" kern="1200">
              <a:solidFill>
                <a:schemeClr val="lt1"/>
              </a:solidFill>
              <a:latin typeface="+mn-lt"/>
              <a:ea typeface="+mn-ea"/>
              <a:cs typeface="+mn-cs"/>
            </a:defRPr>
          </a:lvl8pPr>
          <a:lvl9pPr marL="3657600" lvl="8" algn="l" defTabSz="914400" rtl="0" eaLnBrk="1" latinLnBrk="0" hangingPunct="1">
            <a:defRPr sz="1800" kern="1200">
              <a:solidFill>
                <a:schemeClr val="lt1"/>
              </a:solidFill>
              <a:latin typeface="+mn-lt"/>
              <a:ea typeface="+mn-ea"/>
              <a:cs typeface="+mn-cs"/>
            </a:defRPr>
          </a:lvl9pPr>
        </a:lstStyle>
        <a:p>
          <a:pPr algn="r"/>
          <a:r>
            <a:rPr lang="en-US" sz="4000" b="1">
              <a:solidFill>
                <a:srgbClr val="FF7A00"/>
              </a:solidFill>
              <a:latin typeface="Calibri" panose="020F0502020204030204" pitchFamily="34" charset="0"/>
              <a:cs typeface="Calibri" panose="020F0502020204030204" pitchFamily="34" charset="0"/>
            </a:rPr>
            <a:t>Disclaimer</a:t>
          </a:r>
        </a:p>
      </xdr:txBody>
    </xdr:sp>
    <xdr:clientData/>
  </xdr:twoCellAnchor>
  <xdr:twoCellAnchor editAs="oneCell">
    <xdr:from>
      <xdr:col>15</xdr:col>
      <xdr:colOff>610272</xdr:colOff>
      <xdr:row>6</xdr:row>
      <xdr:rowOff>149872</xdr:rowOff>
    </xdr:from>
    <xdr:to>
      <xdr:col>21</xdr:col>
      <xdr:colOff>118219</xdr:colOff>
      <xdr:row>32</xdr:row>
      <xdr:rowOff>99917</xdr:rowOff>
    </xdr:to>
    <xdr:pic>
      <xdr:nvPicPr>
        <xdr:cNvPr id="7" name="Picture 6" descr="A person sitting on an orange chair with a computer&#10;&#10;Description automatically generated with medium confidence">
          <a:extLst>
            <a:ext uri="{FF2B5EF4-FFF2-40B4-BE49-F238E27FC236}">
              <a16:creationId xmlns:a16="http://schemas.microsoft.com/office/drawing/2014/main" id="{00000000-0008-0000-1500-000007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2900595" y="1256001"/>
          <a:ext cx="4424076" cy="4743271"/>
        </a:xfrm>
        <a:prstGeom prst="roundRect">
          <a:avLst/>
        </a:prstGeom>
      </xdr:spPr>
    </xdr:pic>
    <xdr:clientData/>
  </xdr:twoCellAnchor>
  <xdr:twoCellAnchor>
    <xdr:from>
      <xdr:col>31</xdr:col>
      <xdr:colOff>0</xdr:colOff>
      <xdr:row>1</xdr:row>
      <xdr:rowOff>0</xdr:rowOff>
    </xdr:from>
    <xdr:to>
      <xdr:col>33</xdr:col>
      <xdr:colOff>46892</xdr:colOff>
      <xdr:row>2</xdr:row>
      <xdr:rowOff>140108</xdr:rowOff>
    </xdr:to>
    <xdr:grpSp>
      <xdr:nvGrpSpPr>
        <xdr:cNvPr id="8" name="Group 7">
          <a:extLst>
            <a:ext uri="{FF2B5EF4-FFF2-40B4-BE49-F238E27FC236}">
              <a16:creationId xmlns:a16="http://schemas.microsoft.com/office/drawing/2014/main" id="{00000000-0008-0000-1500-000008000000}"/>
            </a:ext>
          </a:extLst>
        </xdr:cNvPr>
        <xdr:cNvGrpSpPr/>
      </xdr:nvGrpSpPr>
      <xdr:grpSpPr>
        <a:xfrm>
          <a:off x="25590500" y="190500"/>
          <a:ext cx="1697892" cy="330608"/>
          <a:chOff x="9503508" y="419387"/>
          <a:chExt cx="1697892" cy="285953"/>
        </a:xfrm>
      </xdr:grpSpPr>
      <xdr:sp macro="" textlink="Names!BQ2">
        <xdr:nvSpPr>
          <xdr:cNvPr id="9" name="Rounded Rectangle 8">
            <a:hlinkClick xmlns:r="http://schemas.openxmlformats.org/officeDocument/2006/relationships" r:id="rId2"/>
            <a:extLst>
              <a:ext uri="{FF2B5EF4-FFF2-40B4-BE49-F238E27FC236}">
                <a16:creationId xmlns:a16="http://schemas.microsoft.com/office/drawing/2014/main" id="{00000000-0008-0000-1500-000009000000}"/>
              </a:ext>
            </a:extLst>
          </xdr:cNvPr>
          <xdr:cNvSpPr/>
        </xdr:nvSpPr>
        <xdr:spPr>
          <a:xfrm>
            <a:off x="9503508" y="420076"/>
            <a:ext cx="1697892" cy="285264"/>
          </a:xfrm>
          <a:prstGeom prst="roundRect">
            <a:avLst/>
          </a:prstGeom>
          <a:solidFill>
            <a:srgbClr val="FE78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10" name="Gráfico 4" descr="Seta de linha: retorno na horizontal com preenchimento sólido">
            <a:hlinkClick xmlns:r="http://schemas.openxmlformats.org/officeDocument/2006/relationships" r:id="rId2"/>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9592734" y="419387"/>
            <a:ext cx="258937" cy="264917"/>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177800</xdr:colOff>
      <xdr:row>0</xdr:row>
      <xdr:rowOff>50800</xdr:rowOff>
    </xdr:from>
    <xdr:to>
      <xdr:col>6</xdr:col>
      <xdr:colOff>780505</xdr:colOff>
      <xdr:row>2</xdr:row>
      <xdr:rowOff>78712</xdr:rowOff>
    </xdr:to>
    <xdr:sp macro="" textlink="">
      <xdr:nvSpPr>
        <xdr:cNvPr id="11" name="Content Placeholder 1">
          <a:extLst>
            <a:ext uri="{FF2B5EF4-FFF2-40B4-BE49-F238E27FC236}">
              <a16:creationId xmlns:a16="http://schemas.microsoft.com/office/drawing/2014/main" id="{00000000-0008-0000-1600-00000B000000}"/>
            </a:ext>
          </a:extLst>
        </xdr:cNvPr>
        <xdr:cNvSpPr txBox="1">
          <a:spLocks/>
        </xdr:cNvSpPr>
      </xdr:nvSpPr>
      <xdr:spPr>
        <a:xfrm>
          <a:off x="177800" y="50800"/>
          <a:ext cx="5631905" cy="43431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Glossary</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of operational definitions</a:t>
          </a:r>
        </a:p>
      </xdr:txBody>
    </xdr:sp>
    <xdr:clientData/>
  </xdr:twoCellAnchor>
  <xdr:twoCellAnchor>
    <xdr:from>
      <xdr:col>0</xdr:col>
      <xdr:colOff>177800</xdr:colOff>
      <xdr:row>48</xdr:row>
      <xdr:rowOff>187926</xdr:rowOff>
    </xdr:from>
    <xdr:to>
      <xdr:col>9</xdr:col>
      <xdr:colOff>152762</xdr:colOff>
      <xdr:row>51</xdr:row>
      <xdr:rowOff>12638</xdr:rowOff>
    </xdr:to>
    <xdr:sp macro="" textlink="">
      <xdr:nvSpPr>
        <xdr:cNvPr id="13" name="Content Placeholder 1">
          <a:extLst>
            <a:ext uri="{FF2B5EF4-FFF2-40B4-BE49-F238E27FC236}">
              <a16:creationId xmlns:a16="http://schemas.microsoft.com/office/drawing/2014/main" id="{00000000-0008-0000-1600-00000D000000}"/>
            </a:ext>
          </a:extLst>
        </xdr:cNvPr>
        <xdr:cNvSpPr txBox="1">
          <a:spLocks/>
        </xdr:cNvSpPr>
      </xdr:nvSpPr>
      <xdr:spPr>
        <a:xfrm>
          <a:off x="177800" y="6893526"/>
          <a:ext cx="7518762" cy="43431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Glossary</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of financial measures reconciliation</a:t>
          </a:r>
        </a:p>
      </xdr:txBody>
    </xdr:sp>
    <xdr:clientData/>
  </xdr:twoCellAnchor>
  <xdr:twoCellAnchor>
    <xdr:from>
      <xdr:col>8</xdr:col>
      <xdr:colOff>189154</xdr:colOff>
      <xdr:row>0</xdr:row>
      <xdr:rowOff>92364</xdr:rowOff>
    </xdr:from>
    <xdr:to>
      <xdr:col>15</xdr:col>
      <xdr:colOff>309259</xdr:colOff>
      <xdr:row>2</xdr:row>
      <xdr:rowOff>94876</xdr:rowOff>
    </xdr:to>
    <xdr:sp macro="" textlink="">
      <xdr:nvSpPr>
        <xdr:cNvPr id="16" name="Content Placeholder 1">
          <a:extLst>
            <a:ext uri="{FF2B5EF4-FFF2-40B4-BE49-F238E27FC236}">
              <a16:creationId xmlns:a16="http://schemas.microsoft.com/office/drawing/2014/main" id="{00000000-0008-0000-1600-000010000000}"/>
            </a:ext>
          </a:extLst>
        </xdr:cNvPr>
        <xdr:cNvSpPr txBox="1">
          <a:spLocks/>
        </xdr:cNvSpPr>
      </xdr:nvSpPr>
      <xdr:spPr>
        <a:xfrm>
          <a:off x="6885518" y="92364"/>
          <a:ext cx="5979423" cy="406603"/>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Glossário</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de definições operacionais </a:t>
          </a:r>
        </a:p>
      </xdr:txBody>
    </xdr:sp>
    <xdr:clientData/>
  </xdr:twoCellAnchor>
  <xdr:twoCellAnchor>
    <xdr:from>
      <xdr:col>8</xdr:col>
      <xdr:colOff>189154</xdr:colOff>
      <xdr:row>48</xdr:row>
      <xdr:rowOff>187927</xdr:rowOff>
    </xdr:from>
    <xdr:to>
      <xdr:col>17</xdr:col>
      <xdr:colOff>820458</xdr:colOff>
      <xdr:row>50</xdr:row>
      <xdr:rowOff>190438</xdr:rowOff>
    </xdr:to>
    <xdr:sp macro="" textlink="">
      <xdr:nvSpPr>
        <xdr:cNvPr id="18" name="Content Placeholder 1">
          <a:extLst>
            <a:ext uri="{FF2B5EF4-FFF2-40B4-BE49-F238E27FC236}">
              <a16:creationId xmlns:a16="http://schemas.microsoft.com/office/drawing/2014/main" id="{00000000-0008-0000-1600-000012000000}"/>
            </a:ext>
          </a:extLst>
        </xdr:cNvPr>
        <xdr:cNvSpPr txBox="1">
          <a:spLocks/>
        </xdr:cNvSpPr>
      </xdr:nvSpPr>
      <xdr:spPr>
        <a:xfrm>
          <a:off x="6885518" y="9886109"/>
          <a:ext cx="8164713" cy="40660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Glossário</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de conciliação de indicadores financeiros</a:t>
          </a:r>
        </a:p>
      </xdr:txBody>
    </xdr:sp>
    <xdr:clientData/>
  </xdr:twoCellAnchor>
  <xdr:twoCellAnchor>
    <xdr:from>
      <xdr:col>16</xdr:col>
      <xdr:colOff>36946</xdr:colOff>
      <xdr:row>0</xdr:row>
      <xdr:rowOff>118918</xdr:rowOff>
    </xdr:from>
    <xdr:to>
      <xdr:col>18</xdr:col>
      <xdr:colOff>83838</xdr:colOff>
      <xdr:row>2</xdr:row>
      <xdr:rowOff>56684</xdr:rowOff>
    </xdr:to>
    <xdr:grpSp>
      <xdr:nvGrpSpPr>
        <xdr:cNvPr id="32" name="Group 31">
          <a:extLst>
            <a:ext uri="{FF2B5EF4-FFF2-40B4-BE49-F238E27FC236}">
              <a16:creationId xmlns:a16="http://schemas.microsoft.com/office/drawing/2014/main" id="{00000000-0008-0000-1600-000020000000}"/>
            </a:ext>
          </a:extLst>
        </xdr:cNvPr>
        <xdr:cNvGrpSpPr/>
      </xdr:nvGrpSpPr>
      <xdr:grpSpPr>
        <a:xfrm>
          <a:off x="13244946" y="118918"/>
          <a:ext cx="1697892" cy="318766"/>
          <a:chOff x="9503508" y="419387"/>
          <a:chExt cx="1697892" cy="285953"/>
        </a:xfrm>
      </xdr:grpSpPr>
      <xdr:sp macro="" textlink="Names!BQ2">
        <xdr:nvSpPr>
          <xdr:cNvPr id="33" name="Rounded Rectangle 32">
            <a:hlinkClick xmlns:r="http://schemas.openxmlformats.org/officeDocument/2006/relationships" r:id="rId1"/>
            <a:extLst>
              <a:ext uri="{FF2B5EF4-FFF2-40B4-BE49-F238E27FC236}">
                <a16:creationId xmlns:a16="http://schemas.microsoft.com/office/drawing/2014/main" id="{00000000-0008-0000-1600-000021000000}"/>
              </a:ext>
            </a:extLst>
          </xdr:cNvPr>
          <xdr:cNvSpPr/>
        </xdr:nvSpPr>
        <xdr:spPr>
          <a:xfrm>
            <a:off x="9503508" y="420076"/>
            <a:ext cx="1697892" cy="285264"/>
          </a:xfrm>
          <a:prstGeom prst="roundRect">
            <a:avLst/>
          </a:prstGeom>
          <a:solidFill>
            <a:srgbClr val="FE78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3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9592734" y="419387"/>
            <a:ext cx="258937" cy="264917"/>
          </a:xfrm>
          <a:prstGeom prst="rect">
            <a:avLst/>
          </a:prstGeom>
        </xdr:spPr>
      </xdr:pic>
    </xdr:grpSp>
    <xdr:clientData/>
  </xdr:twoCellAnchor>
  <xdr:twoCellAnchor>
    <xdr:from>
      <xdr:col>0</xdr:col>
      <xdr:colOff>188149</xdr:colOff>
      <xdr:row>4</xdr:row>
      <xdr:rowOff>0</xdr:rowOff>
    </xdr:from>
    <xdr:to>
      <xdr:col>7</xdr:col>
      <xdr:colOff>76483</xdr:colOff>
      <xdr:row>29</xdr:row>
      <xdr:rowOff>65128</xdr:rowOff>
    </xdr:to>
    <mc:AlternateContent xmlns:mc="http://schemas.openxmlformats.org/markup-compatibility/2006" xmlns:a14="http://schemas.microsoft.com/office/drawing/2010/main">
      <mc:Choice Requires="a14">
        <xdr:sp macro="" textlink="">
          <xdr:nvSpPr>
            <xdr:cNvPr id="12" name="Retângulo 4">
              <a:extLst>
                <a:ext uri="{FF2B5EF4-FFF2-40B4-BE49-F238E27FC236}">
                  <a16:creationId xmlns:a16="http://schemas.microsoft.com/office/drawing/2014/main" id="{00000000-0008-0000-1600-00000C000000}"/>
                </a:ext>
              </a:extLst>
            </xdr:cNvPr>
            <xdr:cNvSpPr/>
          </xdr:nvSpPr>
          <xdr:spPr>
            <a:xfrm>
              <a:off x="188149" y="781538"/>
              <a:ext cx="5587052" cy="4949744"/>
            </a:xfrm>
            <a:prstGeom prst="rect">
              <a:avLst/>
            </a:prstGeom>
          </xdr:spPr>
          <xdr:txBody>
            <a:bodyPr wrap="square">
              <a:no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Activation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900" i="1">
                            <a:solidFill>
                              <a:schemeClr val="tx1"/>
                            </a:solidFill>
                            <a:latin typeface="Cambria Math" panose="02040503050406030204" pitchFamily="18" charset="0"/>
                            <a:cs typeface="Sora" pitchFamily="2" charset="0"/>
                          </a:rPr>
                        </m:ctrlPr>
                      </m:fPr>
                      <m:num>
                        <m:r>
                          <m:rPr>
                            <m:sty m:val="p"/>
                          </m:rPr>
                          <a:rPr lang="pt-BR" sz="900" i="0">
                            <a:latin typeface="Cambria Math" panose="02040503050406030204" pitchFamily="18" charset="0"/>
                            <a:cs typeface="Sora" pitchFamily="2" charset="0"/>
                          </a:rPr>
                          <m:t>Number</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of</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active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clients</m:t>
                        </m:r>
                        <m:r>
                          <a:rPr lang="pt-BR" sz="90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at</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end</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of</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the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quarter</m:t>
                        </m:r>
                      </m:num>
                      <m:den>
                        <m:r>
                          <m:rPr>
                            <m:sty m:val="p"/>
                          </m:rPr>
                          <a:rPr lang="pt-BR" sz="900">
                            <a:latin typeface="Cambria Math" panose="02040503050406030204" pitchFamily="18" charset="0"/>
                            <a:cs typeface="Sora" pitchFamily="2" charset="0"/>
                          </a:rPr>
                          <m:t>Total</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number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clients</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at</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end</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quarter</m:t>
                        </m:r>
                      </m:den>
                    </m:f>
                    <m:r>
                      <a:rPr lang="pt-BR" sz="900" i="1">
                        <a:latin typeface="Cambria Math" panose="02040503050406030204" pitchFamily="18" charset="0"/>
                        <a:cs typeface="Sora" pitchFamily="2" charset="0"/>
                      </a:rPr>
                      <m:t> </m:t>
                    </m:r>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a:t>
              </a:r>
            </a:p>
            <a:p>
              <a:pPr algn="just"/>
              <a:r>
                <a:rPr lang="en-US" sz="900">
                  <a:latin typeface="Calibri" panose="020F0502020204030204" pitchFamily="34" charset="0"/>
                  <a:ea typeface="Inter" panose="020B0502030000000004" pitchFamily="34" charset="0"/>
                  <a:cs typeface="Calibri" panose="020F0502020204030204" pitchFamily="34" charset="0"/>
                </a:rPr>
                <a:t>We define an active client  as a customer at any given date that was the source of any amount of revenue for us in the preceding three months, or/and a customer that used products in the preceding three months. For Inter insurance, we calculate the number of active clients for our insurance brokerage vertical as the number of beneficiaries of insurance policies effective as of a particular date. For Inter Invest, we calculate the number of active clients as the number of individual accounts that have invested on our platform over the applicable period. </a:t>
              </a: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 per employee: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900" i="1">
                            <a:solidFill>
                              <a:schemeClr val="tx1"/>
                            </a:solidFill>
                            <a:latin typeface="Cambria Math" panose="02040503050406030204" pitchFamily="18" charset="0"/>
                            <a:cs typeface="Sora" pitchFamily="2" charset="0"/>
                          </a:rPr>
                        </m:ctrlPr>
                      </m:fPr>
                      <m:num>
                        <m:r>
                          <m:rPr>
                            <m:sty m:val="p"/>
                          </m:rPr>
                          <a:rPr lang="pt-BR" sz="900" i="0">
                            <a:latin typeface="Cambria Math" panose="02040503050406030204" pitchFamily="18" charset="0"/>
                            <a:cs typeface="Sora" pitchFamily="2" charset="0"/>
                          </a:rPr>
                          <m:t>Number</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of</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active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clients</m:t>
                        </m:r>
                        <m:r>
                          <a:rPr lang="pt-BR" sz="90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at</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end</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of</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quarter</m:t>
                        </m:r>
                      </m:num>
                      <m:den>
                        <m:r>
                          <m:rPr>
                            <m:sty m:val="p"/>
                          </m:rPr>
                          <a:rPr lang="pt-BR" sz="900">
                            <a:latin typeface="Cambria Math" panose="02040503050406030204" pitchFamily="18" charset="0"/>
                            <a:cs typeface="Sora" pitchFamily="2" charset="0"/>
                          </a:rPr>
                          <m:t>Total</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number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employees</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at</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end</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quarter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including</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interns</m:t>
                        </m:r>
                      </m:den>
                    </m:f>
                  </m:oMath>
                </m:oMathPara>
              </a14:m>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a:t>
              </a:r>
            </a:p>
            <a:p>
              <a:pPr algn="just"/>
              <a:r>
                <a:rPr lang="en-US" sz="900">
                  <a:latin typeface="Calibri" panose="020F0502020204030204" pitchFamily="34" charset="0"/>
                  <a:ea typeface="Inter" panose="020B0502030000000004" pitchFamily="34" charset="0"/>
                  <a:cs typeface="Calibri" panose="020F0502020204030204" pitchFamily="34" charset="0"/>
                </a:rPr>
                <a:t>PIX, debit and credit cards and withdrawal transacted volumes of a given period. PIX is a Central Bank of Brazil solution to bring instant payments among banks and financial institutions in Brazil.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 per active client:</a:t>
              </a:r>
            </a:p>
            <a:p>
              <a:pPr algn="just"/>
              <a:r>
                <a:rPr lang="en-US" sz="900">
                  <a:latin typeface="Calibri" panose="020F0502020204030204" pitchFamily="34" charset="0"/>
                  <a:ea typeface="Inter" panose="020B0502030000000004" pitchFamily="34" charset="0"/>
                  <a:cs typeface="Calibri" panose="020F0502020204030204" pitchFamily="34" charset="0"/>
                </a:rPr>
                <a:t>Card+PIX TPV for a given period divided by the number of active clients as of the last day of the period. </a:t>
              </a:r>
            </a:p>
            <a:p>
              <a:pPr algn="just"/>
              <a:endParaRPr lang="en-US" sz="900" b="1">
                <a:latin typeface="Calibri" panose="020F05020202040302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12" name="Retângulo 4">
              <a:extLst>
                <a:ext uri="{FF2B5EF4-FFF2-40B4-BE49-F238E27FC236}">
                  <a16:creationId xmlns:a16="http://schemas.microsoft.com/office/drawing/2014/main" id="{F9DADA9B-998C-8ADD-51C9-5BE87BE52B55}"/>
                </a:ext>
              </a:extLst>
            </xdr:cNvPr>
            <xdr:cNvSpPr/>
          </xdr:nvSpPr>
          <xdr:spPr>
            <a:xfrm>
              <a:off x="188149" y="781538"/>
              <a:ext cx="5587052" cy="4949744"/>
            </a:xfrm>
            <a:prstGeom prst="rect">
              <a:avLst/>
            </a:prstGeom>
          </xdr:spPr>
          <xdr:txBody>
            <a:bodyPr wrap="square">
              <a:no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Activation Rate:</a:t>
              </a:r>
            </a:p>
            <a:p>
              <a:endParaRPr lang="en-US" sz="900" b="1">
                <a:latin typeface="Calibri" panose="020F0502020204030204" pitchFamily="34" charset="0"/>
                <a:cs typeface="Calibri" panose="020F0502020204030204" pitchFamily="34" charset="0"/>
              </a:endParaRPr>
            </a:p>
            <a:p>
              <a:pP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Number of active clients </a:t>
              </a:r>
              <a:r>
                <a:rPr lang="pt-BR" sz="900" b="0" i="0">
                  <a:latin typeface="Cambria Math" panose="02040503050406030204" pitchFamily="18" charset="0"/>
                  <a:cs typeface="Sora" pitchFamily="2" charset="0"/>
                </a:rPr>
                <a:t>at</a:t>
              </a:r>
              <a:r>
                <a:rPr lang="pt-BR" sz="900" i="0">
                  <a:latin typeface="Cambria Math" panose="02040503050406030204" pitchFamily="18" charset="0"/>
                  <a:cs typeface="Sora" pitchFamily="2" charset="0"/>
                </a:rPr>
                <a:t> the</a:t>
              </a:r>
              <a:r>
                <a:rPr lang="pt-BR" sz="900" b="0" i="0">
                  <a:latin typeface="Cambria Math" panose="02040503050406030204" pitchFamily="18" charset="0"/>
                  <a:cs typeface="Sora" pitchFamily="2" charset="0"/>
                </a:rPr>
                <a:t> end of the</a:t>
              </a:r>
              <a:r>
                <a:rPr lang="pt-BR" sz="900" i="0">
                  <a:latin typeface="Cambria Math" panose="02040503050406030204" pitchFamily="18" charset="0"/>
                  <a:cs typeface="Sora" pitchFamily="2" charset="0"/>
                </a:rPr>
                <a:t> quarter</a:t>
              </a: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Total number of clients at the end of the quarter</a:t>
              </a:r>
              <a:r>
                <a:rPr lang="en-US" sz="900" i="0">
                  <a:solidFill>
                    <a:schemeClr val="tx1"/>
                  </a:solidFill>
                  <a:latin typeface="Cambria Math" panose="02040503050406030204" pitchFamily="18" charset="0"/>
                  <a:cs typeface="Sora" pitchFamily="2" charset="0"/>
                </a:rPr>
                <a:t>)</a:t>
              </a:r>
              <a:r>
                <a:rPr lang="pt-BR" sz="900" i="0">
                  <a:solidFill>
                    <a:schemeClr val="tx1"/>
                  </a:solidFill>
                  <a:latin typeface="Cambria Math" panose="02040503050406030204" pitchFamily="18" charset="0"/>
                  <a:cs typeface="Sora" pitchFamily="2" charset="0"/>
                </a:rPr>
                <a:t> </a:t>
              </a:r>
              <a:r>
                <a:rPr lang="pt-BR" sz="900" i="0">
                  <a:latin typeface="Cambria Math" panose="02040503050406030204" pitchFamily="18" charset="0"/>
                  <a:cs typeface="Sora" pitchFamily="2" charset="0"/>
                </a:rPr>
                <a:t> </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a:t>
              </a:r>
            </a:p>
            <a:p>
              <a:pPr algn="just"/>
              <a:r>
                <a:rPr lang="en-US" sz="900">
                  <a:latin typeface="Calibri" panose="020F0502020204030204" pitchFamily="34" charset="0"/>
                  <a:ea typeface="Inter" panose="020B0502030000000004" pitchFamily="34" charset="0"/>
                  <a:cs typeface="Calibri" panose="020F0502020204030204" pitchFamily="34" charset="0"/>
                </a:rPr>
                <a:t>We define an active client  as a customer at any given date that was the source of any amount of revenue for us in the preceding three months, or/and a customer that used products in the preceding three months. For Inter insurance, we calculate the number of active clients for our insurance brokerage vertical as the number of beneficiaries of insurance policies effective as of a particular date. For Inter Invest, we calculate the number of active clients as the number of individual accounts that have invested on our platform over the applicable period. </a:t>
              </a: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 per employee:</a:t>
              </a:r>
            </a:p>
            <a:p>
              <a:endParaRPr lang="en-US" sz="900" b="1">
                <a:latin typeface="Calibri" panose="020F0502020204030204" pitchFamily="34" charset="0"/>
                <a:cs typeface="Calibri" panose="020F0502020204030204" pitchFamily="34" charset="0"/>
              </a:endParaRPr>
            </a:p>
            <a:p>
              <a:pP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Number of active clients </a:t>
              </a:r>
              <a:r>
                <a:rPr lang="pt-BR" sz="900" b="0" i="0">
                  <a:latin typeface="Cambria Math" panose="02040503050406030204" pitchFamily="18" charset="0"/>
                  <a:cs typeface="Sora" pitchFamily="2" charset="0"/>
                </a:rPr>
                <a:t>at</a:t>
              </a:r>
              <a:r>
                <a:rPr lang="pt-BR" sz="900" i="0">
                  <a:latin typeface="Cambria Math" panose="02040503050406030204" pitchFamily="18" charset="0"/>
                  <a:cs typeface="Sora" pitchFamily="2" charset="0"/>
                </a:rPr>
                <a:t> the</a:t>
              </a:r>
              <a:r>
                <a:rPr lang="pt-BR" sz="900" b="0" i="0">
                  <a:latin typeface="Cambria Math" panose="02040503050406030204" pitchFamily="18" charset="0"/>
                  <a:cs typeface="Sora" pitchFamily="2" charset="0"/>
                </a:rPr>
                <a:t> end of the  </a:t>
              </a:r>
              <a:r>
                <a:rPr lang="pt-BR" sz="900" i="0">
                  <a:latin typeface="Cambria Math" panose="02040503050406030204" pitchFamily="18" charset="0"/>
                  <a:cs typeface="Sora" pitchFamily="2" charset="0"/>
                </a:rPr>
                <a:t>quarter</a:t>
              </a: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Total number of employees at the end of the quarter, including interns</a:t>
              </a:r>
              <a:r>
                <a:rPr lang="en-US" sz="900" i="0">
                  <a:solidFill>
                    <a:schemeClr val="tx1"/>
                  </a:solidFill>
                  <a:latin typeface="Cambria Math" panose="02040503050406030204" pitchFamily="18" charset="0"/>
                  <a:cs typeface="Sora" pitchFamily="2" charset="0"/>
                </a:rPr>
                <a:t>)</a:t>
              </a:r>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a:t>
              </a:r>
            </a:p>
            <a:p>
              <a:pPr algn="just"/>
              <a:r>
                <a:rPr lang="en-US" sz="900">
                  <a:latin typeface="Calibri" panose="020F0502020204030204" pitchFamily="34" charset="0"/>
                  <a:ea typeface="Inter" panose="020B0502030000000004" pitchFamily="34" charset="0"/>
                  <a:cs typeface="Calibri" panose="020F0502020204030204" pitchFamily="34" charset="0"/>
                </a:rPr>
                <a:t>PIX, debit and credit cards and withdrawal transacted volumes of a given period. PIX is a Central Bank of Brazil solution to bring instant payments among banks and financial institutions in Brazil.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 per active client:</a:t>
              </a:r>
            </a:p>
            <a:p>
              <a:pPr algn="just"/>
              <a:r>
                <a:rPr lang="en-US" sz="900">
                  <a:latin typeface="Calibri" panose="020F0502020204030204" pitchFamily="34" charset="0"/>
                  <a:ea typeface="Inter" panose="020B0502030000000004" pitchFamily="34" charset="0"/>
                  <a:cs typeface="Calibri" panose="020F0502020204030204" pitchFamily="34" charset="0"/>
                </a:rPr>
                <a:t>Card+PIX TPV for a given period divided by the number of active clients as of the last day of the period. </a:t>
              </a:r>
            </a:p>
            <a:p>
              <a:pPr algn="just"/>
              <a:endParaRPr lang="en-US" sz="900" b="1">
                <a:latin typeface="Calibri" panose="020F05020202040302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0</xdr:col>
      <xdr:colOff>182608</xdr:colOff>
      <xdr:row>29</xdr:row>
      <xdr:rowOff>63922</xdr:rowOff>
    </xdr:from>
    <xdr:to>
      <xdr:col>6</xdr:col>
      <xdr:colOff>755210</xdr:colOff>
      <xdr:row>49</xdr:row>
      <xdr:rowOff>99933</xdr:rowOff>
    </xdr:to>
    <mc:AlternateContent xmlns:mc="http://schemas.openxmlformats.org/markup-compatibility/2006" xmlns:a14="http://schemas.microsoft.com/office/drawing/2010/main">
      <mc:Choice Requires="a14">
        <xdr:sp macro="" textlink="">
          <xdr:nvSpPr>
            <xdr:cNvPr id="15" name="Retângulo 4">
              <a:extLst>
                <a:ext uri="{FF2B5EF4-FFF2-40B4-BE49-F238E27FC236}">
                  <a16:creationId xmlns:a16="http://schemas.microsoft.com/office/drawing/2014/main" id="{00000000-0008-0000-1600-00000F000000}"/>
                </a:ext>
              </a:extLst>
            </xdr:cNvPr>
            <xdr:cNvSpPr/>
          </xdr:nvSpPr>
          <xdr:spPr>
            <a:xfrm>
              <a:off x="182608" y="5401603"/>
              <a:ext cx="5542167" cy="3717171"/>
            </a:xfrm>
            <a:prstGeom prst="rect">
              <a:avLst/>
            </a:prstGeom>
          </xdr:spPr>
          <xdr:txBody>
            <a:bodyPr wrap="square">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Client acquisition cost (CAC):</a:t>
              </a:r>
            </a:p>
            <a:p>
              <a:pPr algn="just"/>
              <a:r>
                <a:rPr lang="en-US" sz="900">
                  <a:latin typeface="Calibri" panose="020F0502020204030204" pitchFamily="34" charset="0"/>
                  <a:ea typeface="Inter" panose="020B0502030000000004" pitchFamily="34" charset="0"/>
                  <a:cs typeface="Calibri" panose="020F0502020204030204" pitchFamily="34" charset="0"/>
                </a:rPr>
                <a:t>The average cost to add a client to the platform, considering operating expenses for opening an account, such as onboarding personnel, embossing and sending cards and digital marketing expenses with a focus on client acquisition, divided by the number of accounts opened in the quarter.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merchandise volume (GMV):</a:t>
              </a:r>
            </a:p>
            <a:p>
              <a:pPr algn="just"/>
              <a:r>
                <a:rPr lang="en-US" sz="900">
                  <a:latin typeface="Calibri" panose="020F0502020204030204" pitchFamily="34" charset="0"/>
                  <a:ea typeface="Inter" panose="020B0502030000000004" pitchFamily="34" charset="0"/>
                  <a:cs typeface="Calibri" panose="020F0502020204030204" pitchFamily="34" charset="0"/>
                </a:rPr>
                <a:t>Gross merchandise value, or GMV, for a given period as the total value of all sales made or initiated through our Inter Shop &amp; Commerce Plus platform managed by Inter Shop &amp; Commerce Plus.</a:t>
              </a: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take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rPr>
                        </m:ctrlPr>
                      </m:fPr>
                      <m:num>
                        <m:r>
                          <m:rPr>
                            <m:sty m:val="p"/>
                          </m:rPr>
                          <a:rPr lang="pt-BR" sz="900">
                            <a:latin typeface="Cambria Math" panose="02040503050406030204" pitchFamily="18" charset="0"/>
                          </a:rPr>
                          <m:t>Inter</m:t>
                        </m:r>
                        <m:r>
                          <a:rPr lang="pt-BR" sz="900">
                            <a:latin typeface="Cambria Math" panose="02040503050406030204" pitchFamily="18" charset="0"/>
                          </a:rPr>
                          <m:t> </m:t>
                        </m:r>
                        <m:r>
                          <m:rPr>
                            <m:sty m:val="p"/>
                          </m:rPr>
                          <a:rPr lang="pt-BR" sz="900">
                            <a:latin typeface="Cambria Math" panose="02040503050406030204" pitchFamily="18" charset="0"/>
                          </a:rPr>
                          <m:t>Shop</m:t>
                        </m:r>
                        <m:r>
                          <a:rPr lang="pt-BR" sz="900">
                            <a:latin typeface="Cambria Math" panose="02040503050406030204" pitchFamily="18" charset="0"/>
                          </a:rPr>
                          <m:t> </m:t>
                        </m:r>
                        <m:r>
                          <m:rPr>
                            <m:sty m:val="p"/>
                          </m:rPr>
                          <a:rPr lang="pt-BR" sz="900">
                            <a:latin typeface="Cambria Math" panose="02040503050406030204" pitchFamily="18" charset="0"/>
                          </a:rPr>
                          <m:t>gross</m:t>
                        </m:r>
                        <m:r>
                          <a:rPr lang="pt-BR" sz="900">
                            <a:latin typeface="Cambria Math" panose="02040503050406030204" pitchFamily="18" charset="0"/>
                          </a:rPr>
                          <m:t> </m:t>
                        </m:r>
                        <m:r>
                          <m:rPr>
                            <m:sty m:val="p"/>
                          </m:rPr>
                          <a:rPr lang="pt-BR" sz="900" i="1">
                            <a:latin typeface="Cambria Math" panose="02040503050406030204" pitchFamily="18" charset="0"/>
                          </a:rPr>
                          <m:t>revenue</m:t>
                        </m:r>
                      </m:num>
                      <m:den>
                        <m:r>
                          <m:rPr>
                            <m:sty m:val="p"/>
                          </m:rPr>
                          <a:rPr lang="pt-BR" sz="900">
                            <a:latin typeface="Cambria Math" panose="02040503050406030204" pitchFamily="18" charset="0"/>
                          </a:rPr>
                          <m:t>GMV</m:t>
                        </m:r>
                      </m:den>
                    </m:f>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Net take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rPr>
                        </m:ctrlPr>
                      </m:fPr>
                      <m:num>
                        <m:r>
                          <m:rPr>
                            <m:sty m:val="p"/>
                          </m:rPr>
                          <a:rPr lang="pt-BR" sz="900">
                            <a:latin typeface="Cambria Math" panose="02040503050406030204" pitchFamily="18" charset="0"/>
                          </a:rPr>
                          <m:t>Inter</m:t>
                        </m:r>
                        <m:r>
                          <a:rPr lang="pt-BR" sz="900">
                            <a:latin typeface="Cambria Math" panose="02040503050406030204" pitchFamily="18" charset="0"/>
                          </a:rPr>
                          <m:t> </m:t>
                        </m:r>
                        <m:r>
                          <m:rPr>
                            <m:sty m:val="p"/>
                          </m:rPr>
                          <a:rPr lang="pt-BR" sz="900">
                            <a:latin typeface="Cambria Math" panose="02040503050406030204" pitchFamily="18" charset="0"/>
                          </a:rPr>
                          <m:t>Shop</m:t>
                        </m:r>
                        <m:r>
                          <a:rPr lang="pt-BR" sz="900">
                            <a:latin typeface="Cambria Math" panose="02040503050406030204" pitchFamily="18" charset="0"/>
                          </a:rPr>
                          <m:t> </m:t>
                        </m:r>
                        <m:r>
                          <m:rPr>
                            <m:sty m:val="p"/>
                          </m:rPr>
                          <a:rPr lang="pt-BR" sz="900">
                            <a:latin typeface="Cambria Math" panose="02040503050406030204" pitchFamily="18" charset="0"/>
                          </a:rPr>
                          <m:t>net</m:t>
                        </m:r>
                        <m:r>
                          <a:rPr lang="pt-BR" sz="900">
                            <a:latin typeface="Cambria Math" panose="02040503050406030204" pitchFamily="18" charset="0"/>
                          </a:rPr>
                          <m:t> </m:t>
                        </m:r>
                        <m:r>
                          <m:rPr>
                            <m:sty m:val="p"/>
                          </m:rPr>
                          <a:rPr lang="pt-BR" sz="900" i="1">
                            <a:latin typeface="Cambria Math" panose="02040503050406030204" pitchFamily="18" charset="0"/>
                          </a:rPr>
                          <m:t>revenue</m:t>
                        </m:r>
                      </m:num>
                      <m:den>
                        <m:r>
                          <m:rPr>
                            <m:sty m:val="p"/>
                          </m:rPr>
                          <a:rPr lang="pt-BR" sz="900">
                            <a:latin typeface="Cambria Math" panose="02040503050406030204" pitchFamily="18" charset="0"/>
                          </a:rPr>
                          <m:t>GMV</m:t>
                        </m:r>
                      </m:den>
                    </m:f>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xdr:txBody>
        </xdr:sp>
      </mc:Choice>
      <mc:Fallback xmlns="">
        <xdr:sp macro="" textlink="">
          <xdr:nvSpPr>
            <xdr:cNvPr id="15" name="Retângulo 4">
              <a:extLst>
                <a:ext uri="{FF2B5EF4-FFF2-40B4-BE49-F238E27FC236}">
                  <a16:creationId xmlns:a16="http://schemas.microsoft.com/office/drawing/2014/main" id="{6F5FBE76-732D-2025-5606-83466F1666EC}"/>
                </a:ext>
              </a:extLst>
            </xdr:cNvPr>
            <xdr:cNvSpPr/>
          </xdr:nvSpPr>
          <xdr:spPr>
            <a:xfrm>
              <a:off x="182608" y="5401603"/>
              <a:ext cx="5542167" cy="3717171"/>
            </a:xfrm>
            <a:prstGeom prst="rect">
              <a:avLst/>
            </a:prstGeom>
          </xdr:spPr>
          <xdr:txBody>
            <a:bodyPr wrap="square">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Client acquisition cost (CAC):</a:t>
              </a:r>
            </a:p>
            <a:p>
              <a:pPr algn="just"/>
              <a:r>
                <a:rPr lang="en-US" sz="900">
                  <a:latin typeface="Calibri" panose="020F0502020204030204" pitchFamily="34" charset="0"/>
                  <a:ea typeface="Inter" panose="020B0502030000000004" pitchFamily="34" charset="0"/>
                  <a:cs typeface="Calibri" panose="020F0502020204030204" pitchFamily="34" charset="0"/>
                </a:rPr>
                <a:t>The average cost to add a client to the platform, considering operating expenses for opening an account, such as onboarding personnel, embossing and sending cards and digital marketing expenses with a focus on client acquisition, divided by the number of accounts opened in the quarter.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merchandise volume (GMV):</a:t>
              </a:r>
            </a:p>
            <a:p>
              <a:pPr algn="just"/>
              <a:r>
                <a:rPr lang="en-US" sz="900">
                  <a:latin typeface="Calibri" panose="020F0502020204030204" pitchFamily="34" charset="0"/>
                  <a:ea typeface="Inter" panose="020B0502030000000004" pitchFamily="34" charset="0"/>
                  <a:cs typeface="Calibri" panose="020F0502020204030204" pitchFamily="34" charset="0"/>
                </a:rPr>
                <a:t>Gross merchandise value, or GMV, for a given period as the total value of all sales made or initiated through our Inter Shop &amp; Commerce Plus platform managed by Inter Shop &amp; Commerce Plus.</a:t>
              </a: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take rate:</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rPr>
                <a:t>(Inter Shop gross revenue)/GMV</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Net take rate:</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rPr>
                <a:t>(Inter Shop net revenue)/GMV</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xdr:txBody>
        </xdr:sp>
      </mc:Fallback>
    </mc:AlternateContent>
    <xdr:clientData/>
  </xdr:twoCellAnchor>
  <xdr:twoCellAnchor>
    <xdr:from>
      <xdr:col>0</xdr:col>
      <xdr:colOff>177800</xdr:colOff>
      <xdr:row>53</xdr:row>
      <xdr:rowOff>0</xdr:rowOff>
    </xdr:from>
    <xdr:to>
      <xdr:col>7</xdr:col>
      <xdr:colOff>144745</xdr:colOff>
      <xdr:row>85</xdr:row>
      <xdr:rowOff>1180</xdr:rowOff>
    </xdr:to>
    <mc:AlternateContent xmlns:mc="http://schemas.openxmlformats.org/markup-compatibility/2006" xmlns:a14="http://schemas.microsoft.com/office/drawing/2010/main">
      <mc:Choice Requires="a14">
        <xdr:sp macro="" textlink="">
          <xdr:nvSpPr>
            <xdr:cNvPr id="21" name="Retângulo 9">
              <a:extLst>
                <a:ext uri="{FF2B5EF4-FFF2-40B4-BE49-F238E27FC236}">
                  <a16:creationId xmlns:a16="http://schemas.microsoft.com/office/drawing/2014/main" id="{00000000-0008-0000-1600-000015000000}"/>
                </a:ext>
              </a:extLst>
            </xdr:cNvPr>
            <xdr:cNvSpPr/>
          </xdr:nvSpPr>
          <xdr:spPr>
            <a:xfrm>
              <a:off x="177800" y="9755072"/>
              <a:ext cx="5764771" cy="5891036"/>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Administrative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ea typeface="Cambria Math" panose="02040503050406030204" pitchFamily="18" charset="0"/>
                          </a:rPr>
                        </m:ctrlPr>
                      </m:fPr>
                      <m:num>
                        <m:r>
                          <m:rPr>
                            <m:sty m:val="p"/>
                          </m:rPr>
                          <a:rPr lang="pt-BR" sz="800">
                            <a:latin typeface="Cambria Math" panose="02040503050406030204" pitchFamily="18" charset="0"/>
                            <a:ea typeface="Cambria Math" panose="02040503050406030204" pitchFamily="18" charset="0"/>
                          </a:rPr>
                          <m:t>Administrative</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expenses</m:t>
                        </m:r>
                        <m:r>
                          <a:rPr lang="pt-BR" sz="800">
                            <a:latin typeface="Cambria Math" panose="02040503050406030204" pitchFamily="18" charset="0"/>
                            <a:ea typeface="Cambria Math" panose="02040503050406030204" pitchFamily="18" charset="0"/>
                          </a:rPr>
                          <m:t>+</m:t>
                        </m:r>
                        <m:r>
                          <m:rPr>
                            <m:sty m:val="p"/>
                          </m:rPr>
                          <a:rPr lang="pt-BR" sz="800">
                            <a:latin typeface="Cambria Math" panose="02040503050406030204" pitchFamily="18" charset="0"/>
                            <a:ea typeface="Cambria Math" panose="02040503050406030204" pitchFamily="18" charset="0"/>
                          </a:rPr>
                          <m:t>Depreciation</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and</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amortization</m:t>
                        </m:r>
                      </m:num>
                      <m:den>
                        <m:r>
                          <m:rPr>
                            <m:sty m:val="p"/>
                          </m:rPr>
                          <a:rPr lang="en-US" sz="800" b="0" i="0">
                            <a:latin typeface="Cambria Math" panose="02040503050406030204" pitchFamily="18" charset="0"/>
                            <a:ea typeface="Cambria Math" panose="02040503050406030204" pitchFamily="18" charset="0"/>
                          </a:rPr>
                          <m:t>Net</m:t>
                        </m:r>
                        <m:r>
                          <a:rPr lang="en-US" sz="800" b="0" i="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Interest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Income</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Net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result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from</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services</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and</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comissions</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Other</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revenue</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Tax</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expense</m:t>
                        </m:r>
                      </m:den>
                    </m:f>
                    <m:r>
                      <a:rPr lang="en-US" sz="800" i="1">
                        <a:latin typeface="Cambria Math" panose="02040503050406030204" pitchFamily="18" charset="0"/>
                        <a:ea typeface="Cambria Math" panose="02040503050406030204" pitchFamily="18"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Annualized interest rates:</a:t>
              </a:r>
            </a:p>
            <a:p>
              <a:pPr algn="just"/>
              <a:r>
                <a:rPr lang="en-US" sz="900">
                  <a:latin typeface="Calibri" panose="020F0502020204030204" pitchFamily="34" charset="0"/>
                  <a:ea typeface="Inter" panose="020B0502030000000004" pitchFamily="34" charset="0"/>
                  <a:cs typeface="Calibri" panose="020F0502020204030204" pitchFamily="34" charset="0"/>
                </a:rPr>
                <a:t>Yearly rate calculated by multiplying the quarterly interest by four, over the average portfolio of the last two quarters. All-in loans rate considers Real Estate, Personnal +FGTS, SMBs, Credit Card, excluding non-interest earnings credit card receivables, and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Anticipation of credit card receivables:</a:t>
              </a:r>
            </a:p>
            <a:p>
              <a:pPr algn="just"/>
              <a:r>
                <a:rPr lang="en-US" sz="900">
                  <a:latin typeface="Calibri" panose="020F0502020204030204" pitchFamily="34" charset="0"/>
                  <a:ea typeface="Inter" panose="020B0502030000000004" pitchFamily="34" charset="0"/>
                  <a:cs typeface="Calibri" panose="020F0502020204030204" pitchFamily="34" charset="0"/>
                </a:rPr>
                <a:t>Disclosed in note 9.a of the Financial Statements, line " "Loans to financial institutions”.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lgn="just"/>
              <a:r>
                <a:rPr lang="en-US" sz="900" b="1">
                  <a:latin typeface="Calibri" panose="020F0502020204030204" pitchFamily="34" charset="0"/>
                  <a:cs typeface="Calibri" panose="020F0502020204030204" pitchFamily="34" charset="0"/>
                </a:rPr>
                <a:t>ARPAC gross of interest expenses: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ea typeface="Cambria Math" panose="02040503050406030204" pitchFamily="18" charset="0"/>
                            <a:cs typeface="Sora" pitchFamily="2" charset="0"/>
                          </a:rPr>
                        </m:ctrlPr>
                      </m:fPr>
                      <m:num>
                        <m:eqArr>
                          <m:eqArrPr>
                            <m:ctrlPr>
                              <a:rPr lang="en-US" sz="800" b="0" i="1">
                                <a:solidFill>
                                  <a:schemeClr val="tx1"/>
                                </a:solidFill>
                                <a:latin typeface="Cambria Math" panose="02040503050406030204" pitchFamily="18" charset="0"/>
                                <a:ea typeface="Cambria Math" panose="02040503050406030204" pitchFamily="18" charset="0"/>
                                <a:cs typeface="Sora" pitchFamily="2" charset="0"/>
                              </a:rPr>
                            </m:ctrlPr>
                          </m:eqArrPr>
                          <m:e>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Interest</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income</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from</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services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and</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comissions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Cashback</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rewards</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e>
                          <m:e>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Income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from</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securities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and</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derivarives</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Other</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)÷3</m:t>
                            </m:r>
                          </m:e>
                        </m:eqArr>
                      </m:num>
                      <m:den>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Average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of</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the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last</m:t>
                        </m:r>
                        <m:r>
                          <a:rPr lang="en-US" sz="800" i="0">
                            <a:solidFill>
                              <a:schemeClr val="tx1"/>
                            </a:solidFill>
                            <a:latin typeface="Cambria Math" panose="02040503050406030204" pitchFamily="18" charset="0"/>
                            <a:ea typeface="Cambria Math" panose="02040503050406030204" pitchFamily="18" charset="0"/>
                            <a:cs typeface="Sora" pitchFamily="2" charset="0"/>
                          </a:rPr>
                          <m:t> 2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quarters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Active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Clients</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net of interest expenses:</a:t>
              </a:r>
            </a:p>
            <a:p>
              <a:pPr algn="ctr"/>
              <a:br>
                <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rPr>
              </a:br>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ea typeface="Cambria Math" panose="02040503050406030204" pitchFamily="18" charset="0"/>
                            <a:cs typeface="Sora" pitchFamily="2" charset="0"/>
                          </a:rPr>
                        </m:ctrlPr>
                      </m:fPr>
                      <m:num>
                        <m:r>
                          <a:rPr lang="en-US" sz="80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Interest</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expenses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a:rPr lang="en-US" sz="800" b="0" i="0">
                            <a:solidFill>
                              <a:schemeClr val="tx1"/>
                            </a:solidFill>
                            <a:latin typeface="Cambria Math" panose="02040503050406030204" pitchFamily="18" charset="0"/>
                            <a:ea typeface="Cambria Math" panose="02040503050406030204" pitchFamily="18" charset="0"/>
                            <a:cs typeface="Sora" pitchFamily="2" charset="0"/>
                          </a:rPr>
                          <m:t>3</m:t>
                        </m:r>
                      </m:num>
                      <m:den>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Average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of</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the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last</m:t>
                        </m:r>
                        <m:r>
                          <a:rPr lang="en-US" sz="800" i="0">
                            <a:solidFill>
                              <a:schemeClr val="tx1"/>
                            </a:solidFill>
                            <a:latin typeface="Cambria Math" panose="02040503050406030204" pitchFamily="18" charset="0"/>
                            <a:ea typeface="Cambria Math" panose="02040503050406030204" pitchFamily="18" charset="0"/>
                            <a:cs typeface="Sora" pitchFamily="2" charset="0"/>
                          </a:rPr>
                          <m:t> 2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quarters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Active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Clients</m:t>
                        </m:r>
                      </m:den>
                    </m:f>
                  </m:oMath>
                </m:oMathPara>
              </a14:m>
              <a:endPar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endParaRPr>
            </a:p>
            <a:p>
              <a:pPr algn="ctr"/>
              <a:endParaRPr lang="en-US" sz="8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per quarterly cohort:</a:t>
              </a:r>
            </a:p>
            <a:p>
              <a:pPr algn="just"/>
              <a:r>
                <a:rPr lang="en-US" sz="900">
                  <a:latin typeface="Calibri" panose="020F0502020204030204" pitchFamily="34" charset="0"/>
                  <a:ea typeface="Inter" panose="020B0502030000000004" pitchFamily="34" charset="0"/>
                  <a:cs typeface="Calibri" panose="020F0502020204030204" pitchFamily="34" charset="0"/>
                </a:rPr>
                <a:t>Total Gross revenue net of interest expenses in a given cohort divided by the average number of active clients in the current and previous periods1. Cohort is defined as the period in which the client started his relationship with Inter.</a:t>
              </a:r>
              <a:br>
                <a:rPr lang="en-US" sz="900">
                  <a:latin typeface="Calibri" panose="020F0502020204030204" pitchFamily="34" charset="0"/>
                  <a:ea typeface="Inter" panose="020B0502030000000004" pitchFamily="34" charset="0"/>
                  <a:cs typeface="Calibri" panose="020F0502020204030204" pitchFamily="34" charset="0"/>
                </a:rPr>
              </a:br>
              <a:endParaRPr lang="en-US" sz="900">
                <a:latin typeface="Calibri" panose="020F0502020204030204" pitchFamily="34" charset="0"/>
                <a:ea typeface="Inter" panose="020B0502030000000004" pitchFamily="34" charset="0"/>
                <a:cs typeface="Calibri" panose="020F0502020204030204" pitchFamily="34" charset="0"/>
              </a:endParaRPr>
            </a:p>
            <a:p>
              <a:r>
                <a:rPr lang="en-US" sz="900" baseline="30000">
                  <a:latin typeface="Calibri" panose="020F0502020204030204" pitchFamily="34" charset="0"/>
                  <a:ea typeface="Cambria Math" panose="02040503050406030204" pitchFamily="18" charset="0"/>
                  <a:cs typeface="Calibri" panose="020F0502020204030204" pitchFamily="34" charset="0"/>
                </a:rPr>
                <a:t>1 - Average number of active clients in the current and previous periods: For the first period, is used the total number of active clients in the end of the period.</a:t>
              </a: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Assets under custody (AuC):</a:t>
              </a:r>
            </a:p>
            <a:p>
              <a:pPr algn="just"/>
              <a:r>
                <a:rPr lang="en-US" sz="900">
                  <a:latin typeface="Calibri" panose="020F0502020204030204" pitchFamily="34" charset="0"/>
                  <a:ea typeface="Inter" panose="020B0502030000000004" pitchFamily="34" charset="0"/>
                  <a:cs typeface="Calibri" panose="020F0502020204030204" pitchFamily="34" charset="0"/>
                </a:rPr>
                <a:t>We calculate assets under custody, or AUC, at a given date as the market value of all retail clients’ assets invested through our investment platform as of that same date. We believe that AUC, as it reflects the total volume of assets invested in our investment platform without accounting for our operational efficiency, provides us useful insight on the appeal of our platform. We use this metric to monitor the size of our investment platform.</a:t>
              </a:r>
            </a:p>
            <a:p>
              <a:endParaRPr lang="en-US" sz="800">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21" name="Retângulo 9">
              <a:extLst>
                <a:ext uri="{FF2B5EF4-FFF2-40B4-BE49-F238E27FC236}">
                  <a16:creationId xmlns:a16="http://schemas.microsoft.com/office/drawing/2014/main" id="{70BBBFDC-97EA-DB78-9935-3D590DAA2910}"/>
                </a:ext>
              </a:extLst>
            </xdr:cNvPr>
            <xdr:cNvSpPr/>
          </xdr:nvSpPr>
          <xdr:spPr>
            <a:xfrm>
              <a:off x="177800" y="9755072"/>
              <a:ext cx="5764771" cy="5891036"/>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Administrative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en-US" sz="800" i="0">
                  <a:latin typeface="Cambria Math" panose="02040503050406030204" pitchFamily="18" charset="0"/>
                  <a:ea typeface="Cambria Math" panose="02040503050406030204" pitchFamily="18" charset="0"/>
                </a:rPr>
                <a:t>(</a:t>
              </a:r>
              <a:r>
                <a:rPr lang="pt-BR" sz="800" i="0">
                  <a:latin typeface="Cambria Math" panose="02040503050406030204" pitchFamily="18" charset="0"/>
                  <a:ea typeface="Cambria Math" panose="02040503050406030204" pitchFamily="18" charset="0"/>
                </a:rPr>
                <a:t>Administrative expenses+Depreciation and amortization</a:t>
              </a:r>
              <a:r>
                <a:rPr lang="en-US" sz="800" i="0">
                  <a:latin typeface="Cambria Math" panose="02040503050406030204" pitchFamily="18" charset="0"/>
                  <a:ea typeface="Cambria Math" panose="02040503050406030204" pitchFamily="18" charset="0"/>
                </a:rPr>
                <a:t>)/(</a:t>
              </a:r>
              <a:r>
                <a:rPr lang="en-US" sz="800" b="0" i="0">
                  <a:latin typeface="Cambria Math" panose="02040503050406030204" pitchFamily="18" charset="0"/>
                  <a:ea typeface="Cambria Math" panose="02040503050406030204" pitchFamily="18" charset="0"/>
                </a:rPr>
                <a:t>Net </a:t>
              </a:r>
              <a:r>
                <a:rPr lang="en-US" sz="800" i="0">
                  <a:latin typeface="Cambria Math" panose="02040503050406030204" pitchFamily="18" charset="0"/>
                  <a:ea typeface="Cambria Math" panose="02040503050406030204" pitchFamily="18" charset="0"/>
                </a:rPr>
                <a:t>Interest Income+Net result from services and comissions+Other revenue−Tax expense)  </a:t>
              </a: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Annualized interest rates:</a:t>
              </a:r>
            </a:p>
            <a:p>
              <a:pPr algn="just"/>
              <a:r>
                <a:rPr lang="en-US" sz="900">
                  <a:latin typeface="Calibri" panose="020F0502020204030204" pitchFamily="34" charset="0"/>
                  <a:ea typeface="Inter" panose="020B0502030000000004" pitchFamily="34" charset="0"/>
                  <a:cs typeface="Calibri" panose="020F0502020204030204" pitchFamily="34" charset="0"/>
                </a:rPr>
                <a:t>Yearly rate calculated by multiplying the quarterly interest by four, over the average portfolio of the last two quarters. All-in loans rate considers Real Estate, Personnal +FGTS, SMBs, Credit Card, excluding non-interest earnings credit card receivables, and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Anticipation of credit card receivables:</a:t>
              </a:r>
            </a:p>
            <a:p>
              <a:pPr algn="just"/>
              <a:r>
                <a:rPr lang="en-US" sz="900">
                  <a:latin typeface="Calibri" panose="020F0502020204030204" pitchFamily="34" charset="0"/>
                  <a:ea typeface="Inter" panose="020B0502030000000004" pitchFamily="34" charset="0"/>
                  <a:cs typeface="Calibri" panose="020F0502020204030204" pitchFamily="34" charset="0"/>
                </a:rPr>
                <a:t>Disclosed in note 9.a of the Financial Statements, line " "Loans to financial institutions”.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lgn="just"/>
              <a:r>
                <a:rPr lang="en-US" sz="900" b="1">
                  <a:latin typeface="Calibri" panose="020F0502020204030204" pitchFamily="34" charset="0"/>
                  <a:cs typeface="Calibri" panose="020F0502020204030204" pitchFamily="34" charset="0"/>
                </a:rPr>
                <a:t>ARPAC gross of interest expenses: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r>
                <a:rPr lang="en-US" sz="800" b="0" i="0">
                  <a:solidFill>
                    <a:schemeClr val="tx1"/>
                  </a:solidFill>
                  <a:latin typeface="Cambria Math" panose="02040503050406030204" pitchFamily="18" charset="0"/>
                  <a:ea typeface="Cambria Math" panose="02040503050406030204" pitchFamily="18" charset="0"/>
                  <a:cs typeface="Sora" pitchFamily="2" charset="0"/>
                </a:rPr>
                <a:t>█((Interest income+(Revenue from services and comissions −Cashback −Inter rewards)@+ Income from securities and derivarives+Other revenue)÷3)/(</a:t>
              </a:r>
              <a:r>
                <a:rPr lang="en-US" sz="800" i="0">
                  <a:solidFill>
                    <a:schemeClr val="tx1"/>
                  </a:solidFill>
                  <a:latin typeface="Cambria Math" panose="02040503050406030204" pitchFamily="18" charset="0"/>
                  <a:ea typeface="Cambria Math" panose="02040503050406030204" pitchFamily="18" charset="0"/>
                  <a:cs typeface="Sora" pitchFamily="2" charset="0"/>
                </a:rPr>
                <a:t>Average of the last 2 quarters Active Clients)</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net of interest expenses:</a:t>
              </a:r>
            </a:p>
            <a:p>
              <a:pPr algn="ctr"/>
              <a:br>
                <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rPr>
              </a:br>
              <a:r>
                <a:rPr lang="en-US" sz="800" i="0">
                  <a:solidFill>
                    <a:schemeClr val="tx1"/>
                  </a:solidFill>
                  <a:latin typeface="Cambria Math" panose="02040503050406030204" pitchFamily="18" charset="0"/>
                  <a:ea typeface="Cambria Math" panose="02040503050406030204" pitchFamily="18" charset="0"/>
                  <a:cs typeface="Sora" pitchFamily="2" charset="0"/>
                </a:rPr>
                <a:t>((</a:t>
              </a:r>
              <a:r>
                <a:rPr lang="en-US" sz="800" b="0" i="0">
                  <a:solidFill>
                    <a:schemeClr val="tx1"/>
                  </a:solidFill>
                  <a:latin typeface="Cambria Math" panose="02040503050406030204" pitchFamily="18" charset="0"/>
                  <a:ea typeface="Cambria Math" panose="02040503050406030204" pitchFamily="18" charset="0"/>
                  <a:cs typeface="Sora" pitchFamily="2" charset="0"/>
                </a:rPr>
                <a:t>Revenue −Interest expenses</a:t>
              </a:r>
              <a:r>
                <a:rPr lang="en-US" sz="800" i="0">
                  <a:solidFill>
                    <a:schemeClr val="tx1"/>
                  </a:solidFill>
                  <a:latin typeface="Cambria Math" panose="02040503050406030204" pitchFamily="18" charset="0"/>
                  <a:ea typeface="Cambria Math" panose="02040503050406030204" pitchFamily="18" charset="0"/>
                  <a:cs typeface="Sora" pitchFamily="2" charset="0"/>
                </a:rPr>
                <a:t>)  ÷</a:t>
              </a:r>
              <a:r>
                <a:rPr lang="en-US" sz="800" b="0" i="0">
                  <a:solidFill>
                    <a:schemeClr val="tx1"/>
                  </a:solidFill>
                  <a:latin typeface="Cambria Math" panose="02040503050406030204" pitchFamily="18" charset="0"/>
                  <a:ea typeface="Cambria Math" panose="02040503050406030204" pitchFamily="18" charset="0"/>
                  <a:cs typeface="Sora" pitchFamily="2" charset="0"/>
                </a:rPr>
                <a:t>3)/(</a:t>
              </a:r>
              <a:r>
                <a:rPr lang="en-US" sz="800" i="0">
                  <a:solidFill>
                    <a:schemeClr val="tx1"/>
                  </a:solidFill>
                  <a:latin typeface="Cambria Math" panose="02040503050406030204" pitchFamily="18" charset="0"/>
                  <a:ea typeface="Cambria Math" panose="02040503050406030204" pitchFamily="18" charset="0"/>
                  <a:cs typeface="Sora" pitchFamily="2" charset="0"/>
                </a:rPr>
                <a:t>Average of the last 2 quarters Active Clients)</a:t>
              </a:r>
              <a:endPar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endParaRPr>
            </a:p>
            <a:p>
              <a:pPr algn="ctr"/>
              <a:endParaRPr lang="en-US" sz="8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per quarterly cohort:</a:t>
              </a:r>
            </a:p>
            <a:p>
              <a:pPr algn="just"/>
              <a:r>
                <a:rPr lang="en-US" sz="900">
                  <a:latin typeface="Calibri" panose="020F0502020204030204" pitchFamily="34" charset="0"/>
                  <a:ea typeface="Inter" panose="020B0502030000000004" pitchFamily="34" charset="0"/>
                  <a:cs typeface="Calibri" panose="020F0502020204030204" pitchFamily="34" charset="0"/>
                </a:rPr>
                <a:t>Total Gross revenue net of interest expenses in a given cohort divided by the average number of active clients in the current and previous periods1. Cohort is defined as the period in which the client started his relationship with Inter.</a:t>
              </a:r>
              <a:br>
                <a:rPr lang="en-US" sz="900">
                  <a:latin typeface="Calibri" panose="020F0502020204030204" pitchFamily="34" charset="0"/>
                  <a:ea typeface="Inter" panose="020B0502030000000004" pitchFamily="34" charset="0"/>
                  <a:cs typeface="Calibri" panose="020F0502020204030204" pitchFamily="34" charset="0"/>
                </a:rPr>
              </a:br>
              <a:endParaRPr lang="en-US" sz="900">
                <a:latin typeface="Calibri" panose="020F0502020204030204" pitchFamily="34" charset="0"/>
                <a:ea typeface="Inter" panose="020B0502030000000004" pitchFamily="34" charset="0"/>
                <a:cs typeface="Calibri" panose="020F0502020204030204" pitchFamily="34" charset="0"/>
              </a:endParaRPr>
            </a:p>
            <a:p>
              <a:r>
                <a:rPr lang="en-US" sz="900" baseline="30000">
                  <a:latin typeface="Calibri" panose="020F0502020204030204" pitchFamily="34" charset="0"/>
                  <a:ea typeface="Cambria Math" panose="02040503050406030204" pitchFamily="18" charset="0"/>
                  <a:cs typeface="Calibri" panose="020F0502020204030204" pitchFamily="34" charset="0"/>
                </a:rPr>
                <a:t>1 - Average number of active clients in the current and previous periods: For the first period, is used the total number of active clients in the end of the period.</a:t>
              </a: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Assets under custody (AuC):</a:t>
              </a:r>
            </a:p>
            <a:p>
              <a:pPr algn="just"/>
              <a:r>
                <a:rPr lang="en-US" sz="900">
                  <a:latin typeface="Calibri" panose="020F0502020204030204" pitchFamily="34" charset="0"/>
                  <a:ea typeface="Inter" panose="020B0502030000000004" pitchFamily="34" charset="0"/>
                  <a:cs typeface="Calibri" panose="020F0502020204030204" pitchFamily="34" charset="0"/>
                </a:rPr>
                <a:t>We calculate assets under custody, or AUC, at a given date as the market value of all retail clients’ assets invested through our investment platform as of that same date. We believe that AUC, as it reflects the total volume of assets invested in our investment platform without accounting for our operational efficiency, provides us useful insight on the appeal of our platform. We use this metric to monitor the size of our investment platform.</a:t>
              </a:r>
            </a:p>
            <a:p>
              <a:endParaRPr lang="en-US" sz="800">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0</xdr:col>
      <xdr:colOff>151610</xdr:colOff>
      <xdr:row>86</xdr:row>
      <xdr:rowOff>95088</xdr:rowOff>
    </xdr:from>
    <xdr:to>
      <xdr:col>7</xdr:col>
      <xdr:colOff>119810</xdr:colOff>
      <xdr:row>117</xdr:row>
      <xdr:rowOff>137211</xdr:rowOff>
    </xdr:to>
    <mc:AlternateContent xmlns:mc="http://schemas.openxmlformats.org/markup-compatibility/2006" xmlns:a14="http://schemas.microsoft.com/office/drawing/2010/main">
      <mc:Choice Requires="a14">
        <xdr:sp macro="" textlink="">
          <xdr:nvSpPr>
            <xdr:cNvPr id="22" name="Retângulo 9">
              <a:extLst>
                <a:ext uri="{FF2B5EF4-FFF2-40B4-BE49-F238E27FC236}">
                  <a16:creationId xmlns:a16="http://schemas.microsoft.com/office/drawing/2014/main" id="{00000000-0008-0000-1600-000016000000}"/>
                </a:ext>
              </a:extLst>
            </xdr:cNvPr>
            <xdr:cNvSpPr/>
          </xdr:nvSpPr>
          <xdr:spPr>
            <a:xfrm>
              <a:off x="151610" y="15924074"/>
              <a:ext cx="5766026" cy="5747920"/>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Card fee revenue:</a:t>
              </a:r>
            </a:p>
            <a:p>
              <a:r>
                <a:rPr lang="en-US" sz="900">
                  <a:latin typeface="Calibri" panose="020F0502020204030204" pitchFamily="34" charset="0"/>
                  <a:ea typeface="Inter" panose="020B0502030000000004" pitchFamily="34" charset="0"/>
                  <a:cs typeface="Calibri" panose="020F0502020204030204" pitchFamily="34" charset="0"/>
                </a:rPr>
                <a:t>It is part of the “Revenue from services and commission” and “Other revenue” on IFRS Income Statement.  </a:t>
              </a:r>
            </a:p>
            <a:p>
              <a:endParaRPr lang="en-US" sz="8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funding:</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Interest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expenses</m:t>
                        </m:r>
                        <m:r>
                          <a:rPr lang="pt-BR" sz="80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eqArr>
                          <m:eqArrPr>
                            <m:ctrlPr>
                              <a:rPr lang="pt-BR" sz="800" i="1">
                                <a:latin typeface="Cambria Math" panose="02040503050406030204" pitchFamily="18" charset="0"/>
                                <a:ea typeface="Cambria Math" panose="02040503050406030204" pitchFamily="18" charset="0"/>
                                <a:cs typeface="Sora" pitchFamily="2" charset="0"/>
                              </a:rPr>
                            </m:ctrlPr>
                          </m:eqArrPr>
                          <m:e>
                            <m:r>
                              <m:rPr>
                                <m:sty m:val="p"/>
                              </m:rPr>
                              <a:rPr lang="pt-BR" sz="800" i="0">
                                <a:latin typeface="Cambria Math" panose="02040503050406030204" pitchFamily="18" charset="0"/>
                                <a:ea typeface="Cambria Math" panose="02040503050406030204" pitchFamily="18" charset="0"/>
                                <a:cs typeface="Sora" pitchFamily="2" charset="0"/>
                              </a:rPr>
                              <m:t>Average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of</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last</m:t>
                            </m:r>
                            <m:r>
                              <a:rPr lang="pt-BR" sz="800" i="0">
                                <a:latin typeface="Cambria Math" panose="02040503050406030204" pitchFamily="18" charset="0"/>
                                <a:ea typeface="Cambria Math" panose="02040503050406030204" pitchFamily="18" charset="0"/>
                                <a:cs typeface="Sora" pitchFamily="2" charset="0"/>
                              </a:rPr>
                              <m:t> 2 </m:t>
                            </m:r>
                            <m:r>
                              <m:rPr>
                                <m:sty m:val="p"/>
                              </m:rPr>
                              <a:rPr lang="pt-BR" sz="800" i="0">
                                <a:latin typeface="Cambria Math" panose="02040503050406030204" pitchFamily="18" charset="0"/>
                                <a:ea typeface="Cambria Math" panose="02040503050406030204" pitchFamily="18" charset="0"/>
                                <a:cs typeface="Sora" pitchFamily="2" charset="0"/>
                              </a:rPr>
                              <m:t>quarters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Interest</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bearing</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liabilities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demand</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deposits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time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deposits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savings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deposits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creditors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by</m:t>
                            </m:r>
                          </m:e>
                          <m:e>
                            <m:r>
                              <m:rPr>
                                <m:sty m:val="p"/>
                              </m:rPr>
                              <a:rPr lang="pt-BR" sz="800" i="0">
                                <a:latin typeface="Cambria Math" panose="02040503050406030204" pitchFamily="18" charset="0"/>
                                <a:ea typeface="Cambria Math" panose="02040503050406030204" pitchFamily="18" charset="0"/>
                                <a:cs typeface="Sora" pitchFamily="2" charset="0"/>
                              </a:rPr>
                              <m:t>resources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to</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release</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securities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issued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securities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sold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under</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agreements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to</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repurchase</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interbank</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deposits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and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others</m:t>
                            </m:r>
                            <m:r>
                              <a:rPr lang="pt-BR" sz="800" b="0" i="0">
                                <a:latin typeface="Cambria Math" panose="02040503050406030204" pitchFamily="18" charset="0"/>
                                <a:ea typeface="Cambria Math" panose="02040503050406030204" pitchFamily="18" charset="0"/>
                                <a:cs typeface="Sora" pitchFamily="2" charset="0"/>
                              </a:rPr>
                              <m:t>)</m:t>
                            </m:r>
                          </m:e>
                        </m:eqArr>
                      </m:den>
                    </m:f>
                    <m:r>
                      <a:rPr lang="pt-BR" sz="800" b="0" i="1">
                        <a:latin typeface="Cambria Math" panose="02040503050406030204" pitchFamily="18" charset="0"/>
                        <a:ea typeface="Cambria Math" panose="02040503050406030204" pitchFamily="18" charset="0"/>
                        <a:cs typeface="Sora" pitchFamily="2"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i="0">
                            <a:latin typeface="Cambria Math" panose="02040503050406030204" pitchFamily="18" charset="0"/>
                            <a:ea typeface="Cambria Math" panose="02040503050406030204" pitchFamily="18" charset="0"/>
                            <a:cs typeface="Sora" pitchFamily="2" charset="0"/>
                          </a:rPr>
                          <m:t>Average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of</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last</m:t>
                        </m:r>
                        <m:r>
                          <a:rPr lang="pt-BR" sz="800" i="0">
                            <a:latin typeface="Cambria Math" panose="02040503050406030204" pitchFamily="18" charset="0"/>
                            <a:ea typeface="Cambria Math" panose="02040503050406030204" pitchFamily="18" charset="0"/>
                            <a:cs typeface="Sora" pitchFamily="2" charset="0"/>
                          </a:rPr>
                          <m:t> 2 </m:t>
                        </m:r>
                        <m:r>
                          <m:rPr>
                            <m:sty m:val="p"/>
                          </m:rPr>
                          <a:rPr lang="pt-BR" sz="800" i="0">
                            <a:latin typeface="Cambria Math" panose="02040503050406030204" pitchFamily="18" charset="0"/>
                            <a:ea typeface="Cambria Math" panose="02040503050406030204" pitchFamily="18" charset="0"/>
                            <a:cs typeface="Sora" pitchFamily="2" charset="0"/>
                          </a:rPr>
                          <m:t>quarters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of</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Loans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and</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advances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to</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customers</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a:latin typeface="Cambria Math" panose="02040503050406030204" pitchFamily="18" charset="0"/>
                            <a:ea typeface="Cambria Math" panose="02040503050406030204" pitchFamily="18" charset="0"/>
                            <a:cs typeface="Sora" pitchFamily="2" charset="0"/>
                          </a:rPr>
                          <m:t>Average</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last</m:t>
                        </m:r>
                        <m:r>
                          <a:rPr lang="pt-BR" sz="800">
                            <a:latin typeface="Cambria Math" panose="02040503050406030204" pitchFamily="18" charset="0"/>
                            <a:ea typeface="Cambria Math" panose="02040503050406030204" pitchFamily="18" charset="0"/>
                            <a:cs typeface="Sora" pitchFamily="2" charset="0"/>
                          </a:rPr>
                          <m:t> 2 </m:t>
                        </m:r>
                        <m:r>
                          <m:rPr>
                            <m:sty m:val="p"/>
                          </m:rPr>
                          <a:rPr lang="pt-BR" sz="800">
                            <a:latin typeface="Cambria Math" panose="02040503050406030204" pitchFamily="18" charset="0"/>
                            <a:ea typeface="Cambria Math" panose="02040503050406030204" pitchFamily="18" charset="0"/>
                            <a:cs typeface="Sora" pitchFamily="2" charset="0"/>
                          </a:rPr>
                          <m:t>quarters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Loans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advances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to</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customers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excluding</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anticipation</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credit</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card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receivables</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credit card:</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a:latin typeface="Cambria Math" panose="02040503050406030204" pitchFamily="18" charset="0"/>
                            <a:ea typeface="Cambria Math" panose="02040503050406030204" pitchFamily="18" charset="0"/>
                            <a:cs typeface="Sora" pitchFamily="2" charset="0"/>
                          </a:rPr>
                          <m:t>Average</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last</m:t>
                        </m:r>
                        <m:r>
                          <a:rPr lang="pt-BR" sz="800">
                            <a:latin typeface="Cambria Math" panose="02040503050406030204" pitchFamily="18" charset="0"/>
                            <a:ea typeface="Cambria Math" panose="02040503050406030204" pitchFamily="18" charset="0"/>
                            <a:cs typeface="Sora" pitchFamily="2" charset="0"/>
                          </a:rPr>
                          <m:t> 2 </m:t>
                        </m:r>
                        <m:r>
                          <m:rPr>
                            <m:sty m:val="p"/>
                          </m:rPr>
                          <a:rPr lang="pt-BR" sz="800">
                            <a:latin typeface="Cambria Math" panose="02040503050406030204" pitchFamily="18" charset="0"/>
                            <a:ea typeface="Cambria Math" panose="02040503050406030204" pitchFamily="18" charset="0"/>
                            <a:cs typeface="Sora" pitchFamily="2" charset="0"/>
                          </a:rPr>
                          <m:t>quarters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Loans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advances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to</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customers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excluding</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credit</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card</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Cost-to-serve (CTS):</a:t>
              </a:r>
            </a:p>
            <a:p>
              <a:pPr algn="ctr"/>
              <a:endParaRPr lang="en-US"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en-US" sz="800" i="1">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fPr>
                      <m:num>
                        <m:d>
                          <m:dPr>
                            <m:ctrlPr>
                              <a:rPr lang="en-US" sz="800" i="1">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dPr>
                          <m:e>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Personnel</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Administrative</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Expenses</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Total</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CAC</m:t>
                            </m:r>
                          </m:e>
                        </m:d>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÷3</m:t>
                        </m:r>
                      </m:num>
                      <m:den>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Average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of</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the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last</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2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quarters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Active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Clients</m:t>
                        </m:r>
                      </m:den>
                    </m:f>
                    <m:r>
                      <a:rPr lang="pt-BR" sz="800" i="1">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i="1">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22" name="Retângulo 9">
              <a:extLst>
                <a:ext uri="{FF2B5EF4-FFF2-40B4-BE49-F238E27FC236}">
                  <a16:creationId xmlns:a16="http://schemas.microsoft.com/office/drawing/2014/main" id="{E053E71D-69F7-C852-2686-4DDCCC5EB831}"/>
                </a:ext>
              </a:extLst>
            </xdr:cNvPr>
            <xdr:cNvSpPr/>
          </xdr:nvSpPr>
          <xdr:spPr>
            <a:xfrm>
              <a:off x="151610" y="15924074"/>
              <a:ext cx="5766026" cy="5747920"/>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Card fee revenue:</a:t>
              </a:r>
            </a:p>
            <a:p>
              <a:r>
                <a:rPr lang="en-US" sz="900">
                  <a:latin typeface="Calibri" panose="020F0502020204030204" pitchFamily="34" charset="0"/>
                  <a:ea typeface="Inter" panose="020B0502030000000004" pitchFamily="34" charset="0"/>
                  <a:cs typeface="Calibri" panose="020F0502020204030204" pitchFamily="34" charset="0"/>
                </a:rPr>
                <a:t>It is part of the “Revenue from services and commission” and “Other revenue” on IFRS Income Statement.  </a:t>
              </a:r>
            </a:p>
            <a:p>
              <a:endParaRPr lang="en-US" sz="8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funding:</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(Interest expenses</a:t>
              </a:r>
              <a:r>
                <a:rPr lang="pt-BR" sz="80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Interest bearing liabilities (demand deposits, time deposits, savings </a:t>
              </a:r>
              <a:r>
                <a:rPr lang="pt-BR" sz="800" b="0" i="0">
                  <a:latin typeface="Cambria Math" panose="02040503050406030204" pitchFamily="18" charset="0"/>
                  <a:ea typeface="Cambria Math" panose="02040503050406030204" pitchFamily="18" charset="0"/>
                  <a:cs typeface="Sora" pitchFamily="2" charset="0"/>
                </a:rPr>
                <a:t>deposits, creditors by@</a:t>
              </a:r>
              <a:r>
                <a:rPr lang="pt-BR" sz="800" i="0">
                  <a:latin typeface="Cambria Math" panose="02040503050406030204" pitchFamily="18" charset="0"/>
                  <a:ea typeface="Cambria Math" panose="02040503050406030204" pitchFamily="18" charset="0"/>
                  <a:cs typeface="Sora" pitchFamily="2" charset="0"/>
                </a:rPr>
                <a:t>resources to release</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cs typeface="Sora" pitchFamily="2" charset="0"/>
                </a:rPr>
                <a:t>securities issued</a:t>
              </a:r>
              <a:r>
                <a:rPr lang="pt-BR" sz="800" b="0" i="0">
                  <a:latin typeface="Cambria Math" panose="02040503050406030204" pitchFamily="18" charset="0"/>
                  <a:ea typeface="Cambria Math" panose="02040503050406030204" pitchFamily="18" charset="0"/>
                  <a:cs typeface="Sora" pitchFamily="2" charset="0"/>
                </a:rPr>
                <a:t>, securities sold under agreements to repurchase, interbank deposits and others))  </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a:t>
              </a:r>
              <a:r>
                <a:rPr lang="pt-BR" sz="800" b="0" i="0">
                  <a:latin typeface="Cambria Math" panose="02040503050406030204" pitchFamily="18" charset="0"/>
                  <a:ea typeface="Cambria Math" panose="02040503050406030204" pitchFamily="18" charset="0"/>
                  <a:cs typeface="Sora" pitchFamily="2" charset="0"/>
                </a:rPr>
                <a:t> of Loans</a:t>
              </a:r>
              <a:r>
                <a:rPr lang="pt-BR" sz="800" i="0">
                  <a:latin typeface="Cambria Math" panose="02040503050406030204" pitchFamily="18" charset="0"/>
                  <a:ea typeface="Cambria Math" panose="02040503050406030204" pitchFamily="18" charset="0"/>
                  <a:cs typeface="Sora" pitchFamily="2" charset="0"/>
                </a:rPr>
                <a:t> and advances to c</a:t>
              </a:r>
              <a:r>
                <a:rPr lang="pt-BR" sz="800" b="0" i="0">
                  <a:latin typeface="Cambria Math" panose="02040503050406030204" pitchFamily="18" charset="0"/>
                  <a:ea typeface="Cambria Math" panose="02040503050406030204" pitchFamily="18" charset="0"/>
                  <a:cs typeface="Sora" pitchFamily="2" charset="0"/>
                </a:rPr>
                <a:t>ustomer</a:t>
              </a:r>
              <a:r>
                <a:rPr lang="pt-BR" sz="800" i="0">
                  <a:latin typeface="Cambria Math" panose="02040503050406030204" pitchFamily="18" charset="0"/>
                  <a:ea typeface="Cambria Math" panose="02040503050406030204" pitchFamily="18" charset="0"/>
                  <a:cs typeface="Sora" pitchFamily="2" charset="0"/>
                </a:rPr>
                <a:t>s</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of Loans and advances to customers excluding anticipation of credit card receivables</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credit card:</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of Loans and advances to customers excluding credit card</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Cost-to-serve (CTS):</a:t>
              </a:r>
            </a:p>
            <a:p>
              <a:pPr algn="ctr"/>
              <a:endParaRPr lang="en-US"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((Personnel Expense+Administrative Expenses −</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Total CAC)</a:t>
              </a: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÷3)/(</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Average of the last 2 quarters Active Clients</a:t>
              </a: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a:t>
              </a: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i="1">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7</xdr:col>
      <xdr:colOff>228600</xdr:colOff>
      <xdr:row>0</xdr:row>
      <xdr:rowOff>127258</xdr:rowOff>
    </xdr:from>
    <xdr:to>
      <xdr:col>7</xdr:col>
      <xdr:colOff>228600</xdr:colOff>
      <xdr:row>241</xdr:row>
      <xdr:rowOff>114300</xdr:rowOff>
    </xdr:to>
    <xdr:cxnSp macro="">
      <xdr:nvCxnSpPr>
        <xdr:cNvPr id="29" name="Straight Connector 28">
          <a:extLst>
            <a:ext uri="{FF2B5EF4-FFF2-40B4-BE49-F238E27FC236}">
              <a16:creationId xmlns:a16="http://schemas.microsoft.com/office/drawing/2014/main" id="{00000000-0008-0000-1600-00001D000000}"/>
            </a:ext>
          </a:extLst>
        </xdr:cNvPr>
        <xdr:cNvCxnSpPr>
          <a:cxnSpLocks/>
        </xdr:cNvCxnSpPr>
      </xdr:nvCxnSpPr>
      <xdr:spPr>
        <a:xfrm flipH="1">
          <a:off x="6007100" y="127258"/>
          <a:ext cx="0" cy="45897542"/>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161844</xdr:colOff>
      <xdr:row>116</xdr:row>
      <xdr:rowOff>169334</xdr:rowOff>
    </xdr:from>
    <xdr:to>
      <xdr:col>7</xdr:col>
      <xdr:colOff>128789</xdr:colOff>
      <xdr:row>146</xdr:row>
      <xdr:rowOff>166606</xdr:rowOff>
    </xdr:to>
    <mc:AlternateContent xmlns:mc="http://schemas.openxmlformats.org/markup-compatibility/2006" xmlns:a14="http://schemas.microsoft.com/office/drawing/2010/main">
      <mc:Choice Requires="a14">
        <xdr:sp macro="" textlink="">
          <xdr:nvSpPr>
            <xdr:cNvPr id="30" name="Retângulo 9">
              <a:extLst>
                <a:ext uri="{FF2B5EF4-FFF2-40B4-BE49-F238E27FC236}">
                  <a16:creationId xmlns:a16="http://schemas.microsoft.com/office/drawing/2014/main" id="{00000000-0008-0000-1600-00001E000000}"/>
                </a:ext>
              </a:extLst>
            </xdr:cNvPr>
            <xdr:cNvSpPr/>
          </xdr:nvSpPr>
          <xdr:spPr>
            <a:xfrm>
              <a:off x="161844" y="21520059"/>
              <a:ext cx="5764771" cy="5519011"/>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Coverage ratio:</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r>
                          <m:rPr>
                            <m:sty m:val="p"/>
                          </m:rPr>
                          <a:rPr lang="pt-BR" sz="900" i="0">
                            <a:latin typeface="Cambria Math" panose="02040503050406030204" pitchFamily="18" charset="0"/>
                            <a:ea typeface="Cambria Math" panose="02040503050406030204" pitchFamily="18" charset="0"/>
                          </a:rPr>
                          <m:t>Provision</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for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expected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loss</m:t>
                        </m:r>
                      </m:num>
                      <m:den>
                        <m:r>
                          <m:rPr>
                            <m:sty m:val="p"/>
                          </m:rPr>
                          <a:rPr lang="pt-BR" sz="900" b="0" i="0">
                            <a:latin typeface="Cambria Math" panose="02040503050406030204" pitchFamily="18" charset="0"/>
                            <a:ea typeface="Cambria Math" panose="02040503050406030204" pitchFamily="18" charset="0"/>
                          </a:rPr>
                          <m:t>O</m:t>
                        </m:r>
                        <m:r>
                          <m:rPr>
                            <m:sty m:val="p"/>
                          </m:rPr>
                          <a:rPr lang="pt-BR" sz="900" i="0">
                            <a:latin typeface="Cambria Math" panose="02040503050406030204" pitchFamily="18" charset="0"/>
                            <a:ea typeface="Cambria Math" panose="02040503050406030204" pitchFamily="18" charset="0"/>
                          </a:rPr>
                          <m:t>verdue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higher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than</m:t>
                        </m:r>
                        <m:r>
                          <a:rPr lang="pt-BR" sz="900" i="0">
                            <a:latin typeface="Cambria Math" panose="02040503050406030204" pitchFamily="18" charset="0"/>
                            <a:ea typeface="Cambria Math" panose="02040503050406030204" pitchFamily="18" charset="0"/>
                          </a:rPr>
                          <m:t> 90 </m:t>
                        </m:r>
                        <m:r>
                          <m:rPr>
                            <m:sty m:val="p"/>
                          </m:rPr>
                          <a:rPr lang="pt-BR" sz="900" i="0">
                            <a:latin typeface="Cambria Math" panose="02040503050406030204" pitchFamily="18" charset="0"/>
                            <a:ea typeface="Cambria Math" panose="02040503050406030204" pitchFamily="18" charset="0"/>
                          </a:rPr>
                          <m:t>days</m:t>
                        </m:r>
                      </m:den>
                    </m:f>
                  </m:oMath>
                </m:oMathPara>
              </a14:m>
              <a:endParaRPr lang="en-US" sz="900">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Earning portfolio (IEP):</a:t>
              </a:r>
            </a:p>
            <a:p>
              <a:pPr algn="ctr"/>
              <a:r>
                <a:rPr lang="pt-BR" sz="900">
                  <a:latin typeface="Calibri" panose="020F0502020204030204" pitchFamily="34" charset="0"/>
                  <a:ea typeface="Inter" panose="020B0502030000000004" pitchFamily="34" charset="0"/>
                  <a:cs typeface="Calibri" panose="020F0502020204030204" pitchFamily="34" charset="0"/>
                </a:rPr>
                <a:t>Earnings Portfolio includes “Amounts due from financial institutions” + “Loans and advances to customers” + “Securities” + “Derivatives” from the IFRS Balance Sheet</a:t>
              </a: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eqArr>
                          <m:eqArrPr>
                            <m:ctrlPr>
                              <a:rPr lang="pt-BR" sz="900" i="1">
                                <a:latin typeface="Cambria Math" panose="02040503050406030204" pitchFamily="18" charset="0"/>
                                <a:ea typeface="Cambria Math" panose="02040503050406030204" pitchFamily="18" charset="0"/>
                              </a:rPr>
                            </m:ctrlPr>
                          </m:eqArrPr>
                          <m:e>
                            <m:r>
                              <a:rPr lang="pt-BR" sz="900" i="0">
                                <a:latin typeface="Cambria Math" panose="02040503050406030204" pitchFamily="18" charset="0"/>
                                <a:ea typeface="Cambria Math" panose="02040503050406030204" pitchFamily="18" charset="0"/>
                              </a:rPr>
                              <m:t> </m:t>
                            </m:r>
                          </m:e>
                          <m:e>
                            <m:r>
                              <m:rPr>
                                <m:sty m:val="p"/>
                              </m:rPr>
                              <a:rPr lang="pt-BR" sz="900" i="0">
                                <a:latin typeface="Cambria Math" panose="02040503050406030204" pitchFamily="18" charset="0"/>
                                <a:ea typeface="Cambria Math" panose="02040503050406030204" pitchFamily="18" charset="0"/>
                              </a:rPr>
                              <m:t>Personnel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expense</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Administrative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expenses</m:t>
                            </m:r>
                            <m:r>
                              <a:rPr lang="pt-BR" sz="900" b="0" i="0">
                                <a:latin typeface="Cambria Math" panose="02040503050406030204" pitchFamily="18" charset="0"/>
                                <a:ea typeface="Cambria Math" panose="02040503050406030204" pitchFamily="18" charset="0"/>
                              </a:rPr>
                              <m:t>+</m:t>
                            </m:r>
                            <m:r>
                              <m:rPr>
                                <m:sty m:val="p"/>
                              </m:rPr>
                              <a:rPr lang="pt-BR" sz="900" b="0" i="0">
                                <a:latin typeface="Cambria Math" panose="02040503050406030204" pitchFamily="18" charset="0"/>
                                <a:ea typeface="Cambria Math" panose="02040503050406030204" pitchFamily="18" charset="0"/>
                              </a:rPr>
                              <m:t>Depreciation</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and</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amortization</m:t>
                            </m:r>
                            <m:r>
                              <a:rPr lang="pt-BR" sz="900" b="0" i="0">
                                <a:latin typeface="Cambria Math" panose="02040503050406030204" pitchFamily="18" charset="0"/>
                                <a:ea typeface="Cambria Math" panose="02040503050406030204" pitchFamily="18" charset="0"/>
                              </a:rPr>
                              <m:t> </m:t>
                            </m:r>
                          </m:e>
                        </m:eqArr>
                      </m:num>
                      <m:den>
                        <m:r>
                          <m:rPr>
                            <m:sty m:val="p"/>
                          </m:rPr>
                          <a:rPr lang="pt-BR" sz="900" i="1">
                            <a:latin typeface="Cambria Math" panose="02040503050406030204" pitchFamily="18" charset="0"/>
                            <a:ea typeface="Cambria Math" panose="02040503050406030204" pitchFamily="18" charset="0"/>
                          </a:rPr>
                          <m:t>Net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Interest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Income</m:t>
                        </m:r>
                        <m:r>
                          <a:rPr lang="pt-BR" sz="900" i="1">
                            <a:latin typeface="Cambria Math" panose="02040503050406030204" pitchFamily="18" charset="0"/>
                            <a:ea typeface="Cambria Math" panose="02040503050406030204" pitchFamily="18" charset="0"/>
                          </a:rPr>
                          <m:t>+</m:t>
                        </m:r>
                        <m:r>
                          <m:rPr>
                            <m:sty m:val="p"/>
                          </m:rPr>
                          <a:rPr lang="pt-BR" sz="900" i="1">
                            <a:latin typeface="Cambria Math" panose="02040503050406030204" pitchFamily="18" charset="0"/>
                            <a:ea typeface="Cambria Math" panose="02040503050406030204" pitchFamily="18" charset="0"/>
                          </a:rPr>
                          <m:t>Net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result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from</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services</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and</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comissions</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Other</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revenue</m:t>
                        </m:r>
                        <m:r>
                          <a:rPr lang="pt-BR" sz="900" i="1">
                            <a:latin typeface="Cambria Math" panose="02040503050406030204" pitchFamily="18" charset="0"/>
                            <a:ea typeface="Cambria Math" panose="02040503050406030204" pitchFamily="18" charset="0"/>
                          </a:rPr>
                          <m:t>−</m:t>
                        </m:r>
                        <m:r>
                          <m:rPr>
                            <m:sty m:val="p"/>
                          </m:rPr>
                          <a:rPr lang="pt-BR" sz="900" i="1">
                            <a:latin typeface="Cambria Math" panose="02040503050406030204" pitchFamily="18" charset="0"/>
                            <a:ea typeface="Cambria Math" panose="02040503050406030204" pitchFamily="18" charset="0"/>
                          </a:rPr>
                          <m:t>Tax</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expense</m:t>
                        </m:r>
                      </m:den>
                    </m:f>
                    <m:r>
                      <a:rPr lang="pt-BR" sz="900" i="1">
                        <a:latin typeface="Cambria Math" panose="02040503050406030204" pitchFamily="18" charset="0"/>
                        <a:ea typeface="Cambria Math" panose="02040503050406030204" pitchFamily="18" charset="0"/>
                      </a:rPr>
                      <m:t> </m:t>
                    </m:r>
                  </m:oMath>
                </m:oMathPara>
              </a14:m>
              <a:endParaRPr lang="pt-BR" sz="900" i="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Net</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from</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services</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and</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commissions</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Other</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revenue</m:t>
                        </m:r>
                      </m:num>
                      <m:den>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Interest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Income</m:t>
                        </m:r>
                        <m:r>
                          <a:rPr lang="pt-BR" sz="900">
                            <a:latin typeface="Cambria Math" panose="02040503050406030204" pitchFamily="18" charset="0"/>
                            <a:ea typeface="Cambria Math" panose="02040503050406030204" pitchFamily="18" charset="0"/>
                          </a:rPr>
                          <m:t>+</m:t>
                        </m:r>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result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from</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services</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and</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comissions</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Other</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revenue</m:t>
                        </m:r>
                        <m:r>
                          <a:rPr lang="pt-BR" sz="900">
                            <a:latin typeface="Cambria Math" panose="02040503050406030204" pitchFamily="18" charset="0"/>
                            <a:ea typeface="Cambria Math" panose="02040503050406030204" pitchFamily="18" charset="0"/>
                          </a:rPr>
                          <m:t>−</m:t>
                        </m:r>
                        <m:r>
                          <m:rPr>
                            <m:sty m:val="p"/>
                          </m:rPr>
                          <a:rPr lang="pt-BR" sz="900">
                            <a:latin typeface="Cambria Math" panose="02040503050406030204" pitchFamily="18" charset="0"/>
                            <a:ea typeface="Cambria Math" panose="02040503050406030204" pitchFamily="18" charset="0"/>
                          </a:rPr>
                          <m:t>Tax</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expense</m:t>
                        </m:r>
                      </m:den>
                    </m:f>
                  </m:oMath>
                </m:oMathPara>
              </a14:m>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Funding:</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nor/>
                    </m:rPr>
                    <a:rPr lang="pt-BR" sz="900">
                      <a:latin typeface="Calibri" panose="020F0502020204030204" pitchFamily="34" charset="0"/>
                      <a:ea typeface="Inter" panose="020B0502030000000004" pitchFamily="34" charset="0"/>
                      <a:cs typeface="Calibri" panose="020F0502020204030204" pitchFamily="34" charset="0"/>
                    </a:rPr>
                    <m:t>Demand</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Deposits</m:t>
                  </m:r>
                  <m:r>
                    <m:rPr>
                      <m:nor/>
                    </m:rPr>
                    <a:rPr lang="pt-BR" sz="900">
                      <a:latin typeface="Calibri" panose="020F0502020204030204" pitchFamily="34" charset="0"/>
                      <a:ea typeface="Inter" panose="020B0502030000000004" pitchFamily="34" charset="0"/>
                      <a:cs typeface="Calibri" panose="020F0502020204030204" pitchFamily="34" charset="0"/>
                    </a:rPr>
                    <m:t> + </m:t>
                  </m:r>
                  <m:r>
                    <m:rPr>
                      <m:nor/>
                    </m:rPr>
                    <a:rPr lang="pt-BR" sz="900">
                      <a:latin typeface="Calibri" panose="020F0502020204030204" pitchFamily="34" charset="0"/>
                      <a:ea typeface="Inter" panose="020B0502030000000004" pitchFamily="34" charset="0"/>
                      <a:cs typeface="Calibri" panose="020F0502020204030204" pitchFamily="34" charset="0"/>
                    </a:rPr>
                    <m:t>Time</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Deposits</m:t>
                  </m:r>
                  <m:r>
                    <m:rPr>
                      <m:nor/>
                    </m:rPr>
                    <a:rPr lang="pt-BR" sz="900">
                      <a:latin typeface="Calibri" panose="020F0502020204030204" pitchFamily="34" charset="0"/>
                      <a:ea typeface="Inter" panose="020B0502030000000004" pitchFamily="34" charset="0"/>
                      <a:cs typeface="Calibri" panose="020F0502020204030204" pitchFamily="34" charset="0"/>
                    </a:rPr>
                    <m:t> + </m:t>
                  </m:r>
                  <m:r>
                    <m:rPr>
                      <m:nor/>
                    </m:rPr>
                    <a:rPr lang="pt-BR" sz="900">
                      <a:latin typeface="Calibri" panose="020F0502020204030204" pitchFamily="34" charset="0"/>
                      <a:ea typeface="Inter" panose="020B0502030000000004" pitchFamily="34" charset="0"/>
                      <a:cs typeface="Calibri" panose="020F0502020204030204" pitchFamily="34" charset="0"/>
                    </a:rPr>
                    <m:t>Securities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Issued</m:t>
                  </m:r>
                  <m:r>
                    <m:rPr>
                      <m:nor/>
                    </m:rPr>
                    <a:rPr lang="pt-BR" sz="900">
                      <a:latin typeface="Calibri" panose="020F0502020204030204" pitchFamily="34" charset="0"/>
                      <a:ea typeface="Inter" panose="020B0502030000000004" pitchFamily="34" charset="0"/>
                      <a:cs typeface="Calibri" panose="020F0502020204030204" pitchFamily="34" charset="0"/>
                    </a:rPr>
                    <m:t> + </m:t>
                  </m:r>
                  <m:r>
                    <m:rPr>
                      <m:nor/>
                    </m:rPr>
                    <a:rPr lang="pt-BR" sz="900">
                      <a:latin typeface="Calibri" panose="020F0502020204030204" pitchFamily="34" charset="0"/>
                      <a:ea typeface="Inter" panose="020B0502030000000004" pitchFamily="34" charset="0"/>
                      <a:cs typeface="Calibri" panose="020F0502020204030204" pitchFamily="34" charset="0"/>
                    </a:rPr>
                    <m:t>Savings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Deposits</m:t>
                  </m:r>
                  <m:r>
                    <m:rPr>
                      <m:nor/>
                    </m:rPr>
                    <a:rPr lang="pt-BR" sz="900">
                      <a:latin typeface="Calibri" panose="020F0502020204030204" pitchFamily="34" charset="0"/>
                      <a:ea typeface="Inter" panose="020B0502030000000004" pitchFamily="34" charset="0"/>
                      <a:cs typeface="Calibri" panose="020F0502020204030204" pitchFamily="34" charset="0"/>
                    </a:rPr>
                    <m:t> + </m:t>
                  </m:r>
                  <m:r>
                    <m:rPr>
                      <m:nor/>
                    </m:rPr>
                    <a:rPr lang="pt-BR" sz="900">
                      <a:latin typeface="Calibri" panose="020F0502020204030204" pitchFamily="34" charset="0"/>
                      <a:ea typeface="Inter" panose="020B0502030000000004" pitchFamily="34" charset="0"/>
                      <a:cs typeface="Calibri" panose="020F0502020204030204" pitchFamily="34" charset="0"/>
                    </a:rPr>
                    <m:t>Creditors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by</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Resources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to</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Release</m:t>
                  </m:r>
                </m:oMath>
              </a14:m>
              <a:r>
                <a:rPr lang="en-US" sz="900">
                  <a:latin typeface="Calibri" panose="020F0502020204030204" pitchFamily="34" charset="0"/>
                  <a:ea typeface="Inter" panose="020B0502030000000004" pitchFamily="34" charset="0"/>
                  <a:cs typeface="Calibri" panose="020F0502020204030204" pitchFamily="34" charset="0"/>
                </a:rPr>
                <a:t> +</a:t>
              </a:r>
              <a:br>
                <a:rPr lang="en-US" sz="900">
                  <a:latin typeface="Calibri" panose="020F0502020204030204" pitchFamily="34" charset="0"/>
                  <a:ea typeface="Inter" panose="020B0502030000000004" pitchFamily="34" charset="0"/>
                  <a:cs typeface="Calibri" panose="020F0502020204030204" pitchFamily="34" charset="0"/>
                </a:rPr>
              </a:br>
              <a:r>
                <a:rPr lang="en-US" sz="900">
                  <a:latin typeface="Calibri" panose="020F0502020204030204" pitchFamily="34" charset="0"/>
                  <a:ea typeface="Inter" panose="020B0502030000000004" pitchFamily="34" charset="0"/>
                  <a:cs typeface="Calibri" panose="020F0502020204030204" pitchFamily="34" charset="0"/>
                </a:rPr>
                <a:t>Securities sold under agreements to repurchase + Interbank deposits + Borrowing and onlending</a:t>
              </a:r>
            </a:p>
            <a:p>
              <a:endParaRPr lang="en-US" sz="5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loan portfolio:</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just"/>
              <a14:m>
                <m:oMathPara xmlns:m="http://schemas.openxmlformats.org/officeDocument/2006/math">
                  <m:oMathParaPr>
                    <m:jc m:val="centerGroup"/>
                  </m:oMathParaPr>
                  <m:oMath xmlns:m="http://schemas.openxmlformats.org/officeDocument/2006/math">
                    <m:r>
                      <m:rPr>
                        <m:nor/>
                      </m:rPr>
                      <a:rPr lang="pt-BR" sz="900">
                        <a:latin typeface="Calibri" panose="020F0502020204030204" pitchFamily="34" charset="0"/>
                        <a:ea typeface="Inter" panose="020B0502030000000004" pitchFamily="34" charset="0"/>
                        <a:cs typeface="Calibri" panose="020F0502020204030204" pitchFamily="34" charset="0"/>
                      </a:rPr>
                      <m:t>Loans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and</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Advance</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to</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Customers</m:t>
                    </m:r>
                    <m:r>
                      <m:rPr>
                        <m:nor/>
                      </m:rPr>
                      <a:rPr lang="pt-BR" sz="900">
                        <a:latin typeface="Calibri" panose="020F0502020204030204" pitchFamily="34" charset="0"/>
                        <a:ea typeface="Inter" panose="020B0502030000000004" pitchFamily="34" charset="0"/>
                        <a:cs typeface="Calibri" panose="020F0502020204030204" pitchFamily="34" charset="0"/>
                      </a:rPr>
                      <m:t> + </m:t>
                    </m:r>
                    <m:r>
                      <m:rPr>
                        <m:nor/>
                      </m:rPr>
                      <a:rPr lang="pt-BR" sz="900">
                        <a:latin typeface="Calibri" panose="020F0502020204030204" pitchFamily="34" charset="0"/>
                        <a:ea typeface="Inter" panose="020B0502030000000004" pitchFamily="34" charset="0"/>
                        <a:cs typeface="Calibri" panose="020F0502020204030204" pitchFamily="34" charset="0"/>
                      </a:rPr>
                      <m:t>Loans</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to</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financial</m:t>
                    </m:r>
                    <m:r>
                      <m:rPr>
                        <m:nor/>
                      </m:rPr>
                      <a:rPr lang="pt-BR" sz="900">
                        <a:latin typeface="Calibri" panose="020F0502020204030204" pitchFamily="34" charset="0"/>
                        <a:ea typeface="Inter" panose="020B0502030000000004" pitchFamily="34" charset="0"/>
                        <a:cs typeface="Calibri" panose="020F0502020204030204" pitchFamily="34" charset="0"/>
                      </a:rPr>
                      <m:t> </m:t>
                    </m:r>
                    <m:r>
                      <m:rPr>
                        <m:nor/>
                      </m:rPr>
                      <a:rPr lang="pt-BR" sz="900">
                        <a:latin typeface="Calibri" panose="020F0502020204030204" pitchFamily="34" charset="0"/>
                        <a:ea typeface="Inter" panose="020B0502030000000004" pitchFamily="34" charset="0"/>
                        <a:cs typeface="Calibri" panose="020F0502020204030204" pitchFamily="34" charset="0"/>
                      </a:rPr>
                      <m:t>institutions</m:t>
                    </m:r>
                    <m:r>
                      <m:rPr>
                        <m:nor/>
                      </m:rPr>
                      <a:rPr lang="pt-BR" sz="900">
                        <a:latin typeface="Calibri" panose="020F0502020204030204" pitchFamily="34" charset="0"/>
                        <a:ea typeface="Inter" panose="020B0502030000000004" pitchFamily="34" charset="0"/>
                        <a:cs typeface="Calibri" panose="020F0502020204030204" pitchFamily="34" charset="0"/>
                      </a:rPr>
                      <m:t>  </m:t>
                    </m:r>
                  </m:oMath>
                </m:oMathPara>
              </a14:m>
              <a:endParaRPr lang="en-US" sz="900">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margin per active client gross of interest expenses:</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900">
                        <a:latin typeface="Cambria Math" panose="02040503050406030204" pitchFamily="18" charset="0"/>
                        <a:ea typeface="Inter" panose="020B0502030000000004" pitchFamily="34" charset="0"/>
                      </a:rPr>
                      <m:t>ARPAC</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g</m:t>
                    </m:r>
                    <m:r>
                      <m:rPr>
                        <m:sty m:val="p"/>
                      </m:rPr>
                      <a:rPr lang="pt-BR" sz="900">
                        <a:latin typeface="Cambria Math" panose="02040503050406030204" pitchFamily="18" charset="0"/>
                        <a:ea typeface="Inter" panose="020B0502030000000004" pitchFamily="34" charset="0"/>
                      </a:rPr>
                      <m:t>ross</m:t>
                    </m:r>
                    <m:r>
                      <a:rPr lang="pt-BR" sz="900">
                        <a:latin typeface="Cambria Math" panose="02040503050406030204" pitchFamily="18" charset="0"/>
                        <a:ea typeface="Inter" panose="020B0502030000000004" pitchFamily="34" charset="0"/>
                      </a:rPr>
                      <m:t> </m:t>
                    </m:r>
                    <m:r>
                      <m:rPr>
                        <m:sty m:val="p"/>
                      </m:rPr>
                      <a:rPr lang="pt-BR" sz="900">
                        <a:latin typeface="Cambria Math" panose="02040503050406030204" pitchFamily="18" charset="0"/>
                        <a:ea typeface="Inter" panose="020B0502030000000004" pitchFamily="34" charset="0"/>
                      </a:rPr>
                      <m:t>of</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interest</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expenses</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C</m:t>
                    </m:r>
                    <m:r>
                      <m:rPr>
                        <m:sty m:val="p"/>
                      </m:rPr>
                      <a:rPr lang="pt-BR" sz="900">
                        <a:latin typeface="Cambria Math" panose="02040503050406030204" pitchFamily="18" charset="0"/>
                        <a:ea typeface="Inter" panose="020B0502030000000004" pitchFamily="34" charset="0"/>
                      </a:rPr>
                      <m:t>ost</m:t>
                    </m:r>
                    <m:r>
                      <a:rPr lang="pt-BR" sz="900" b="0" i="0">
                        <a:latin typeface="Cambria Math" panose="02040503050406030204" pitchFamily="18" charset="0"/>
                        <a:ea typeface="Inter" panose="020B0502030000000004" pitchFamily="34" charset="0"/>
                      </a:rPr>
                      <m:t> </m:t>
                    </m:r>
                    <m:r>
                      <m:rPr>
                        <m:sty m:val="p"/>
                      </m:rPr>
                      <a:rPr lang="pt-BR" sz="900">
                        <a:latin typeface="Cambria Math" panose="02040503050406030204" pitchFamily="18" charset="0"/>
                        <a:ea typeface="Inter" panose="020B0502030000000004" pitchFamily="34" charset="0"/>
                      </a:rPr>
                      <m:t>to</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Serve</m:t>
                    </m:r>
                  </m:oMath>
                </m:oMathPara>
              </a14:m>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xdr:txBody>
        </xdr:sp>
      </mc:Choice>
      <mc:Fallback xmlns="">
        <xdr:sp macro="" textlink="">
          <xdr:nvSpPr>
            <xdr:cNvPr id="30" name="Retângulo 9">
              <a:extLst>
                <a:ext uri="{FF2B5EF4-FFF2-40B4-BE49-F238E27FC236}">
                  <a16:creationId xmlns:a16="http://schemas.microsoft.com/office/drawing/2014/main" id="{70BBBFDC-97EA-DB78-9935-3D590DAA2910}"/>
                </a:ext>
              </a:extLst>
            </xdr:cNvPr>
            <xdr:cNvSpPr/>
          </xdr:nvSpPr>
          <xdr:spPr>
            <a:xfrm>
              <a:off x="161844" y="21520059"/>
              <a:ext cx="5764771" cy="5519011"/>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Coverage ratio:</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(Provision for expected credit loss)/(</a:t>
              </a:r>
              <a:r>
                <a:rPr lang="pt-BR" sz="900" b="0" i="0">
                  <a:latin typeface="Cambria Math" panose="02040503050406030204" pitchFamily="18" charset="0"/>
                  <a:ea typeface="Cambria Math" panose="02040503050406030204" pitchFamily="18" charset="0"/>
                </a:rPr>
                <a:t>O</a:t>
              </a:r>
              <a:r>
                <a:rPr lang="pt-BR" sz="900" i="0">
                  <a:latin typeface="Cambria Math" panose="02040503050406030204" pitchFamily="18" charset="0"/>
                  <a:ea typeface="Cambria Math" panose="02040503050406030204" pitchFamily="18" charset="0"/>
                </a:rPr>
                <a:t>verdue higher than 90 days)</a:t>
              </a:r>
              <a:endParaRPr lang="en-US" sz="900">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Earning portfolio (IEP):</a:t>
              </a:r>
            </a:p>
            <a:p>
              <a:pPr algn="ctr"/>
              <a:r>
                <a:rPr lang="pt-BR" sz="900">
                  <a:latin typeface="Calibri" panose="020F0502020204030204" pitchFamily="34" charset="0"/>
                  <a:ea typeface="Inter" panose="020B0502030000000004" pitchFamily="34" charset="0"/>
                  <a:cs typeface="Calibri" panose="020F0502020204030204" pitchFamily="34" charset="0"/>
                </a:rPr>
                <a:t>Earnings Portfolio includes “Amounts due from financial institutions” + “Loans and advances to customers” + “Securities” + “Derivatives” from the IFRS Balance Sheet</a:t>
              </a: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 @Personnel expense+Administrative expenses</a:t>
              </a:r>
              <a:r>
                <a:rPr lang="pt-BR" sz="900" b="0" i="0">
                  <a:latin typeface="Cambria Math" panose="02040503050406030204" pitchFamily="18" charset="0"/>
                  <a:ea typeface="Cambria Math" panose="02040503050406030204" pitchFamily="18" charset="0"/>
                </a:rPr>
                <a:t>+Depreciation and amortization )/(</a:t>
              </a:r>
              <a:r>
                <a:rPr lang="pt-BR" sz="900" i="0">
                  <a:latin typeface="Cambria Math" panose="02040503050406030204" pitchFamily="18" charset="0"/>
                  <a:ea typeface="Cambria Math" panose="02040503050406030204" pitchFamily="18" charset="0"/>
                </a:rPr>
                <a:t>Net Interest Income+Net result from services and comissions+ Other revenue−Tax expense)  </a:t>
              </a:r>
              <a:endParaRPr lang="pt-BR" sz="900" i="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a:t>
              </a:r>
              <a: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Net result from services and commissions + Other revenue)/(</a:t>
              </a:r>
              <a:r>
                <a:rPr lang="pt-BR" sz="900" i="0">
                  <a:latin typeface="Cambria Math" panose="02040503050406030204" pitchFamily="18" charset="0"/>
                  <a:ea typeface="Cambria Math" panose="02040503050406030204" pitchFamily="18" charset="0"/>
                </a:rPr>
                <a:t>Net Interest Income+Net result from services and comissions+ Other revenue−Tax expense)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Funding:</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Inter" panose="020B0502030000000004" pitchFamily="34" charset="0"/>
                  <a:cs typeface="Calibri" panose="020F0502020204030204" pitchFamily="34" charset="0"/>
                </a:rPr>
                <a:t>"Demand Deposits + Time Deposits + Securities Issued + Savings Deposits + Creditors by Resources to Release</a:t>
              </a:r>
              <a:r>
                <a:rPr lang="en-US" sz="900" i="0">
                  <a:latin typeface="Calibri" panose="020F0502020204030204" pitchFamily="34" charset="0"/>
                  <a:ea typeface="Inter" panose="020B0502030000000004" pitchFamily="34" charset="0"/>
                  <a:cs typeface="Calibri" panose="020F0502020204030204" pitchFamily="34" charset="0"/>
                </a:rPr>
                <a:t>"</a:t>
              </a:r>
              <a:r>
                <a:rPr lang="en-US" sz="900">
                  <a:latin typeface="Calibri" panose="020F0502020204030204" pitchFamily="34" charset="0"/>
                  <a:ea typeface="Inter" panose="020B0502030000000004" pitchFamily="34" charset="0"/>
                  <a:cs typeface="Calibri" panose="020F0502020204030204" pitchFamily="34" charset="0"/>
                </a:rPr>
                <a:t> +</a:t>
              </a:r>
              <a:br>
                <a:rPr lang="en-US" sz="900">
                  <a:latin typeface="Calibri" panose="020F0502020204030204" pitchFamily="34" charset="0"/>
                  <a:ea typeface="Inter" panose="020B0502030000000004" pitchFamily="34" charset="0"/>
                  <a:cs typeface="Calibri" panose="020F0502020204030204" pitchFamily="34" charset="0"/>
                </a:rPr>
              </a:br>
              <a:r>
                <a:rPr lang="en-US" sz="900">
                  <a:latin typeface="Calibri" panose="020F0502020204030204" pitchFamily="34" charset="0"/>
                  <a:ea typeface="Inter" panose="020B0502030000000004" pitchFamily="34" charset="0"/>
                  <a:cs typeface="Calibri" panose="020F0502020204030204" pitchFamily="34" charset="0"/>
                </a:rPr>
                <a:t>Securities sold under agreements to repurchase + Interbank deposits + Borrowing and onlending</a:t>
              </a:r>
            </a:p>
            <a:p>
              <a:endParaRPr lang="en-US" sz="5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loan portfolio:</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just"/>
              <a:r>
                <a:rPr lang="pt-BR" sz="900" i="0">
                  <a:latin typeface="Cambria Math" panose="02040503050406030204" pitchFamily="18" charset="0"/>
                  <a:ea typeface="Inter" panose="020B0502030000000004" pitchFamily="34" charset="0"/>
                  <a:cs typeface="Calibri" panose="020F0502020204030204" pitchFamily="34" charset="0"/>
                </a:rPr>
                <a:t>"Loans and Advance to Customers + Loans to  financial institutions  </a:t>
              </a:r>
              <a:r>
                <a:rPr lang="en-US" sz="900" i="0">
                  <a:latin typeface="Calibri" panose="020F0502020204030204" pitchFamily="34" charset="0"/>
                  <a:ea typeface="Inter" panose="020B0502030000000004" pitchFamily="34" charset="0"/>
                  <a:cs typeface="Calibri" panose="020F0502020204030204" pitchFamily="34" charset="0"/>
                </a:rPr>
                <a:t>"</a:t>
              </a:r>
              <a:endParaRPr lang="en-US" sz="900">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margin per active client gross of interest expenses:</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ea typeface="Inter" panose="020B0502030000000004" pitchFamily="34" charset="0"/>
                </a:rPr>
                <a:t>ARPAC </a:t>
              </a:r>
              <a:r>
                <a:rPr lang="pt-BR" sz="900" b="0" i="0">
                  <a:latin typeface="Cambria Math" panose="02040503050406030204" pitchFamily="18" charset="0"/>
                  <a:ea typeface="Inter" panose="020B0502030000000004" pitchFamily="34" charset="0"/>
                </a:rPr>
                <a:t>g</a:t>
              </a:r>
              <a:r>
                <a:rPr lang="pt-BR" sz="900" i="0">
                  <a:latin typeface="Cambria Math" panose="02040503050406030204" pitchFamily="18" charset="0"/>
                  <a:ea typeface="Inter" panose="020B0502030000000004" pitchFamily="34" charset="0"/>
                </a:rPr>
                <a:t>ross of </a:t>
              </a:r>
              <a:r>
                <a:rPr lang="pt-BR" sz="900" b="0" i="0">
                  <a:latin typeface="Cambria Math" panose="02040503050406030204" pitchFamily="18" charset="0"/>
                  <a:ea typeface="Inter" panose="020B0502030000000004" pitchFamily="34" charset="0"/>
                </a:rPr>
                <a:t>interest expenses</a:t>
              </a:r>
              <a:r>
                <a:rPr lang="pt-BR" sz="900" i="0">
                  <a:latin typeface="Cambria Math" panose="02040503050406030204" pitchFamily="18" charset="0"/>
                  <a:ea typeface="Inter" panose="020B0502030000000004" pitchFamily="34" charset="0"/>
                </a:rPr>
                <a:t> –</a:t>
              </a:r>
              <a:r>
                <a:rPr lang="pt-BR" sz="900" b="0" i="0">
                  <a:latin typeface="Cambria Math" panose="02040503050406030204" pitchFamily="18" charset="0"/>
                  <a:ea typeface="Inter" panose="020B0502030000000004" pitchFamily="34" charset="0"/>
                </a:rPr>
                <a:t>C</a:t>
              </a:r>
              <a:r>
                <a:rPr lang="pt-BR" sz="900" i="0">
                  <a:latin typeface="Cambria Math" panose="02040503050406030204" pitchFamily="18" charset="0"/>
                  <a:ea typeface="Inter" panose="020B0502030000000004" pitchFamily="34" charset="0"/>
                </a:rPr>
                <a:t>ost</a:t>
              </a:r>
              <a:r>
                <a:rPr lang="pt-BR" sz="900" b="0" i="0">
                  <a:latin typeface="Cambria Math" panose="02040503050406030204" pitchFamily="18" charset="0"/>
                  <a:ea typeface="Inter" panose="020B0502030000000004" pitchFamily="34" charset="0"/>
                </a:rPr>
                <a:t> </a:t>
              </a:r>
              <a:r>
                <a:rPr lang="pt-BR" sz="900" i="0">
                  <a:latin typeface="Cambria Math" panose="02040503050406030204" pitchFamily="18" charset="0"/>
                  <a:ea typeface="Inter" panose="020B0502030000000004" pitchFamily="34" charset="0"/>
                </a:rPr>
                <a:t>to</a:t>
              </a:r>
              <a:r>
                <a:rPr lang="pt-BR" sz="900" b="0" i="0">
                  <a:latin typeface="Cambria Math" panose="02040503050406030204" pitchFamily="18" charset="0"/>
                  <a:ea typeface="Inter" panose="020B0502030000000004" pitchFamily="34" charset="0"/>
                </a:rPr>
                <a:t> Serve</a:t>
              </a:r>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xdr:txBody>
        </xdr:sp>
      </mc:Fallback>
    </mc:AlternateContent>
    <xdr:clientData/>
  </xdr:twoCellAnchor>
  <xdr:twoCellAnchor>
    <xdr:from>
      <xdr:col>0</xdr:col>
      <xdr:colOff>177988</xdr:colOff>
      <xdr:row>146</xdr:row>
      <xdr:rowOff>79457</xdr:rowOff>
    </xdr:from>
    <xdr:to>
      <xdr:col>7</xdr:col>
      <xdr:colOff>146188</xdr:colOff>
      <xdr:row>176</xdr:row>
      <xdr:rowOff>128025</xdr:rowOff>
    </xdr:to>
    <mc:AlternateContent xmlns:mc="http://schemas.openxmlformats.org/markup-compatibility/2006" xmlns:a14="http://schemas.microsoft.com/office/drawing/2010/main">
      <mc:Choice Requires="a14">
        <xdr:sp macro="" textlink="">
          <xdr:nvSpPr>
            <xdr:cNvPr id="31" name="Retângulo 9">
              <a:extLst>
                <a:ext uri="{FF2B5EF4-FFF2-40B4-BE49-F238E27FC236}">
                  <a16:creationId xmlns:a16="http://schemas.microsoft.com/office/drawing/2014/main" id="{00000000-0008-0000-1600-00001F000000}"/>
                </a:ext>
              </a:extLst>
            </xdr:cNvPr>
            <xdr:cNvSpPr/>
          </xdr:nvSpPr>
          <xdr:spPr>
            <a:xfrm>
              <a:off x="177988" y="26951921"/>
              <a:ext cx="5766026" cy="5570307"/>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Gross margin per active client net of interest expenses:</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900" i="0">
                        <a:latin typeface="Cambria Math" panose="02040503050406030204" pitchFamily="18" charset="0"/>
                        <a:ea typeface="Inter" panose="020B0502030000000004" pitchFamily="34" charset="0"/>
                      </a:rPr>
                      <m:t>ARPAC</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net</m:t>
                    </m:r>
                    <m:r>
                      <a:rPr lang="pt-BR" sz="900" b="0" i="0">
                        <a:latin typeface="Cambria Math" panose="02040503050406030204" pitchFamily="18" charset="0"/>
                        <a:ea typeface="Inter" panose="020B0502030000000004" pitchFamily="34" charset="0"/>
                      </a:rPr>
                      <m:t>  </m:t>
                    </m:r>
                    <m:r>
                      <m:rPr>
                        <m:sty m:val="p"/>
                      </m:rPr>
                      <a:rPr lang="pt-BR" sz="900" i="0">
                        <a:latin typeface="Cambria Math" panose="02040503050406030204" pitchFamily="18" charset="0"/>
                        <a:ea typeface="Inter" panose="020B0502030000000004" pitchFamily="34" charset="0"/>
                      </a:rPr>
                      <m:t>of</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interest</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expenses</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C</m:t>
                    </m:r>
                    <m:r>
                      <m:rPr>
                        <m:sty m:val="p"/>
                      </m:rPr>
                      <a:rPr lang="pt-BR" sz="900" i="0">
                        <a:latin typeface="Cambria Math" panose="02040503050406030204" pitchFamily="18" charset="0"/>
                        <a:ea typeface="Inter" panose="020B0502030000000004" pitchFamily="34" charset="0"/>
                      </a:rPr>
                      <m:t>ost</m:t>
                    </m:r>
                    <m:r>
                      <a:rPr lang="pt-BR" sz="900" b="0" i="0">
                        <a:latin typeface="Cambria Math" panose="02040503050406030204" pitchFamily="18" charset="0"/>
                        <a:ea typeface="Inter" panose="020B0502030000000004" pitchFamily="34" charset="0"/>
                      </a:rPr>
                      <m:t> </m:t>
                    </m:r>
                    <m:r>
                      <m:rPr>
                        <m:sty m:val="p"/>
                      </m:rPr>
                      <a:rPr lang="pt-BR" sz="900" i="0">
                        <a:latin typeface="Cambria Math" panose="02040503050406030204" pitchFamily="18" charset="0"/>
                        <a:ea typeface="Inter" panose="020B0502030000000004" pitchFamily="34" charset="0"/>
                      </a:rPr>
                      <m:t>to</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Serve</m:t>
                    </m:r>
                  </m:oMath>
                </m:oMathPara>
              </a14:m>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Net fee income:</a:t>
              </a:r>
            </a:p>
            <a:p>
              <a:endParaRPr lang="pt-BR" sz="900" b="1">
                <a:latin typeface="Calibri" panose="020F0502020204030204" pitchFamily="34" charset="0"/>
                <a:cs typeface="Calibri" panose="020F0502020204030204" pitchFamily="34" charset="0"/>
              </a:endParaRPr>
            </a:p>
            <a:p>
              <a:pPr algn="ctr"/>
              <a:r>
                <a:rPr lang="pt-BR" sz="900">
                  <a:latin typeface="Calibri" panose="020F0502020204030204" pitchFamily="34" charset="0"/>
                  <a:ea typeface="Inter" panose="020B0502030000000004" pitchFamily="34" charset="0"/>
                  <a:cs typeface="Calibri" panose="020F0502020204030204" pitchFamily="34" charset="0"/>
                </a:rPr>
                <a:t>Net result from services and commissions + Other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interest income: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nterest</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Income</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Interest</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Expenses</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Income</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from</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securities</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and</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derivatives</m:t>
                  </m:r>
                </m:oMath>
              </a14:m>
              <a:r>
                <a:rPr lang="pt-BR" sz="900" b="1">
                  <a:latin typeface="Calibri" panose="020F0502020204030204" pitchFamily="34" charset="0"/>
                  <a:ea typeface="Cambria Math" panose="02040503050406030204" pitchFamily="18" charset="0"/>
                  <a:cs typeface="Calibri" panose="020F0502020204030204" pitchFamily="34" charset="0"/>
                </a:rPr>
                <a:t> </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Net interest income + Net result from services and commissions + Other revenue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1.0 – IEP + Non-interest Credit Cards Receivables:</a:t>
              </a:r>
              <a:br>
                <a:rPr lang="en-US" sz="800" b="1">
                  <a:latin typeface="Calibri" panose="020F0502020204030204" pitchFamily="34" charset="0"/>
                  <a:ea typeface="Cambria Math" panose="02040503050406030204" pitchFamily="18" charset="0"/>
                  <a:cs typeface="Calibri" panose="020F0502020204030204" pitchFamily="34" charset="0"/>
                </a:rPr>
              </a:b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r>
                          <m:rPr>
                            <m:sty m:val="p"/>
                          </m:rPr>
                          <a:rPr lang="pt-BR" sz="900" b="0" i="0">
                            <a:latin typeface="Cambria Math" panose="02040503050406030204" pitchFamily="18" charset="0"/>
                            <a:ea typeface="Cambria Math" panose="02040503050406030204" pitchFamily="18" charset="0"/>
                          </a:rPr>
                          <m:t>Net</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interest</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income</m:t>
                        </m:r>
                        <m:r>
                          <a:rPr lang="pt-BR" sz="900" b="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x</m:t>
                        </m:r>
                        <m:r>
                          <a:rPr lang="pt-BR" sz="900" i="0">
                            <a:latin typeface="Cambria Math" panose="02040503050406030204" pitchFamily="18" charset="0"/>
                            <a:ea typeface="Cambria Math" panose="02040503050406030204" pitchFamily="18" charset="0"/>
                          </a:rPr>
                          <m:t> 4</m:t>
                        </m:r>
                      </m:num>
                      <m:den>
                        <m:eqArr>
                          <m:eqArrPr>
                            <m:ctrlPr>
                              <a:rPr lang="pt-BR" sz="900" i="1">
                                <a:latin typeface="Cambria Math" panose="02040503050406030204" pitchFamily="18" charset="0"/>
                                <a:ea typeface="Cambria Math" panose="02040503050406030204" pitchFamily="18" charset="0"/>
                              </a:rPr>
                            </m:ctrlPr>
                          </m:eqArrPr>
                          <m:e>
                            <m:r>
                              <m:rPr>
                                <m:sty m:val="p"/>
                              </m:rPr>
                              <a:rPr lang="pt-BR" sz="900" i="0">
                                <a:latin typeface="Cambria Math" panose="02040503050406030204" pitchFamily="18" charset="0"/>
                                <a:ea typeface="Cambria Math" panose="02040503050406030204" pitchFamily="18" charset="0"/>
                              </a:rPr>
                              <m:t>Average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of</m:t>
                            </m:r>
                            <m:r>
                              <a:rPr lang="pt-BR" sz="900" i="0">
                                <a:latin typeface="Cambria Math" panose="02040503050406030204" pitchFamily="18" charset="0"/>
                                <a:ea typeface="Cambria Math" panose="02040503050406030204" pitchFamily="18" charset="0"/>
                              </a:rPr>
                              <m:t> 2 </m:t>
                            </m:r>
                            <m:r>
                              <m:rPr>
                                <m:sty m:val="p"/>
                              </m:rPr>
                              <a:rPr lang="pt-BR" sz="900" i="0">
                                <a:latin typeface="Cambria Math" panose="02040503050406030204" pitchFamily="18" charset="0"/>
                                <a:ea typeface="Cambria Math" panose="02040503050406030204" pitchFamily="18" charset="0"/>
                              </a:rPr>
                              <m:t>Last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Quarters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Earning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Securities</m:t>
                            </m:r>
                            <m:r>
                              <a:rPr lang="pt-BR" sz="900" i="0">
                                <a:latin typeface="Cambria Math" panose="02040503050406030204" pitchFamily="18" charset="0"/>
                                <a:ea typeface="Cambria Math" panose="02040503050406030204" pitchFamily="18" charset="0"/>
                              </a:rPr>
                              <m:t> + </m:t>
                            </m:r>
                          </m:e>
                          <m:e>
                            <m:r>
                              <m:rPr>
                                <m:sty m:val="p"/>
                              </m:rPr>
                              <a:rPr lang="pt-BR" sz="900" i="0">
                                <a:latin typeface="Cambria Math" panose="02040503050406030204" pitchFamily="18" charset="0"/>
                                <a:ea typeface="Cambria Math" panose="02040503050406030204" pitchFamily="18" charset="0"/>
                              </a:rPr>
                              <m:t>Derivatives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Net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advances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customers</m:t>
                            </m:r>
                          </m:e>
                        </m:eqArr>
                      </m:den>
                    </m:f>
                  </m:oMath>
                </m:oMathPara>
              </a14:m>
              <a:endParaRPr lang="en-US" sz="900">
                <a:latin typeface="Calibri" panose="020F0502020204030204" pitchFamily="34" charset="0"/>
                <a:ea typeface="Cambria Math" panose="02040503050406030204" pitchFamily="18" charset="0"/>
                <a:cs typeface="Calibri" panose="020F0502020204030204" pitchFamily="34" charset="0"/>
              </a:endParaRPr>
            </a:p>
            <a:p>
              <a:pPr algn="ct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2.0 – IEP Only:</a:t>
              </a:r>
            </a:p>
            <a:p>
              <a:endParaRPr lang="en-US" sz="800" b="1" i="1">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interest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income</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x</m:t>
                        </m:r>
                        <m:r>
                          <a:rPr lang="pt-BR" sz="900">
                            <a:latin typeface="Cambria Math" panose="02040503050406030204" pitchFamily="18" charset="0"/>
                            <a:ea typeface="Cambria Math" panose="02040503050406030204" pitchFamily="18" charset="0"/>
                          </a:rPr>
                          <m:t> 4</m:t>
                        </m:r>
                      </m:num>
                      <m:den>
                        <m:eqArr>
                          <m:eqArrPr>
                            <m:ctrlPr>
                              <a:rPr lang="pt-BR" sz="900" i="1">
                                <a:latin typeface="Cambria Math" panose="02040503050406030204" pitchFamily="18" charset="0"/>
                                <a:ea typeface="Cambria Math" panose="02040503050406030204" pitchFamily="18" charset="0"/>
                              </a:rPr>
                            </m:ctrlPr>
                          </m:eqArrPr>
                          <m:e>
                            <m:r>
                              <m:rPr>
                                <m:sty m:val="p"/>
                              </m:rPr>
                              <a:rPr lang="pt-BR" sz="900" i="0">
                                <a:latin typeface="Cambria Math" panose="02040503050406030204" pitchFamily="18" charset="0"/>
                                <a:ea typeface="Cambria Math" panose="02040503050406030204" pitchFamily="18" charset="0"/>
                              </a:rPr>
                              <m:t>Average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of</m:t>
                            </m:r>
                            <m:r>
                              <a:rPr lang="pt-BR" sz="900" i="0">
                                <a:latin typeface="Cambria Math" panose="02040503050406030204" pitchFamily="18" charset="0"/>
                                <a:ea typeface="Cambria Math" panose="02040503050406030204" pitchFamily="18" charset="0"/>
                              </a:rPr>
                              <m:t> 2 </m:t>
                            </m:r>
                            <m:r>
                              <m:rPr>
                                <m:sty m:val="p"/>
                              </m:rPr>
                              <a:rPr lang="pt-BR" sz="900" i="0">
                                <a:latin typeface="Cambria Math" panose="02040503050406030204" pitchFamily="18" charset="0"/>
                                <a:ea typeface="Cambria Math" panose="02040503050406030204" pitchFamily="18" charset="0"/>
                              </a:rPr>
                              <m:t>Last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Quarters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Earning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Non</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interest</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Bearing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Cards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Receivables</m:t>
                            </m:r>
                            <m:r>
                              <a:rPr lang="pt-BR" sz="900" i="0">
                                <a:latin typeface="Cambria Math" panose="02040503050406030204" pitchFamily="18" charset="0"/>
                                <a:ea typeface="Cambria Math" panose="02040503050406030204" pitchFamily="18" charset="0"/>
                              </a:rPr>
                              <m:t> </m:t>
                            </m:r>
                          </m:e>
                          <m:e>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Amounts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due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from</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Securities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Derivatives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Net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e>
                          <m:e>
                            <m:r>
                              <m:rPr>
                                <m:sty m:val="p"/>
                              </m:rPr>
                              <a:rPr lang="pt-BR" sz="900" i="0">
                                <a:latin typeface="Cambria Math" panose="02040503050406030204" pitchFamily="18" charset="0"/>
                                <a:ea typeface="Cambria Math" panose="02040503050406030204" pitchFamily="18" charset="0"/>
                              </a:rPr>
                              <m:t>advances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customers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card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transactor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m:t>
                            </m:r>
                          </m:e>
                        </m:eqArr>
                      </m:den>
                    </m:f>
                    <m:r>
                      <a:rPr lang="pt-BR" sz="900" i="1">
                        <a:latin typeface="Cambria Math" panose="02040503050406030204" pitchFamily="18" charset="0"/>
                        <a:ea typeface="Cambria Math" panose="02040503050406030204" pitchFamily="18" charset="0"/>
                      </a:rPr>
                      <m:t> </m:t>
                    </m:r>
                  </m:oMath>
                </m:oMathPara>
              </a14:m>
              <a:endParaRPr lang="en-US" sz="900" b="1" i="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15 to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900" i="1">
                            <a:latin typeface="Cambria Math" panose="02040503050406030204" pitchFamily="18" charset="0"/>
                            <a:ea typeface="Cambria Math" panose="02040503050406030204" pitchFamily="18" charset="0"/>
                          </a:rPr>
                        </m:ctrlPr>
                      </m:fPr>
                      <m:num>
                        <m:r>
                          <m:rPr>
                            <m:sty m:val="p"/>
                          </m:rPr>
                          <a:rPr lang="pt-BR" sz="900" i="0">
                            <a:latin typeface="Cambria Math" panose="02040503050406030204" pitchFamily="18" charset="0"/>
                            <a:ea typeface="Cambria Math" panose="02040503050406030204" pitchFamily="18" charset="0"/>
                          </a:rPr>
                          <m:t>Overdue</m:t>
                        </m:r>
                        <m:r>
                          <a:rPr lang="pt-BR" sz="900" i="0">
                            <a:latin typeface="Cambria Math" panose="02040503050406030204" pitchFamily="18" charset="0"/>
                            <a:ea typeface="Cambria Math" panose="02040503050406030204" pitchFamily="18" charset="0"/>
                          </a:rPr>
                          <m:t> 15 </m:t>
                        </m:r>
                        <m:r>
                          <m:rPr>
                            <m:sty m:val="p"/>
                          </m:rPr>
                          <a:rPr lang="pt-BR" sz="900" b="0" i="0">
                            <a:latin typeface="Cambria Math" panose="02040503050406030204" pitchFamily="18" charset="0"/>
                            <a:ea typeface="Cambria Math" panose="02040503050406030204" pitchFamily="18" charset="0"/>
                          </a:rPr>
                          <m:t>to</m:t>
                        </m:r>
                        <m:r>
                          <a:rPr lang="pt-BR" sz="900" b="0" i="0">
                            <a:latin typeface="Cambria Math" panose="02040503050406030204" pitchFamily="18" charset="0"/>
                            <a:ea typeface="Cambria Math" panose="02040503050406030204" pitchFamily="18" charset="0"/>
                          </a:rPr>
                          <m:t> 90 </m:t>
                        </m:r>
                        <m:r>
                          <m:rPr>
                            <m:sty m:val="p"/>
                          </m:rPr>
                          <a:rPr lang="pt-BR" sz="900" i="0">
                            <a:latin typeface="Cambria Math" panose="02040503050406030204" pitchFamily="18" charset="0"/>
                            <a:ea typeface="Cambria Math" panose="02040503050406030204" pitchFamily="18" charset="0"/>
                          </a:rPr>
                          <m:t>days</m:t>
                        </m:r>
                      </m:num>
                      <m:den>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Advance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Costumers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m:t>
                        </m:r>
                      </m:den>
                    </m:f>
                    <m:r>
                      <a:rPr lang="pt-BR" sz="900" b="0" i="1">
                        <a:latin typeface="Cambria Math" panose="02040503050406030204" pitchFamily="18" charset="0"/>
                        <a:ea typeface="Cambria Math" panose="02040503050406030204" pitchFamily="18" charset="0"/>
                      </a:rPr>
                      <m:t> </m:t>
                    </m:r>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31" name="Retângulo 9">
              <a:extLst>
                <a:ext uri="{FF2B5EF4-FFF2-40B4-BE49-F238E27FC236}">
                  <a16:creationId xmlns:a16="http://schemas.microsoft.com/office/drawing/2014/main" id="{E053E71D-69F7-C852-2686-4DDCCC5EB831}"/>
                </a:ext>
              </a:extLst>
            </xdr:cNvPr>
            <xdr:cNvSpPr/>
          </xdr:nvSpPr>
          <xdr:spPr>
            <a:xfrm>
              <a:off x="177988" y="26951921"/>
              <a:ext cx="5766026" cy="5570307"/>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Gross margin per active client net of interest expenses:</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ea typeface="Inter" panose="020B0502030000000004" pitchFamily="34" charset="0"/>
                </a:rPr>
                <a:t>ARPAC </a:t>
              </a:r>
              <a:r>
                <a:rPr lang="pt-BR" sz="900" b="0" i="0">
                  <a:latin typeface="Cambria Math" panose="02040503050406030204" pitchFamily="18" charset="0"/>
                  <a:ea typeface="Inter" panose="020B0502030000000004" pitchFamily="34" charset="0"/>
                </a:rPr>
                <a:t>net  </a:t>
              </a:r>
              <a:r>
                <a:rPr lang="pt-BR" sz="900" i="0">
                  <a:latin typeface="Cambria Math" panose="02040503050406030204" pitchFamily="18" charset="0"/>
                  <a:ea typeface="Inter" panose="020B0502030000000004" pitchFamily="34" charset="0"/>
                </a:rPr>
                <a:t>of </a:t>
              </a:r>
              <a:r>
                <a:rPr lang="pt-BR" sz="900" b="0" i="0">
                  <a:latin typeface="Cambria Math" panose="02040503050406030204" pitchFamily="18" charset="0"/>
                  <a:ea typeface="Inter" panose="020B0502030000000004" pitchFamily="34" charset="0"/>
                </a:rPr>
                <a:t>interest expenses</a:t>
              </a:r>
              <a:r>
                <a:rPr lang="pt-BR" sz="900" i="0">
                  <a:latin typeface="Cambria Math" panose="02040503050406030204" pitchFamily="18" charset="0"/>
                  <a:ea typeface="Inter" panose="020B0502030000000004" pitchFamily="34" charset="0"/>
                </a:rPr>
                <a:t> –</a:t>
              </a:r>
              <a:r>
                <a:rPr lang="pt-BR" sz="900" b="0" i="0">
                  <a:latin typeface="Cambria Math" panose="02040503050406030204" pitchFamily="18" charset="0"/>
                  <a:ea typeface="Inter" panose="020B0502030000000004" pitchFamily="34" charset="0"/>
                </a:rPr>
                <a:t>C</a:t>
              </a:r>
              <a:r>
                <a:rPr lang="pt-BR" sz="900" i="0">
                  <a:latin typeface="Cambria Math" panose="02040503050406030204" pitchFamily="18" charset="0"/>
                  <a:ea typeface="Inter" panose="020B0502030000000004" pitchFamily="34" charset="0"/>
                </a:rPr>
                <a:t>ost</a:t>
              </a:r>
              <a:r>
                <a:rPr lang="pt-BR" sz="900" b="0" i="0">
                  <a:latin typeface="Cambria Math" panose="02040503050406030204" pitchFamily="18" charset="0"/>
                  <a:ea typeface="Inter" panose="020B0502030000000004" pitchFamily="34" charset="0"/>
                </a:rPr>
                <a:t> </a:t>
              </a:r>
              <a:r>
                <a:rPr lang="pt-BR" sz="900" i="0">
                  <a:latin typeface="Cambria Math" panose="02040503050406030204" pitchFamily="18" charset="0"/>
                  <a:ea typeface="Inter" panose="020B0502030000000004" pitchFamily="34" charset="0"/>
                </a:rPr>
                <a:t>to</a:t>
              </a:r>
              <a:r>
                <a:rPr lang="pt-BR" sz="900" b="0" i="0">
                  <a:latin typeface="Cambria Math" panose="02040503050406030204" pitchFamily="18" charset="0"/>
                  <a:ea typeface="Inter" panose="020B0502030000000004" pitchFamily="34" charset="0"/>
                </a:rPr>
                <a:t> Serve</a:t>
              </a:r>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Net fee income:</a:t>
              </a:r>
            </a:p>
            <a:p>
              <a:endParaRPr lang="pt-BR" sz="900" b="1">
                <a:latin typeface="Calibri" panose="020F0502020204030204" pitchFamily="34" charset="0"/>
                <a:cs typeface="Calibri" panose="020F0502020204030204" pitchFamily="34" charset="0"/>
              </a:endParaRPr>
            </a:p>
            <a:p>
              <a:pPr algn="ctr"/>
              <a:r>
                <a:rPr lang="pt-BR" sz="900">
                  <a:latin typeface="Calibri" panose="020F0502020204030204" pitchFamily="34" charset="0"/>
                  <a:ea typeface="Inter" panose="020B0502030000000004" pitchFamily="34" charset="0"/>
                  <a:cs typeface="Calibri" panose="020F0502020204030204" pitchFamily="34" charset="0"/>
                </a:rPr>
                <a:t>Net result from services and commissions + Other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interest income: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I</a:t>
              </a:r>
              <a: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nterest Income+Interest Expenses+Income from securities and derivatives</a:t>
              </a:r>
              <a:r>
                <a:rPr lang="pt-BR" sz="900" b="1">
                  <a:latin typeface="Calibri" panose="020F0502020204030204" pitchFamily="34" charset="0"/>
                  <a:ea typeface="Cambria Math" panose="02040503050406030204" pitchFamily="18" charset="0"/>
                  <a:cs typeface="Calibri" panose="020F0502020204030204" pitchFamily="34" charset="0"/>
                </a:rPr>
                <a:t> </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Net interest income + Net result from services and commissions + Other revenue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1.0 – IEP + Non-interest Credit Cards Receivables:</a:t>
              </a:r>
              <a:br>
                <a:rPr lang="en-US" sz="800" b="1">
                  <a:latin typeface="Calibri" panose="020F0502020204030204" pitchFamily="34" charset="0"/>
                  <a:ea typeface="Cambria Math" panose="02040503050406030204" pitchFamily="18" charset="0"/>
                  <a:cs typeface="Calibri" panose="020F0502020204030204" pitchFamily="34" charset="0"/>
                </a:rPr>
              </a:b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a:t>
              </a:r>
              <a:r>
                <a:rPr lang="pt-BR" sz="900" b="0" i="0">
                  <a:latin typeface="Cambria Math" panose="02040503050406030204" pitchFamily="18" charset="0"/>
                  <a:ea typeface="Cambria Math" panose="02040503050406030204" pitchFamily="18" charset="0"/>
                </a:rPr>
                <a:t>Net interest income </a:t>
              </a:r>
              <a:r>
                <a:rPr lang="pt-BR" sz="900" i="0">
                  <a:latin typeface="Cambria Math" panose="02040503050406030204" pitchFamily="18" charset="0"/>
                  <a:ea typeface="Cambria Math" panose="02040503050406030204" pitchFamily="18" charset="0"/>
                </a:rPr>
                <a:t>x 4)/█(Average of 2 Last Quarters Earning Portfolio (Loans to financial institutions + Securities + @Derivatives + Net loans and advances to customers)</a:t>
              </a:r>
              <a:endParaRPr lang="en-US" sz="900">
                <a:latin typeface="Calibri" panose="020F0502020204030204" pitchFamily="34" charset="0"/>
                <a:ea typeface="Cambria Math" panose="02040503050406030204" pitchFamily="18" charset="0"/>
                <a:cs typeface="Calibri" panose="020F0502020204030204" pitchFamily="34" charset="0"/>
              </a:endParaRPr>
            </a:p>
            <a:p>
              <a:pPr algn="ct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2.0 – IEP Only:</a:t>
              </a:r>
            </a:p>
            <a:p>
              <a:endParaRPr lang="en-US" sz="800" b="1" i="1">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(Net interest income x 4)/█(Average of 2 Last Quarters Earning Portfolio − Non−interest−Bearing Credit Cards Receivables @(Amounts due from financial institutions + Securities + Derivatives + Net loans and @advances to customers – Credit card transactor portfolio))  </a:t>
              </a:r>
              <a:endParaRPr lang="en-US" sz="900" b="1" i="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15 to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(Overdue 15 </a:t>
              </a:r>
              <a:r>
                <a:rPr lang="pt-BR" sz="900" b="0" i="0">
                  <a:latin typeface="Cambria Math" panose="02040503050406030204" pitchFamily="18" charset="0"/>
                  <a:ea typeface="Cambria Math" panose="02040503050406030204" pitchFamily="18" charset="0"/>
                </a:rPr>
                <a:t>to 90 </a:t>
              </a:r>
              <a:r>
                <a:rPr lang="pt-BR" sz="900" i="0">
                  <a:latin typeface="Cambria Math" panose="02040503050406030204" pitchFamily="18" charset="0"/>
                  <a:ea typeface="Cambria Math" panose="02040503050406030204" pitchFamily="18" charset="0"/>
                </a:rPr>
                <a:t>days)/(Loans and Advance to Costumers + Loans to  financial institutions  )</a:t>
              </a:r>
              <a:r>
                <a:rPr lang="pt-BR" sz="900" b="0" i="0">
                  <a:latin typeface="Cambria Math" panose="02040503050406030204" pitchFamily="18" charset="0"/>
                  <a:ea typeface="Cambria Math" panose="02040503050406030204" pitchFamily="18" charset="0"/>
                </a:rPr>
                <a:t>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0</xdr:col>
      <xdr:colOff>245533</xdr:colOff>
      <xdr:row>176</xdr:row>
      <xdr:rowOff>135467</xdr:rowOff>
    </xdr:from>
    <xdr:to>
      <xdr:col>7</xdr:col>
      <xdr:colOff>127000</xdr:colOff>
      <xdr:row>214</xdr:row>
      <xdr:rowOff>18610</xdr:rowOff>
    </xdr:to>
    <mc:AlternateContent xmlns:mc="http://schemas.openxmlformats.org/markup-compatibility/2006" xmlns:a14="http://schemas.microsoft.com/office/drawing/2010/main">
      <mc:Choice Requires="a14">
        <xdr:sp macro="" textlink="">
          <xdr:nvSpPr>
            <xdr:cNvPr id="36" name="Retângulo 9">
              <a:extLst>
                <a:ext uri="{FF2B5EF4-FFF2-40B4-BE49-F238E27FC236}">
                  <a16:creationId xmlns:a16="http://schemas.microsoft.com/office/drawing/2014/main" id="{00000000-0008-0000-1600-000024000000}"/>
                </a:ext>
              </a:extLst>
            </xdr:cNvPr>
            <xdr:cNvSpPr/>
          </xdr:nvSpPr>
          <xdr:spPr>
            <a:xfrm>
              <a:off x="245533" y="33663467"/>
              <a:ext cx="5659967" cy="712214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NPL &gt;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r>
                          <m:rPr>
                            <m:sty m:val="p"/>
                          </m:rPr>
                          <a:rPr lang="en-US" sz="900" i="0">
                            <a:latin typeface="Cambria Math" panose="02040503050406030204" pitchFamily="18" charset="0"/>
                            <a:ea typeface="Cambria Math" panose="02040503050406030204" pitchFamily="18" charset="0"/>
                          </a:rPr>
                          <m:t>Overdue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higher</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than</m:t>
                        </m:r>
                        <m:r>
                          <a:rPr lang="en-US" sz="900" i="0">
                            <a:latin typeface="Cambria Math" panose="02040503050406030204" pitchFamily="18" charset="0"/>
                            <a:ea typeface="Cambria Math" panose="02040503050406030204" pitchFamily="18" charset="0"/>
                          </a:rPr>
                          <m:t> 90 </m:t>
                        </m:r>
                        <m:r>
                          <m:rPr>
                            <m:sty m:val="p"/>
                          </m:rPr>
                          <a:rPr lang="en-US" sz="900" i="0">
                            <a:latin typeface="Cambria Math" panose="02040503050406030204" pitchFamily="18" charset="0"/>
                            <a:ea typeface="Cambria Math" panose="02040503050406030204" pitchFamily="18" charset="0"/>
                          </a:rPr>
                          <m:t>days</m:t>
                        </m:r>
                      </m:num>
                      <m:den>
                        <m:r>
                          <m:rPr>
                            <m:sty m:val="p"/>
                          </m:rPr>
                          <a:rPr lang="en-US" sz="900" i="0">
                            <a:latin typeface="Cambria Math" panose="02040503050406030204" pitchFamily="18" charset="0"/>
                            <a:ea typeface="Cambria Math" panose="02040503050406030204" pitchFamily="18" charset="0"/>
                          </a:rPr>
                          <m:t>Loans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and</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Advance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Costumers</m:t>
                        </m:r>
                        <m:r>
                          <a:rPr lang="en-US" sz="900" i="0">
                            <a:latin typeface="Cambria Math" panose="02040503050406030204" pitchFamily="18" charset="0"/>
                            <a:ea typeface="Cambria Math" panose="02040503050406030204" pitchFamily="18" charset="0"/>
                          </a:rPr>
                          <m:t> + </m:t>
                        </m:r>
                        <m:r>
                          <m:rPr>
                            <m:sty m:val="p"/>
                          </m:rPr>
                          <a:rPr lang="en-US" sz="900" i="0">
                            <a:latin typeface="Cambria Math" panose="02040503050406030204" pitchFamily="18" charset="0"/>
                            <a:ea typeface="Cambria Math" panose="02040503050406030204" pitchFamily="18" charset="0"/>
                          </a:rPr>
                          <m:t>Loans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financial</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institutions</m:t>
                        </m:r>
                        <m:r>
                          <a:rPr lang="en-US" sz="900" i="0">
                            <a:latin typeface="Cambria Math" panose="02040503050406030204" pitchFamily="18" charset="0"/>
                            <a:ea typeface="Cambria Math" panose="02040503050406030204" pitchFamily="18" charset="0"/>
                          </a:rPr>
                          <m:t>  </m:t>
                        </m:r>
                      </m:den>
                    </m:f>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m:rPr>
                                <m:sty m:val="p"/>
                              </m:rPr>
                              <a:rPr lang="en-US" sz="900">
                                <a:latin typeface="Cambria Math" panose="02040503050406030204" pitchFamily="18" charset="0"/>
                                <a:ea typeface="Cambria Math" panose="02040503050406030204" pitchFamily="18" charset="0"/>
                              </a:rPr>
                              <m:t>Overdue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higher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than</m:t>
                            </m:r>
                            <m:r>
                              <a:rPr lang="en-US" sz="900">
                                <a:latin typeface="Cambria Math" panose="02040503050406030204" pitchFamily="18" charset="0"/>
                                <a:ea typeface="Cambria Math" panose="02040503050406030204" pitchFamily="18" charset="0"/>
                              </a:rPr>
                              <m:t> 90 </m:t>
                            </m:r>
                            <m:r>
                              <m:rPr>
                                <m:sty m:val="p"/>
                              </m:rPr>
                              <a:rPr lang="en-US" sz="900">
                                <a:latin typeface="Cambria Math" panose="02040503050406030204" pitchFamily="18" charset="0"/>
                                <a:ea typeface="Cambria Math" panose="02040503050406030204" pitchFamily="18" charset="0"/>
                              </a:rPr>
                              <m:t>days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e>
                          <m:e>
                            <m:r>
                              <m:rPr>
                                <m:sty m:val="p"/>
                              </m:rPr>
                              <a:rPr lang="en-US" sz="900">
                                <a:latin typeface="Cambria Math" panose="02040503050406030204" pitchFamily="18" charset="0"/>
                                <a:ea typeface="Cambria Math" panose="02040503050406030204" pitchFamily="18" charset="0"/>
                              </a:rPr>
                              <m:t>Overdue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higher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than</m:t>
                            </m:r>
                            <m:r>
                              <a:rPr lang="en-US" sz="900">
                                <a:latin typeface="Cambria Math" panose="02040503050406030204" pitchFamily="18" charset="0"/>
                                <a:ea typeface="Cambria Math" panose="02040503050406030204" pitchFamily="18" charset="0"/>
                              </a:rPr>
                              <m:t> 90 </m:t>
                            </m:r>
                            <m:r>
                              <m:rPr>
                                <m:sty m:val="p"/>
                              </m:rPr>
                              <a:rPr lang="en-US" sz="900">
                                <a:latin typeface="Cambria Math" panose="02040503050406030204" pitchFamily="18" charset="0"/>
                                <a:ea typeface="Cambria Math" panose="02040503050406030204" pitchFamily="18" charset="0"/>
                              </a:rPr>
                              <m:t>days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previous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Write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off</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change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qArr>
                      </m:num>
                      <m:den>
                        <m:r>
                          <m:rPr>
                            <m:sty m:val="p"/>
                          </m:rPr>
                          <a:rPr lang="en-US" sz="900" b="0" i="0">
                            <a:latin typeface="Cambria Math" panose="02040503050406030204" pitchFamily="18" charset="0"/>
                            <a:ea typeface="Cambria Math" panose="02040503050406030204" pitchFamily="18" charset="0"/>
                          </a:rPr>
                          <m:t>Total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loans</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and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advance</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to</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customers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previous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quarter</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Personal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a:rPr lang="en-US" sz="900" i="0">
                                <a:latin typeface="Cambria Math" panose="02040503050406030204" pitchFamily="18" charset="0"/>
                                <a:ea typeface="Cambria Math" panose="02040503050406030204" pitchFamily="18" charset="0"/>
                              </a:rPr>
                              <m:t> </m:t>
                            </m:r>
                          </m:e>
                          <m:e>
                            <m:r>
                              <m:rPr>
                                <m:sty m:val="p"/>
                              </m:rPr>
                              <a:rPr lang="en-US" sz="900" i="0">
                                <a:latin typeface="Cambria Math" panose="02040503050406030204" pitchFamily="18" charset="0"/>
                                <a:ea typeface="Cambria Math" panose="02040503050406030204" pitchFamily="18" charset="0"/>
                              </a:rPr>
                              <m:t>Person</m:t>
                            </m:r>
                            <m:r>
                              <m:rPr>
                                <m:sty m:val="p"/>
                              </m:rPr>
                              <a:rPr lang="en-US" sz="900" b="0" i="0">
                                <a:latin typeface="Cambria Math" panose="02040503050406030204" pitchFamily="18" charset="0"/>
                                <a:ea typeface="Cambria Math" panose="02040503050406030204" pitchFamily="18" charset="0"/>
                              </a:rPr>
                              <m:t>nel</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expense</m:t>
                            </m:r>
                          </m:e>
                        </m:eqArr>
                      </m:num>
                      <m:den>
                        <m:r>
                          <m:rPr>
                            <m:sty m:val="p"/>
                          </m:rPr>
                          <a:rPr lang="en-US" sz="900" b="0" i="0">
                            <a:latin typeface="Cambria Math" panose="02040503050406030204" pitchFamily="18" charset="0"/>
                            <a:ea typeface="Cambria Math" panose="02040503050406030204" pitchFamily="18" charset="0"/>
                          </a:rPr>
                          <m:t>Net</m:t>
                        </m:r>
                        <m:r>
                          <a:rPr lang="en-US" sz="900" b="0" i="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Interest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Income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Net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result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from</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services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and</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comissions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Other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revenue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Tax</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expense</m:t>
                        </m:r>
                      </m:den>
                    </m:f>
                    <m:r>
                      <a:rPr lang="en-US" sz="900" i="1">
                        <a:latin typeface="Cambria Math" panose="02040503050406030204" pitchFamily="18" charset="0"/>
                        <a:ea typeface="Cambria Math" panose="02040503050406030204" pitchFamily="18" charset="0"/>
                      </a:rPr>
                      <m:t> </m:t>
                    </m:r>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Return on average equity (ROE):</a:t>
              </a:r>
            </a:p>
            <a:p>
              <a:pPr algn="ctr"/>
              <a:endParaRPr lang="en-US" sz="800" b="1">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r>
                          <a:rPr lang="en-US" sz="900" i="0">
                            <a:latin typeface="Cambria Math" panose="02040503050406030204" pitchFamily="18" charset="0"/>
                            <a:ea typeface="Cambria Math" panose="02040503050406030204" pitchFamily="18" charset="0"/>
                          </a:rPr>
                          <m:t>(</m:t>
                        </m:r>
                        <m:r>
                          <m:rPr>
                            <m:sty m:val="p"/>
                          </m:rPr>
                          <a:rPr lang="en-US" sz="900" i="0">
                            <a:latin typeface="Cambria Math" panose="02040503050406030204" pitchFamily="18" charset="0"/>
                            <a:ea typeface="Cambria Math" panose="02040503050406030204" pitchFamily="18" charset="0"/>
                          </a:rPr>
                          <m:t>Profit</m:t>
                        </m:r>
                        <m:r>
                          <a:rPr lang="en-US" sz="900" i="0">
                            <a:latin typeface="Cambria Math" panose="02040503050406030204" pitchFamily="18" charset="0"/>
                            <a:ea typeface="Cambria Math" panose="02040503050406030204" pitchFamily="18" charset="0"/>
                          </a:rPr>
                          <m:t> / (</m:t>
                        </m:r>
                        <m:r>
                          <m:rPr>
                            <m:sty m:val="p"/>
                          </m:rPr>
                          <a:rPr lang="en-US" sz="900" i="0">
                            <a:latin typeface="Cambria Math" panose="02040503050406030204" pitchFamily="18" charset="0"/>
                            <a:ea typeface="Cambria Math" panose="02040503050406030204" pitchFamily="18" charset="0"/>
                          </a:rPr>
                          <m:t>loss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for</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quarter</m:t>
                        </m:r>
                        <m:r>
                          <a:rPr lang="en-US" sz="900" i="0">
                            <a:latin typeface="Cambria Math" panose="02040503050406030204" pitchFamily="18" charset="0"/>
                            <a:ea typeface="Cambria Math" panose="02040503050406030204" pitchFamily="18" charset="0"/>
                          </a:rPr>
                          <m:t>)× 4</m:t>
                        </m:r>
                      </m:num>
                      <m:den>
                        <m:r>
                          <m:rPr>
                            <m:sty m:val="p"/>
                          </m:rPr>
                          <a:rPr lang="en-US" sz="900" i="0">
                            <a:latin typeface="Cambria Math" panose="02040503050406030204" pitchFamily="18" charset="0"/>
                            <a:ea typeface="Cambria Math" panose="02040503050406030204" pitchFamily="18" charset="0"/>
                          </a:rPr>
                          <m:t>Average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of</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last</m:t>
                        </m:r>
                        <m:r>
                          <a:rPr lang="en-US" sz="900" i="0">
                            <a:latin typeface="Cambria Math" panose="02040503050406030204" pitchFamily="18" charset="0"/>
                            <a:ea typeface="Cambria Math" panose="02040503050406030204" pitchFamily="18" charset="0"/>
                          </a:rPr>
                          <m:t> 2 </m:t>
                        </m:r>
                        <m:r>
                          <m:rPr>
                            <m:sty m:val="p"/>
                          </m:rPr>
                          <a:rPr lang="en-US" sz="900" i="0">
                            <a:latin typeface="Cambria Math" panose="02040503050406030204" pitchFamily="18" charset="0"/>
                            <a:ea typeface="Cambria Math" panose="02040503050406030204" pitchFamily="18" charset="0"/>
                          </a:rPr>
                          <m:t>quarters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of</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total</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shareholder</m:t>
                        </m:r>
                        <m:r>
                          <a:rPr lang="en-US" sz="900" i="0">
                            <a:latin typeface="Cambria Math" panose="02040503050406030204" pitchFamily="18" charset="0"/>
                            <a:ea typeface="Cambria Math" panose="02040503050406030204" pitchFamily="18" charset="0"/>
                          </a:rPr>
                          <m:t>`</m:t>
                        </m:r>
                        <m:r>
                          <m:rPr>
                            <m:sty m:val="p"/>
                          </m:rPr>
                          <a:rPr lang="en-US" sz="900" i="0">
                            <a:latin typeface="Cambria Math" panose="02040503050406030204" pitchFamily="18" charset="0"/>
                            <a:ea typeface="Cambria Math" panose="02040503050406030204" pitchFamily="18" charset="0"/>
                          </a:rPr>
                          <m:t>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equity</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ea typeface="Cambria Math" panose="02040503050406030204" pitchFamily="18" charset="0"/>
                  <a:cs typeface="Calibri" panose="020F0502020204030204" pitchFamily="34" charset="0"/>
                </a:rPr>
                <a:t>SG&amp;A:</a:t>
              </a:r>
            </a:p>
            <a:p>
              <a:endParaRPr lang="en-US" sz="900" b="1" i="0">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en-US" sz="900" i="0">
                      <a:latin typeface="Cambria Math" panose="02040503050406030204" pitchFamily="18" charset="0"/>
                      <a:ea typeface="Cambria Math" panose="02040503050406030204" pitchFamily="18" charset="0"/>
                      <a:cs typeface="Sora" pitchFamily="2" charset="0"/>
                    </a:rPr>
                    <m:t>Administrative</m:t>
                  </m:r>
                  <m:r>
                    <a:rPr lang="en-US" sz="900" i="0">
                      <a:latin typeface="Cambria Math" panose="02040503050406030204" pitchFamily="18" charset="0"/>
                      <a:ea typeface="Cambria Math" panose="02040503050406030204" pitchFamily="18" charset="0"/>
                      <a:cs typeface="Sora" pitchFamily="2" charset="0"/>
                    </a:rPr>
                    <m:t> </m:t>
                  </m:r>
                </m:oMath>
              </a14:m>
              <a:r>
                <a:rPr lang="en-US" sz="900">
                  <a:latin typeface="Calibri" panose="020F0502020204030204" pitchFamily="34" charset="0"/>
                  <a:ea typeface="Cambria Math" panose="02040503050406030204" pitchFamily="18" charset="0"/>
                  <a:cs typeface="Calibri" panose="020F0502020204030204" pitchFamily="34" charset="0"/>
                </a:rPr>
                <a:t>Expenses + Personnel Expenses + Depreciation and Amortization</a:t>
              </a: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Stage 3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m:rPr>
                                <m:sty m:val="p"/>
                              </m:rPr>
                              <a:rPr lang="en-US" sz="900">
                                <a:latin typeface="Cambria Math" panose="02040503050406030204" pitchFamily="18" charset="0"/>
                                <a:ea typeface="Cambria Math" panose="02040503050406030204" pitchFamily="18" charset="0"/>
                              </a:rPr>
                              <m:t>Stage</m:t>
                            </m:r>
                            <m:r>
                              <a:rPr lang="en-US" sz="900">
                                <a:latin typeface="Cambria Math" panose="02040503050406030204" pitchFamily="18" charset="0"/>
                                <a:ea typeface="Cambria Math" panose="02040503050406030204" pitchFamily="18" charset="0"/>
                              </a:rPr>
                              <m:t> 3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Stage</m:t>
                            </m:r>
                            <m:r>
                              <a:rPr lang="en-US" sz="900">
                                <a:latin typeface="Cambria Math" panose="02040503050406030204" pitchFamily="18" charset="0"/>
                                <a:ea typeface="Cambria Math" panose="02040503050406030204" pitchFamily="18" charset="0"/>
                              </a:rPr>
                              <m:t> 3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previous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Write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off</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change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qArr>
                      </m:num>
                      <m:den>
                        <m:r>
                          <m:rPr>
                            <m:sty m:val="p"/>
                          </m:rPr>
                          <a:rPr lang="en-US" sz="900" b="0" i="0">
                            <a:latin typeface="Cambria Math" panose="02040503050406030204" pitchFamily="18" charset="0"/>
                            <a:ea typeface="Cambria Math" panose="02040503050406030204" pitchFamily="18" charset="0"/>
                          </a:rPr>
                          <m:t>Total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loans</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and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advance</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to</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customers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previous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quarter</m:t>
                        </m:r>
                      </m:den>
                    </m:f>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Tier I ratio:</a:t>
              </a:r>
            </a:p>
            <a:p>
              <a:endParaRPr lang="en-US" sz="800" b="1">
                <a:highlight>
                  <a:srgbClr val="FFFF00"/>
                </a:highlight>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en-US" sz="900" i="1">
                            <a:latin typeface="Cambria Math" panose="02040503050406030204" pitchFamily="18" charset="0"/>
                            <a:ea typeface="Cambria Math" panose="02040503050406030204" pitchFamily="18" charset="0"/>
                          </a:rPr>
                        </m:ctrlPr>
                      </m:fPr>
                      <m:num>
                        <m:r>
                          <m:rPr>
                            <m:sty m:val="p"/>
                          </m:rPr>
                          <a:rPr lang="en-US" sz="900" b="0" i="0">
                            <a:latin typeface="Cambria Math" panose="02040503050406030204" pitchFamily="18" charset="0"/>
                            <a:ea typeface="Cambria Math" panose="02040503050406030204" pitchFamily="18" charset="0"/>
                          </a:rPr>
                          <m:t>Tier</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I</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referential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equity</m:t>
                        </m:r>
                      </m:num>
                      <m:den>
                        <m:r>
                          <m:rPr>
                            <m:sty m:val="p"/>
                          </m:rPr>
                          <a:rPr lang="en-US" sz="900" b="0" i="0">
                            <a:latin typeface="Cambria Math" panose="02040503050406030204" pitchFamily="18" charset="0"/>
                            <a:ea typeface="Cambria Math" panose="02040503050406030204" pitchFamily="18" charset="0"/>
                          </a:rPr>
                          <m:t>Risk</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weighted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assets</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Total gross revenue:</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
                  </m:oMathParaPr>
                  <m:oMath xmlns:m="http://schemas.openxmlformats.org/officeDocument/2006/math">
                    <m:r>
                      <m:rPr>
                        <m:sty m:val="p"/>
                      </m:rPr>
                      <a:rPr lang="en-US" sz="900" i="0">
                        <a:latin typeface="Cambria Math" panose="02040503050406030204" pitchFamily="18" charset="0"/>
                        <a:ea typeface="Cambria Math" panose="02040503050406030204" pitchFamily="18" charset="0"/>
                        <a:cs typeface="Sora" pitchFamily="2" charset="0"/>
                      </a:rPr>
                      <m:t>Interest</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income</m:t>
                    </m:r>
                    <m:r>
                      <a:rPr lang="en-US" sz="900" i="0">
                        <a:latin typeface="Cambria Math" panose="02040503050406030204" pitchFamily="18" charset="0"/>
                        <a:ea typeface="Cambria Math" panose="02040503050406030204" pitchFamily="18" charset="0"/>
                        <a:cs typeface="Sora" pitchFamily="2" charset="0"/>
                      </a:rPr>
                      <m:t> +</m:t>
                    </m:r>
                    <m:d>
                      <m:dPr>
                        <m:ctrlPr>
                          <a:rPr lang="en-US" sz="900" b="0" i="1">
                            <a:latin typeface="Cambria Math" panose="02040503050406030204" pitchFamily="18" charset="0"/>
                            <a:ea typeface="Cambria Math" panose="02040503050406030204" pitchFamily="18" charset="0"/>
                            <a:cs typeface="Sora" pitchFamily="2" charset="0"/>
                          </a:rPr>
                        </m:ctrlPr>
                      </m:dPr>
                      <m:e>
                        <m:r>
                          <m:rPr>
                            <m:sty m:val="p"/>
                          </m:rPr>
                          <a:rPr lang="en-US" sz="900" b="0" i="0">
                            <a:latin typeface="Cambria Math" panose="02040503050406030204" pitchFamily="18" charset="0"/>
                            <a:ea typeface="Cambria Math" panose="02040503050406030204" pitchFamily="18" charset="0"/>
                            <a:cs typeface="Sora" pitchFamily="2" charset="0"/>
                          </a:rPr>
                          <m:t>Revenue</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from</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services</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and</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commissions</m:t>
                        </m:r>
                        <m:r>
                          <a:rPr lang="en-US" sz="900" b="0" i="0">
                            <a:latin typeface="Cambria Math" panose="02040503050406030204" pitchFamily="18" charset="0"/>
                            <a:ea typeface="Cambria Math" panose="02040503050406030204" pitchFamily="18" charset="0"/>
                            <a:cs typeface="Sora" pitchFamily="2" charset="0"/>
                          </a:rPr>
                          <m:t>−</m:t>
                        </m:r>
                        <m:r>
                          <m:rPr>
                            <m:sty m:val="p"/>
                          </m:rPr>
                          <a:rPr lang="en-US" sz="900" b="0" i="0">
                            <a:latin typeface="Cambria Math" panose="02040503050406030204" pitchFamily="18" charset="0"/>
                            <a:ea typeface="Cambria Math" panose="02040503050406030204" pitchFamily="18" charset="0"/>
                            <a:cs typeface="Sora" pitchFamily="2" charset="0"/>
                          </a:rPr>
                          <m:t>Cashback</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expenses</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Inter</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rewards</m:t>
                        </m:r>
                      </m:e>
                    </m:d>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Income</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from</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securities</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and</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derivatives</m:t>
                    </m:r>
                    <m:r>
                      <a:rPr lang="en-US" sz="900" i="0">
                        <a:latin typeface="Cambria Math" panose="02040503050406030204" pitchFamily="18" charset="0"/>
                        <a:ea typeface="Cambria Math" panose="02040503050406030204" pitchFamily="18" charset="0"/>
                        <a:cs typeface="Sora" pitchFamily="2" charset="0"/>
                      </a:rPr>
                      <m:t> + </m:t>
                    </m:r>
                    <m:r>
                      <m:rPr>
                        <m:sty m:val="p"/>
                      </m:rPr>
                      <a:rPr lang="en-US" sz="900" i="0">
                        <a:latin typeface="Cambria Math" panose="02040503050406030204" pitchFamily="18" charset="0"/>
                        <a:ea typeface="Cambria Math" panose="02040503050406030204" pitchFamily="18" charset="0"/>
                        <a:cs typeface="Sora" pitchFamily="2" charset="0"/>
                      </a:rPr>
                      <m:t>Other</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revenue</m:t>
                    </m:r>
                  </m:oMath>
                </m:oMathPara>
              </a14:m>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lvl="0">
                <a:defRPr/>
              </a:pPr>
              <a:r>
                <a:rPr lang="en-US" sz="900" b="1" dirty="0">
                  <a:solidFill>
                    <a:prstClr val="black"/>
                  </a:solidFill>
                  <a:latin typeface="Calibri" panose="020F0502020204030204" pitchFamily="34" charset="0"/>
                  <a:ea typeface="Cambria Math" panose="02040503050406030204" pitchFamily="18" charset="0"/>
                  <a:cs typeface="Calibri" panose="020F0502020204030204" pitchFamily="34" charset="0"/>
                </a:rPr>
                <a:t>Return on Average Tangible Equity (ROTE):</a:t>
              </a:r>
            </a:p>
            <a:p>
              <a:pPr lvl="0" algn="ctr">
                <a:defRPr/>
              </a:pPr>
              <a:endParaRPr lang="en-US" sz="900" b="1" dirty="0">
                <a:solidFill>
                  <a:prstClr val="black">
                    <a:lumMod val="85000"/>
                    <a:lumOff val="15000"/>
                  </a:prstClr>
                </a:solidFill>
                <a:latin typeface="Cambria Math" panose="02040503050406030204" pitchFamily="18" charset="0"/>
                <a:ea typeface="Cambria Math" panose="02040503050406030204" pitchFamily="18" charset="0"/>
                <a:cs typeface="Sora" pitchFamily="2" charset="0"/>
              </a:endParaRPr>
            </a:p>
            <a:p>
              <a:pPr lvl="0" algn="ctr">
                <a:defRPr/>
              </a:pPr>
              <a14:m>
                <m:oMathPara xmlns:m="http://schemas.openxmlformats.org/officeDocument/2006/math">
                  <m:oMathParaPr>
                    <m:jc m:val="centerGroup"/>
                  </m:oMathParaPr>
                  <m:oMath xmlns:m="http://schemas.openxmlformats.org/officeDocument/2006/math">
                    <m:f>
                      <m:fPr>
                        <m:ctrlPr>
                          <a:rPr lang="en-US" sz="900" i="1">
                            <a:solidFill>
                              <a:prstClr val="black"/>
                            </a:solidFill>
                            <a:latin typeface="Cambria Math" panose="02040503050406030204" pitchFamily="18" charset="0"/>
                            <a:ea typeface="Cambria Math" panose="02040503050406030204" pitchFamily="18" charset="0"/>
                          </a:rPr>
                        </m:ctrlPr>
                      </m:fPr>
                      <m:num>
                        <m:r>
                          <a:rPr lang="en-US" sz="900">
                            <a:solidFill>
                              <a:prstClr val="black"/>
                            </a:solidFill>
                            <a:latin typeface="Cambria Math" panose="02040503050406030204" pitchFamily="18" charset="0"/>
                            <a:ea typeface="Cambria Math" panose="02040503050406030204" pitchFamily="18" charset="0"/>
                          </a:rPr>
                          <m:t>(</m:t>
                        </m:r>
                        <m:r>
                          <m:rPr>
                            <m:sty m:val="p"/>
                          </m:rPr>
                          <a:rPr lang="en-US" sz="900">
                            <a:solidFill>
                              <a:prstClr val="black"/>
                            </a:solidFill>
                            <a:latin typeface="Cambria Math" panose="02040503050406030204" pitchFamily="18" charset="0"/>
                            <a:ea typeface="Cambria Math" panose="02040503050406030204" pitchFamily="18" charset="0"/>
                          </a:rPr>
                          <m:t>Profit</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loss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for</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the</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quarter</m:t>
                        </m:r>
                        <m:r>
                          <a:rPr lang="en-US" sz="900">
                            <a:solidFill>
                              <a:prstClr val="black"/>
                            </a:solidFill>
                            <a:latin typeface="Cambria Math" panose="02040503050406030204" pitchFamily="18" charset="0"/>
                            <a:ea typeface="Cambria Math" panose="02040503050406030204" pitchFamily="18" charset="0"/>
                          </a:rPr>
                          <m:t>)× 4</m:t>
                        </m:r>
                      </m:num>
                      <m:den>
                        <m:r>
                          <m:rPr>
                            <m:sty m:val="p"/>
                          </m:rPr>
                          <a:rPr lang="en-US" sz="900">
                            <a:solidFill>
                              <a:prstClr val="black"/>
                            </a:solidFill>
                            <a:latin typeface="Cambria Math" panose="02040503050406030204" pitchFamily="18" charset="0"/>
                            <a:ea typeface="Cambria Math" panose="02040503050406030204" pitchFamily="18" charset="0"/>
                          </a:rPr>
                          <m:t>Average</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of</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last</m:t>
                        </m:r>
                        <m:r>
                          <a:rPr lang="en-US" sz="900">
                            <a:solidFill>
                              <a:prstClr val="black"/>
                            </a:solidFill>
                            <a:latin typeface="Cambria Math" panose="02040503050406030204" pitchFamily="18" charset="0"/>
                            <a:ea typeface="Cambria Math" panose="02040503050406030204" pitchFamily="18" charset="0"/>
                          </a:rPr>
                          <m:t> 2 </m:t>
                        </m:r>
                        <m:r>
                          <m:rPr>
                            <m:sty m:val="p"/>
                          </m:rPr>
                          <a:rPr lang="en-US" sz="900">
                            <a:solidFill>
                              <a:prstClr val="black"/>
                            </a:solidFill>
                            <a:latin typeface="Cambria Math" panose="02040503050406030204" pitchFamily="18" charset="0"/>
                            <a:ea typeface="Cambria Math" panose="02040503050406030204" pitchFamily="18" charset="0"/>
                          </a:rPr>
                          <m:t>quarters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of</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total</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shareholder</m:t>
                        </m:r>
                        <m:r>
                          <a:rPr lang="en-US" sz="900">
                            <a:solidFill>
                              <a:prstClr val="black"/>
                            </a:solidFill>
                            <a:latin typeface="Cambria Math" panose="02040503050406030204" pitchFamily="18" charset="0"/>
                            <a:ea typeface="Cambria Math" panose="02040503050406030204" pitchFamily="18" charset="0"/>
                          </a:rPr>
                          <m:t>`</m:t>
                        </m:r>
                        <m:r>
                          <m:rPr>
                            <m:sty m:val="p"/>
                          </m:rPr>
                          <a:rPr lang="en-US" sz="900">
                            <a:solidFill>
                              <a:prstClr val="black"/>
                            </a:solidFill>
                            <a:latin typeface="Cambria Math" panose="02040503050406030204" pitchFamily="18" charset="0"/>
                            <a:ea typeface="Cambria Math" panose="02040503050406030204" pitchFamily="18" charset="0"/>
                          </a:rPr>
                          <m:t>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equity</m:t>
                        </m:r>
                        <m:r>
                          <a:rPr lang="pt-BR" sz="900" b="0" i="0" smtClean="0">
                            <a:solidFill>
                              <a:prstClr val="black"/>
                            </a:solidFill>
                            <a:latin typeface="Cambria Math" panose="02040503050406030204" pitchFamily="18" charset="0"/>
                            <a:ea typeface="Cambria Math" panose="02040503050406030204" pitchFamily="18" charset="0"/>
                          </a:rPr>
                          <m:t>−</m:t>
                        </m:r>
                        <m:r>
                          <m:rPr>
                            <m:sty m:val="p"/>
                          </m:rPr>
                          <a:rPr lang="pt-BR" sz="900" b="0" i="0" smtClean="0">
                            <a:solidFill>
                              <a:prstClr val="black"/>
                            </a:solidFill>
                            <a:latin typeface="Cambria Math" panose="02040503050406030204" pitchFamily="18" charset="0"/>
                            <a:ea typeface="Cambria Math" panose="02040503050406030204" pitchFamily="18" charset="0"/>
                          </a:rPr>
                          <m:t>intangible</m:t>
                        </m:r>
                        <m:r>
                          <a:rPr lang="pt-BR" sz="900" b="0" i="0" smtClean="0">
                            <a:solidFill>
                              <a:prstClr val="black"/>
                            </a:solidFill>
                            <a:latin typeface="Cambria Math" panose="02040503050406030204" pitchFamily="18" charset="0"/>
                            <a:ea typeface="Cambria Math" panose="02040503050406030204" pitchFamily="18" charset="0"/>
                          </a:rPr>
                          <m:t> </m:t>
                        </m:r>
                        <m:r>
                          <m:rPr>
                            <m:sty m:val="p"/>
                          </m:rPr>
                          <a:rPr lang="pt-BR" sz="900" b="0" i="0" smtClean="0">
                            <a:solidFill>
                              <a:prstClr val="black"/>
                            </a:solidFill>
                            <a:latin typeface="Cambria Math" panose="02040503050406030204" pitchFamily="18" charset="0"/>
                            <a:ea typeface="Cambria Math" panose="02040503050406030204" pitchFamily="18" charset="0"/>
                          </a:rPr>
                          <m:t>asse</m:t>
                        </m:r>
                        <m:r>
                          <a:rPr lang="pt-BR" sz="900" b="0" i="1" smtClean="0">
                            <a:solidFill>
                              <a:prstClr val="black"/>
                            </a:solidFill>
                            <a:latin typeface="Cambria Math" panose="02040503050406030204" pitchFamily="18" charset="0"/>
                            <a:ea typeface="Cambria Math" panose="02040503050406030204" pitchFamily="18" charset="0"/>
                          </a:rPr>
                          <m:t>𝑡𝑠</m:t>
                        </m:r>
                      </m:den>
                    </m:f>
                  </m:oMath>
                </m:oMathPara>
              </a14:m>
              <a:endParaRPr lang="en-US" sz="900">
                <a:solidFill>
                  <a:schemeClr val="tx1">
                    <a:lumMod val="85000"/>
                    <a:lumOff val="15000"/>
                  </a:schemeClr>
                </a:solidFill>
                <a:latin typeface="Cambria Math" panose="02040503050406030204" pitchFamily="18" charset="0"/>
                <a:ea typeface="Cambria Math" panose="02040503050406030204" pitchFamily="18" charset="0"/>
                <a:cs typeface="Calibri" panose="020F0502020204030204" pitchFamily="34" charset="0"/>
              </a:endParaRPr>
            </a:p>
            <a:p>
              <a:endParaRPr lang="en-US" sz="900" b="1">
                <a:latin typeface="Cambria Math" panose="02040503050406030204" pitchFamily="18" charset="0"/>
                <a:ea typeface="Cambria Math" panose="02040503050406030204" pitchFamily="18" charset="0"/>
                <a:cs typeface="Calibri" panose="020F0502020204030204" pitchFamily="34" charset="0"/>
              </a:endParaRPr>
            </a:p>
            <a:p>
              <a:endParaRPr lang="en-US"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36" name="Retângulo 9">
              <a:extLst>
                <a:ext uri="{FF2B5EF4-FFF2-40B4-BE49-F238E27FC236}">
                  <a16:creationId xmlns:a16="http://schemas.microsoft.com/office/drawing/2014/main" id="{00000000-0008-0000-1600-000024000000}"/>
                </a:ext>
              </a:extLst>
            </xdr:cNvPr>
            <xdr:cNvSpPr/>
          </xdr:nvSpPr>
          <xdr:spPr>
            <a:xfrm>
              <a:off x="245533" y="33663467"/>
              <a:ext cx="5659967" cy="712214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NPL &gt;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(Overdue higher than 90 days)/(Loans and Advance to Costumers + Loans to  financial institutions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█(Overdue balance higher than 90 days in the current quarter –@Overdue balance higher than 90 days inthe previous quarter +Write−off change in the current quarter)/(</a:t>
              </a:r>
              <a:r>
                <a:rPr lang="en-US" sz="900" b="0" i="0">
                  <a:latin typeface="Cambria Math" panose="02040503050406030204" pitchFamily="18" charset="0"/>
                  <a:ea typeface="Cambria Math" panose="02040503050406030204" pitchFamily="18" charset="0"/>
                </a:rPr>
                <a:t>Total loans and advance to customers </a:t>
              </a:r>
              <a:r>
                <a:rPr lang="en-US" sz="900" i="0">
                  <a:latin typeface="Cambria Math" panose="02040503050406030204" pitchFamily="18" charset="0"/>
                  <a:ea typeface="Cambria Math" panose="02040503050406030204" pitchFamily="18" charset="0"/>
                </a:rPr>
                <a:t>in the previous quarter)</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Personal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 @Person</a:t>
              </a:r>
              <a:r>
                <a:rPr lang="en-US" sz="900" b="0" i="0">
                  <a:latin typeface="Cambria Math" panose="02040503050406030204" pitchFamily="18" charset="0"/>
                  <a:ea typeface="Cambria Math" panose="02040503050406030204" pitchFamily="18" charset="0"/>
                </a:rPr>
                <a:t>nel </a:t>
              </a:r>
              <a:r>
                <a:rPr lang="en-US" sz="900" i="0">
                  <a:latin typeface="Cambria Math" panose="02040503050406030204" pitchFamily="18" charset="0"/>
                  <a:ea typeface="Cambria Math" panose="02040503050406030204" pitchFamily="18" charset="0"/>
                </a:rPr>
                <a:t>expense)/(</a:t>
              </a:r>
              <a:r>
                <a:rPr lang="en-US" sz="900" b="0" i="0">
                  <a:latin typeface="Cambria Math" panose="02040503050406030204" pitchFamily="18" charset="0"/>
                  <a:ea typeface="Cambria Math" panose="02040503050406030204" pitchFamily="18" charset="0"/>
                </a:rPr>
                <a:t>Net </a:t>
              </a:r>
              <a:r>
                <a:rPr lang="en-US" sz="900" i="0">
                  <a:latin typeface="Cambria Math" panose="02040503050406030204" pitchFamily="18" charset="0"/>
                  <a:ea typeface="Cambria Math" panose="02040503050406030204" pitchFamily="18" charset="0"/>
                </a:rPr>
                <a:t>Interest Income+Net result from services and comissions+ Other revenue−Tax expense)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Return on average equity (ROE):</a:t>
              </a:r>
            </a:p>
            <a:p>
              <a:pPr algn="ctr"/>
              <a:endParaRPr lang="en-US" sz="800" b="1">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((Profit / (loss) for the </a:t>
              </a:r>
              <a:r>
                <a:rPr lang="en-US" sz="900" b="0" i="0">
                  <a:latin typeface="Cambria Math" panose="02040503050406030204" pitchFamily="18" charset="0"/>
                  <a:ea typeface="Cambria Math" panose="02040503050406030204" pitchFamily="18" charset="0"/>
                </a:rPr>
                <a:t>quarter</a:t>
              </a:r>
              <a:r>
                <a:rPr lang="en-US" sz="900" i="0">
                  <a:latin typeface="Cambria Math" panose="02040503050406030204" pitchFamily="18" charset="0"/>
                  <a:ea typeface="Cambria Math" panose="02040503050406030204" pitchFamily="18" charset="0"/>
                </a:rPr>
                <a:t>)× 4)/(Average of last 2 quarters</a:t>
              </a:r>
              <a:r>
                <a:rPr lang="en-US" sz="900" b="0" i="0">
                  <a:latin typeface="Cambria Math" panose="02040503050406030204" pitchFamily="18" charset="0"/>
                  <a:ea typeface="Cambria Math" panose="02040503050406030204" pitchFamily="18" charset="0"/>
                </a:rPr>
                <a:t> </a:t>
              </a:r>
              <a:r>
                <a:rPr lang="en-US" sz="900" i="0">
                  <a:latin typeface="Cambria Math" panose="02040503050406030204" pitchFamily="18" charset="0"/>
                  <a:ea typeface="Cambria Math" panose="02040503050406030204" pitchFamily="18" charset="0"/>
                </a:rPr>
                <a:t>of total shareholder`s equity)</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ea typeface="Cambria Math" panose="02040503050406030204" pitchFamily="18" charset="0"/>
                  <a:cs typeface="Calibri" panose="020F0502020204030204" pitchFamily="34" charset="0"/>
                </a:rPr>
                <a:t>SG&amp;A:</a:t>
              </a:r>
            </a:p>
            <a:p>
              <a:endParaRPr lang="en-US" sz="900" b="1" i="0">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cs typeface="Sora" pitchFamily="2" charset="0"/>
                </a:rPr>
                <a:t>Administrative </a:t>
              </a:r>
              <a:r>
                <a:rPr lang="en-US" sz="900">
                  <a:latin typeface="Calibri" panose="020F0502020204030204" pitchFamily="34" charset="0"/>
                  <a:ea typeface="Cambria Math" panose="02040503050406030204" pitchFamily="18" charset="0"/>
                  <a:cs typeface="Calibri" panose="020F0502020204030204" pitchFamily="34" charset="0"/>
                </a:rPr>
                <a:t>Expenses + Personnel Expenses + Depreciation and Amortization</a:t>
              </a: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Stage 3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█(Stage 3 balance in the current quarter –Stage 3 balance in the previous quarter@+Write−off change in the current quarter)/(</a:t>
              </a:r>
              <a:r>
                <a:rPr lang="en-US" sz="900" b="0" i="0">
                  <a:latin typeface="Cambria Math" panose="02040503050406030204" pitchFamily="18" charset="0"/>
                  <a:ea typeface="Cambria Math" panose="02040503050406030204" pitchFamily="18" charset="0"/>
                </a:rPr>
                <a:t>Total loans and advance to customers </a:t>
              </a:r>
              <a:r>
                <a:rPr lang="en-US" sz="900" i="0">
                  <a:latin typeface="Cambria Math" panose="02040503050406030204" pitchFamily="18" charset="0"/>
                  <a:ea typeface="Cambria Math" panose="02040503050406030204" pitchFamily="18" charset="0"/>
                </a:rPr>
                <a:t>in the previous quarter)</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Tier I ratio:</a:t>
              </a:r>
            </a:p>
            <a:p>
              <a:endParaRPr lang="en-US" sz="800" b="1">
                <a:highlight>
                  <a:srgbClr val="FFFF00"/>
                </a:highlight>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a:t>
              </a:r>
              <a:r>
                <a:rPr lang="en-US" sz="900" b="0" i="0">
                  <a:latin typeface="Cambria Math" panose="02040503050406030204" pitchFamily="18" charset="0"/>
                  <a:ea typeface="Cambria Math" panose="02040503050406030204" pitchFamily="18" charset="0"/>
                </a:rPr>
                <a:t>Tier I referential equity)/(Risk weighted assets)</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Total gross revenue:</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cs typeface="Sora" pitchFamily="2" charset="0"/>
                </a:rPr>
                <a:t>Interest income +</a:t>
              </a:r>
              <a:r>
                <a:rPr lang="en-US" sz="900" b="0" i="0">
                  <a:latin typeface="Cambria Math" panose="02040503050406030204" pitchFamily="18" charset="0"/>
                  <a:ea typeface="Cambria Math" panose="02040503050406030204" pitchFamily="18" charset="0"/>
                  <a:cs typeface="Sora" pitchFamily="2" charset="0"/>
                </a:rPr>
                <a:t>(Revenue</a:t>
              </a:r>
              <a:r>
                <a:rPr lang="en-US" sz="900" i="0">
                  <a:latin typeface="Cambria Math" panose="02040503050406030204" pitchFamily="18" charset="0"/>
                  <a:ea typeface="Cambria Math" panose="02040503050406030204" pitchFamily="18" charset="0"/>
                  <a:cs typeface="Sora" pitchFamily="2" charset="0"/>
                </a:rPr>
                <a:t> from services and commissions</a:t>
              </a:r>
              <a:r>
                <a:rPr lang="en-US" sz="900" b="0" i="0">
                  <a:latin typeface="Cambria Math" panose="02040503050406030204" pitchFamily="18" charset="0"/>
                  <a:ea typeface="Cambria Math" panose="02040503050406030204" pitchFamily="18" charset="0"/>
                  <a:cs typeface="Sora" pitchFamily="2" charset="0"/>
                </a:rPr>
                <a:t>−Cashback expenses −Inter rewards)+ </a:t>
              </a:r>
              <a:r>
                <a:rPr lang="en-US" sz="900" i="0">
                  <a:latin typeface="Cambria Math" panose="02040503050406030204" pitchFamily="18" charset="0"/>
                  <a:ea typeface="Cambria Math" panose="02040503050406030204" pitchFamily="18" charset="0"/>
                  <a:cs typeface="Sora" pitchFamily="2" charset="0"/>
                </a:rPr>
                <a:t>Income from securities </a:t>
              </a:r>
              <a:r>
                <a:rPr lang="en-US" sz="900" b="0" i="0">
                  <a:latin typeface="Cambria Math" panose="02040503050406030204" pitchFamily="18" charset="0"/>
                  <a:ea typeface="Cambria Math" panose="02040503050406030204" pitchFamily="18" charset="0"/>
                  <a:cs typeface="Sora" pitchFamily="2" charset="0"/>
                </a:rPr>
                <a:t>and </a:t>
              </a:r>
              <a:r>
                <a:rPr lang="en-US" sz="900" i="0">
                  <a:latin typeface="Cambria Math" panose="02040503050406030204" pitchFamily="18" charset="0"/>
                  <a:ea typeface="Cambria Math" panose="02040503050406030204" pitchFamily="18" charset="0"/>
                  <a:cs typeface="Sora" pitchFamily="2" charset="0"/>
                </a:rPr>
                <a:t>derivatives + Other revenue</a:t>
              </a:r>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lvl="0">
                <a:defRPr/>
              </a:pPr>
              <a:r>
                <a:rPr lang="en-US" sz="900" b="1" dirty="0">
                  <a:solidFill>
                    <a:prstClr val="black"/>
                  </a:solidFill>
                  <a:latin typeface="Calibri" panose="020F0502020204030204" pitchFamily="34" charset="0"/>
                  <a:ea typeface="Cambria Math" panose="02040503050406030204" pitchFamily="18" charset="0"/>
                  <a:cs typeface="Calibri" panose="020F0502020204030204" pitchFamily="34" charset="0"/>
                </a:rPr>
                <a:t>Return on Average Tangible Equity (ROTE):</a:t>
              </a:r>
            </a:p>
            <a:p>
              <a:pPr lvl="0" algn="ctr">
                <a:defRPr/>
              </a:pPr>
              <a:endParaRPr lang="en-US" sz="900" b="1" dirty="0">
                <a:solidFill>
                  <a:prstClr val="black">
                    <a:lumMod val="85000"/>
                    <a:lumOff val="15000"/>
                  </a:prstClr>
                </a:solidFill>
                <a:latin typeface="Cambria Math" panose="02040503050406030204" pitchFamily="18" charset="0"/>
                <a:ea typeface="Cambria Math" panose="02040503050406030204" pitchFamily="18" charset="0"/>
                <a:cs typeface="Sora" pitchFamily="2" charset="0"/>
              </a:endParaRPr>
            </a:p>
            <a:p>
              <a:pPr lvl="0" algn="ctr">
                <a:defRPr/>
              </a:pPr>
              <a:r>
                <a:rPr lang="en-US" sz="900" i="0">
                  <a:solidFill>
                    <a:prstClr val="black"/>
                  </a:solidFill>
                  <a:latin typeface="Cambria Math" panose="02040503050406030204" pitchFamily="18" charset="0"/>
                  <a:ea typeface="Cambria Math" panose="02040503050406030204" pitchFamily="18" charset="0"/>
                </a:rPr>
                <a:t>((Profit  (loss) for the quarter)× 4)/(Average of last 2 quarters of total shareholder`s equity</a:t>
              </a:r>
              <a:r>
                <a:rPr lang="pt-BR" sz="900" b="0" i="0">
                  <a:solidFill>
                    <a:prstClr val="black"/>
                  </a:solidFill>
                  <a:latin typeface="Cambria Math" panose="02040503050406030204" pitchFamily="18" charset="0"/>
                  <a:ea typeface="Cambria Math" panose="02040503050406030204" pitchFamily="18" charset="0"/>
                </a:rPr>
                <a:t>−intangible asse𝑡𝑠</a:t>
              </a:r>
              <a:r>
                <a:rPr lang="en-US" sz="900" b="0" i="0">
                  <a:solidFill>
                    <a:prstClr val="black"/>
                  </a:solidFill>
                  <a:latin typeface="Cambria Math" panose="02040503050406030204" pitchFamily="18" charset="0"/>
                  <a:ea typeface="Cambria Math" panose="02040503050406030204" pitchFamily="18" charset="0"/>
                </a:rPr>
                <a:t>)</a:t>
              </a:r>
              <a:endParaRPr lang="en-US" sz="900">
                <a:solidFill>
                  <a:schemeClr val="tx1">
                    <a:lumMod val="85000"/>
                    <a:lumOff val="15000"/>
                  </a:schemeClr>
                </a:solidFill>
                <a:latin typeface="Cambria Math" panose="02040503050406030204" pitchFamily="18" charset="0"/>
                <a:ea typeface="Cambria Math" panose="02040503050406030204" pitchFamily="18" charset="0"/>
                <a:cs typeface="Calibri" panose="020F0502020204030204" pitchFamily="34" charset="0"/>
              </a:endParaRPr>
            </a:p>
            <a:p>
              <a:endParaRPr lang="en-US" sz="900" b="1">
                <a:latin typeface="Cambria Math" panose="02040503050406030204" pitchFamily="18" charset="0"/>
                <a:ea typeface="Cambria Math" panose="02040503050406030204" pitchFamily="18" charset="0"/>
                <a:cs typeface="Calibri" panose="020F0502020204030204" pitchFamily="34" charset="0"/>
              </a:endParaRPr>
            </a:p>
            <a:p>
              <a:endParaRPr lang="en-US"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8</xdr:col>
      <xdr:colOff>115454</xdr:colOff>
      <xdr:row>4</xdr:row>
      <xdr:rowOff>28863</xdr:rowOff>
    </xdr:from>
    <xdr:to>
      <xdr:col>15</xdr:col>
      <xdr:colOff>90481</xdr:colOff>
      <xdr:row>30</xdr:row>
      <xdr:rowOff>107765</xdr:rowOff>
    </xdr:to>
    <mc:AlternateContent xmlns:mc="http://schemas.openxmlformats.org/markup-compatibility/2006" xmlns:a14="http://schemas.microsoft.com/office/drawing/2010/main">
      <mc:Choice Requires="a14">
        <xdr:sp macro="" textlink="">
          <xdr:nvSpPr>
            <xdr:cNvPr id="45" name="Retângulo 9">
              <a:extLst>
                <a:ext uri="{FF2B5EF4-FFF2-40B4-BE49-F238E27FC236}">
                  <a16:creationId xmlns:a16="http://schemas.microsoft.com/office/drawing/2014/main" id="{00000000-0008-0000-1600-00002D000000}"/>
                </a:ext>
              </a:extLst>
            </xdr:cNvPr>
            <xdr:cNvSpPr/>
          </xdr:nvSpPr>
          <xdr:spPr>
            <a:xfrm>
              <a:off x="6741541" y="765095"/>
              <a:ext cx="5772853" cy="4864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solidFill>
                    <a:schemeClr val="tx1"/>
                  </a:solidFill>
                  <a:latin typeface="Calibri" panose="020F0502020204030204" pitchFamily="34" charset="0"/>
                  <a:cs typeface="Calibri" panose="020F0502020204030204" pitchFamily="34" charset="0"/>
                </a:rPr>
                <a:t>Clientes ativos:</a:t>
              </a:r>
            </a:p>
            <a:p>
              <a:pPr algn="just"/>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Nós definimos um cliente ativo como um cliente em qualquer data que foi a fonte de qualquer quantia de receita para nós nos últimos três meses e/ou um cliente que usou produtos nos últimos três meses. Para o Inter Seguros, calculamos o número de clientes ativos para a nossa vertical de corretagem de seguros como o número de beneficiários de apólices de seguro efetivas em uma determinada data. Para a Inter Invest, calculamos o número de clientes ativos como o número de contas individuais que investiram em nossa plataforma durante o período aplicável. </a:t>
              </a: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r>
                <a:rPr lang="en-US" sz="800" b="1">
                  <a:solidFill>
                    <a:schemeClr val="tx1"/>
                  </a:solidFill>
                  <a:latin typeface="Calibri" panose="020F0502020204030204" pitchFamily="34" charset="0"/>
                  <a:cs typeface="Calibri" panose="020F0502020204030204" pitchFamily="34" charset="0"/>
                </a:rPr>
                <a:t>Clientes ativos por colaborador:</a:t>
              </a:r>
            </a:p>
            <a:p>
              <a:endParaRPr lang="en-US" sz="800" b="1">
                <a:solidFill>
                  <a:schemeClr val="tx1"/>
                </a:solidFill>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cs typeface="Sora" pitchFamily="2" charset="0"/>
                          </a:rPr>
                        </m:ctrlPr>
                      </m:fPr>
                      <m:num>
                        <m:r>
                          <m:rPr>
                            <m:sty m:val="p"/>
                          </m:rPr>
                          <a:rPr lang="pt-BR" sz="800" b="0" i="0">
                            <a:solidFill>
                              <a:schemeClr val="tx1"/>
                            </a:solidFill>
                            <a:latin typeface="Cambria Math" panose="02040503050406030204" pitchFamily="18" charset="0"/>
                            <a:cs typeface="Sora" pitchFamily="2" charset="0"/>
                          </a:rPr>
                          <m:t>N</m:t>
                        </m:r>
                        <m:r>
                          <a:rPr lang="pt-BR" sz="800" i="0">
                            <a:solidFill>
                              <a:schemeClr val="tx1"/>
                            </a:solidFill>
                            <a:latin typeface="Cambria Math" panose="02040503050406030204" pitchFamily="18" charset="0"/>
                            <a:cs typeface="Sora" pitchFamily="2" charset="0"/>
                          </a:rPr>
                          <m:t>ú</m:t>
                        </m:r>
                        <m:r>
                          <m:rPr>
                            <m:sty m:val="p"/>
                          </m:rPr>
                          <a:rPr lang="pt-BR" sz="800" b="0" i="0">
                            <a:solidFill>
                              <a:schemeClr val="tx1"/>
                            </a:solidFill>
                            <a:latin typeface="Cambria Math" panose="02040503050406030204" pitchFamily="18" charset="0"/>
                            <a:cs typeface="Sora" pitchFamily="2" charset="0"/>
                          </a:rPr>
                          <m:t>mero</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de</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clientes</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ativos</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no</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trimestre</m:t>
                        </m:r>
                        <m:r>
                          <a:rPr lang="pt-BR" sz="800" b="0" i="0">
                            <a:solidFill>
                              <a:schemeClr val="tx1"/>
                            </a:solidFill>
                            <a:latin typeface="Cambria Math" panose="02040503050406030204" pitchFamily="18" charset="0"/>
                            <a:cs typeface="Sora" pitchFamily="2" charset="0"/>
                          </a:rPr>
                          <m:t> </m:t>
                        </m:r>
                      </m:num>
                      <m:den>
                        <m:r>
                          <m:rPr>
                            <m:sty m:val="p"/>
                          </m:rPr>
                          <a:rPr lang="pt-BR" sz="800">
                            <a:latin typeface="Cambria Math" panose="02040503050406030204" pitchFamily="18" charset="0"/>
                            <a:cs typeface="Sora" pitchFamily="2" charset="0"/>
                          </a:rPr>
                          <m:t>N</m:t>
                        </m:r>
                        <m:r>
                          <a:rPr lang="pt-BR" sz="800">
                            <a:latin typeface="Cambria Math" panose="02040503050406030204" pitchFamily="18" charset="0"/>
                            <a:cs typeface="Sora" pitchFamily="2" charset="0"/>
                          </a:rPr>
                          <m:t>ú</m:t>
                        </m:r>
                        <m:r>
                          <m:rPr>
                            <m:sty m:val="p"/>
                          </m:rPr>
                          <a:rPr lang="pt-BR" sz="800">
                            <a:latin typeface="Cambria Math" panose="02040503050406030204" pitchFamily="18" charset="0"/>
                            <a:cs typeface="Sora" pitchFamily="2" charset="0"/>
                          </a:rPr>
                          <m:t>mero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total</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colaboradores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no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trimestre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incluindo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estagi</m:t>
                        </m:r>
                        <m:r>
                          <a:rPr lang="pt-BR" sz="800">
                            <a:latin typeface="Cambria Math" panose="02040503050406030204" pitchFamily="18" charset="0"/>
                            <a:cs typeface="Sora" pitchFamily="2" charset="0"/>
                          </a:rPr>
                          <m:t>á</m:t>
                        </m:r>
                        <m:r>
                          <m:rPr>
                            <m:sty m:val="p"/>
                          </m:rPr>
                          <a:rPr lang="pt-BR" sz="800">
                            <a:latin typeface="Cambria Math" panose="02040503050406030204" pitchFamily="18" charset="0"/>
                            <a:cs typeface="Sora" pitchFamily="2" charset="0"/>
                          </a:rPr>
                          <m:t>rios</m:t>
                        </m:r>
                      </m:den>
                    </m:f>
                    <m:r>
                      <a:rPr lang="pt-BR" sz="800" b="0" i="0">
                        <a:solidFill>
                          <a:schemeClr val="tx1"/>
                        </a:solidFill>
                        <a:latin typeface="Cambria Math" panose="02040503050406030204" pitchFamily="18" charset="0"/>
                        <a:cs typeface="Sora" pitchFamily="2" charset="0"/>
                      </a:rPr>
                      <m:t> </m:t>
                    </m:r>
                  </m:oMath>
                </m:oMathPara>
              </a14:m>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Custo de aquisição de cliente (CAC):</a:t>
              </a:r>
            </a:p>
            <a:p>
              <a:pPr marL="0" marR="0" lvl="0" indent="0" algn="just" defTabSz="4572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O custo médio para adicionar um cliente à base, considerando as despesas operacionais para abertura de conta</a:t>
              </a:r>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 </a:t>
              </a: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como pessoal de integração, gravação e envio de cartões, e despesas de marketing digital com foco na captação de clientes dividido pelo número de contas abertas no trimestre.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Gross Take Rate: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pt-BR" sz="800" b="0" i="1" u="none" strike="noStrike" kern="1200" cap="none" spc="0" normalizeH="0" baseline="0">
                            <a:ln>
                              <a:noFill/>
                            </a:ln>
                            <a:solidFill>
                              <a:schemeClr val="tx1"/>
                            </a:solidFill>
                            <a:effectLst/>
                            <a:uLnTx/>
                            <a:uFillTx/>
                            <a:latin typeface="Cambria Math" panose="02040503050406030204" pitchFamily="18" charset="0"/>
                          </a:rPr>
                        </m:ctrlPr>
                      </m:fPr>
                      <m:num>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Receita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bruta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Inter</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Shop</m:t>
                        </m:r>
                      </m:num>
                      <m:den>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Volume</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transacionado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no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Marketplace</m:t>
                        </m:r>
                      </m:den>
                    </m:f>
                  </m:oMath>
                </m:oMathPara>
              </a14:m>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Net Take Rate:</a:t>
              </a:r>
            </a:p>
            <a:p>
              <a:pPr marL="0" marR="0" lvl="0" indent="0" algn="l" defTabSz="4572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pt-BR" sz="800" b="0" i="1" u="none" strike="noStrike" kern="1200" cap="none" spc="0" normalizeH="0" baseline="0">
                            <a:ln>
                              <a:noFill/>
                            </a:ln>
                            <a:solidFill>
                              <a:schemeClr val="tx1"/>
                            </a:solidFill>
                            <a:effectLst/>
                            <a:uLnTx/>
                            <a:uFillTx/>
                            <a:latin typeface="Cambria Math" panose="02040503050406030204" pitchFamily="18" charset="0"/>
                          </a:rPr>
                        </m:ctrlPr>
                      </m:fPr>
                      <m:num>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Receita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l</m:t>
                        </m:r>
                        <m:r>
                          <a:rPr kumimoji="0" lang="pt-BR" sz="800" b="0" i="0" u="none" strike="noStrike" kern="1200" cap="none" spc="0" normalizeH="0" baseline="0">
                            <a:ln>
                              <a:noFill/>
                            </a:ln>
                            <a:solidFill>
                              <a:schemeClr val="tx1"/>
                            </a:solidFill>
                            <a:effectLst/>
                            <a:uLnTx/>
                            <a:uFillTx/>
                            <a:latin typeface="Cambria Math" panose="02040503050406030204" pitchFamily="18" charset="0"/>
                          </a:rPr>
                          <m:t>í</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quida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Inter</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Shop</m:t>
                        </m:r>
                      </m:num>
                      <m:den>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Volume</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transacionado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no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Marketplace</m:t>
                        </m:r>
                      </m:den>
                    </m:f>
                  </m:oMath>
                </m:oMathPara>
              </a14:m>
              <a:endParaRPr kumimoji="0" lang="pt-BR" sz="800" b="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Choice>
      <mc:Fallback xmlns="">
        <xdr:sp macro="" textlink="">
          <xdr:nvSpPr>
            <xdr:cNvPr id="45" name="Retângulo 9">
              <a:extLst>
                <a:ext uri="{FF2B5EF4-FFF2-40B4-BE49-F238E27FC236}">
                  <a16:creationId xmlns:a16="http://schemas.microsoft.com/office/drawing/2014/main" id="{48BBF3E4-0244-D8A6-4858-29E2132863B8}"/>
                </a:ext>
              </a:extLst>
            </xdr:cNvPr>
            <xdr:cNvSpPr/>
          </xdr:nvSpPr>
          <xdr:spPr>
            <a:xfrm>
              <a:off x="6741541" y="765095"/>
              <a:ext cx="5772853" cy="4864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solidFill>
                    <a:schemeClr val="tx1"/>
                  </a:solidFill>
                  <a:latin typeface="Calibri" panose="020F0502020204030204" pitchFamily="34" charset="0"/>
                  <a:cs typeface="Calibri" panose="020F0502020204030204" pitchFamily="34" charset="0"/>
                </a:rPr>
                <a:t>Clientes ativos:</a:t>
              </a:r>
            </a:p>
            <a:p>
              <a:pPr algn="just"/>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Nós definimos um cliente ativo como um cliente em qualquer data que foi a fonte de qualquer quantia de receita para nós nos últimos três meses e/ou um cliente que usou produtos nos últimos três meses. Para o Inter Seguros, calculamos o número de clientes ativos para a nossa vertical de corretagem de seguros como o número de beneficiários de apólices de seguro efetivas em uma determinada data. Para a Inter Invest, calculamos o número de clientes ativos como o número de contas individuais que investiram em nossa plataforma durante o período aplicável. </a:t>
              </a: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r>
                <a:rPr lang="en-US" sz="800" b="1">
                  <a:solidFill>
                    <a:schemeClr val="tx1"/>
                  </a:solidFill>
                  <a:latin typeface="Calibri" panose="020F0502020204030204" pitchFamily="34" charset="0"/>
                  <a:cs typeface="Calibri" panose="020F0502020204030204" pitchFamily="34" charset="0"/>
                </a:rPr>
                <a:t>Clientes ativos por colaborador:</a:t>
              </a:r>
            </a:p>
            <a:p>
              <a:endParaRPr lang="en-US" sz="800" b="1">
                <a:solidFill>
                  <a:schemeClr val="tx1"/>
                </a:solidFill>
                <a:latin typeface="Calibri" panose="020F0502020204030204" pitchFamily="34" charset="0"/>
                <a:cs typeface="Calibri" panose="020F0502020204030204" pitchFamily="34" charset="0"/>
              </a:endParaRPr>
            </a:p>
            <a:p>
              <a:pPr/>
              <a:r>
                <a:rPr lang="en-US" sz="800" i="0">
                  <a:solidFill>
                    <a:schemeClr val="tx1"/>
                  </a:solidFill>
                  <a:latin typeface="Cambria Math" panose="02040503050406030204" pitchFamily="18" charset="0"/>
                  <a:cs typeface="Sora" pitchFamily="2" charset="0"/>
                </a:rPr>
                <a:t>(</a:t>
              </a:r>
              <a:r>
                <a:rPr lang="pt-BR" sz="800" b="0" i="0">
                  <a:solidFill>
                    <a:schemeClr val="tx1"/>
                  </a:solidFill>
                  <a:latin typeface="Cambria Math" panose="02040503050406030204" pitchFamily="18" charset="0"/>
                  <a:cs typeface="Sora" pitchFamily="2" charset="0"/>
                </a:rPr>
                <a:t>N</a:t>
              </a:r>
              <a:r>
                <a:rPr lang="pt-BR" sz="800" i="0">
                  <a:solidFill>
                    <a:schemeClr val="tx1"/>
                  </a:solidFill>
                  <a:latin typeface="Cambria Math" panose="02040503050406030204" pitchFamily="18" charset="0"/>
                  <a:cs typeface="Sora" pitchFamily="2" charset="0"/>
                </a:rPr>
                <a:t>ú</a:t>
              </a:r>
              <a:r>
                <a:rPr lang="pt-BR" sz="800" b="0" i="0">
                  <a:solidFill>
                    <a:schemeClr val="tx1"/>
                  </a:solidFill>
                  <a:latin typeface="Cambria Math" panose="02040503050406030204" pitchFamily="18" charset="0"/>
                  <a:cs typeface="Sora" pitchFamily="2" charset="0"/>
                </a:rPr>
                <a:t>mero de clientes ativos no trimestre </a:t>
              </a:r>
              <a:r>
                <a:rPr lang="en-US" sz="800" b="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Número total de colaboradores no trimestre, incluindo estagiários</a:t>
              </a:r>
              <a:r>
                <a:rPr lang="en-US" sz="800" i="0">
                  <a:solidFill>
                    <a:schemeClr val="tx1"/>
                  </a:solidFill>
                  <a:latin typeface="Cambria Math" panose="02040503050406030204" pitchFamily="18" charset="0"/>
                  <a:cs typeface="Sora" pitchFamily="2" charset="0"/>
                </a:rPr>
                <a:t>)</a:t>
              </a:r>
              <a:r>
                <a:rPr lang="pt-BR" sz="800" b="0" i="0">
                  <a:solidFill>
                    <a:schemeClr val="tx1"/>
                  </a:solidFill>
                  <a:latin typeface="Cambria Math" panose="02040503050406030204" pitchFamily="18" charset="0"/>
                  <a:cs typeface="Sora" pitchFamily="2" charset="0"/>
                </a:rPr>
                <a:t>  </a:t>
              </a: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Custo de aquisição de cliente (CAC):</a:t>
              </a:r>
            </a:p>
            <a:p>
              <a:pPr marL="0" marR="0" lvl="0" indent="0" algn="just" defTabSz="4572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O custo médio para adicionar um cliente à base, considerando as despesas operacionais para abertura de conta</a:t>
              </a:r>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 </a:t>
              </a: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como pessoal de integração, gravação e envio de cartões, e despesas de marketing digital com foco na captação de clientes dividido pelo número de contas abertas no trimestre.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Gross Take Rate: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pt-BR" sz="800" b="0" i="0" u="none" strike="noStrike" kern="1200" cap="none" spc="0" normalizeH="0" baseline="0">
                  <a:ln>
                    <a:noFill/>
                  </a:ln>
                  <a:solidFill>
                    <a:schemeClr val="tx1"/>
                  </a:solidFill>
                  <a:effectLst/>
                  <a:uLnTx/>
                  <a:uFillTx/>
                  <a:latin typeface="Cambria Math" panose="02040503050406030204" pitchFamily="18" charset="0"/>
                </a:rPr>
                <a:t>(Receita bruta Inter Shop)/(Volume transacionado no Marketplace)</a:t>
              </a: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Net Take Rate:</a:t>
              </a: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pt-BR" sz="800" b="0" i="0" u="none" strike="noStrike" kern="1200" cap="none" spc="0" normalizeH="0" baseline="0">
                  <a:ln>
                    <a:noFill/>
                  </a:ln>
                  <a:solidFill>
                    <a:schemeClr val="tx1"/>
                  </a:solidFill>
                  <a:effectLst/>
                  <a:uLnTx/>
                  <a:uFillTx/>
                  <a:latin typeface="Cambria Math" panose="02040503050406030204" pitchFamily="18" charset="0"/>
                </a:rPr>
                <a:t>(Receita líquida Inter Shop)/(Volume transacionado no Marketplace)</a:t>
              </a:r>
              <a:endParaRPr kumimoji="0" lang="pt-BR" sz="800" b="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135271</xdr:colOff>
      <xdr:row>27</xdr:row>
      <xdr:rowOff>173182</xdr:rowOff>
    </xdr:from>
    <xdr:to>
      <xdr:col>15</xdr:col>
      <xdr:colOff>111553</xdr:colOff>
      <xdr:row>47</xdr:row>
      <xdr:rowOff>78418</xdr:rowOff>
    </xdr:to>
    <mc:AlternateContent xmlns:mc="http://schemas.openxmlformats.org/markup-compatibility/2006" xmlns:a14="http://schemas.microsoft.com/office/drawing/2010/main">
      <mc:Choice Requires="a14">
        <xdr:sp macro="" textlink="">
          <xdr:nvSpPr>
            <xdr:cNvPr id="46" name="Retângulo 9">
              <a:extLst>
                <a:ext uri="{FF2B5EF4-FFF2-40B4-BE49-F238E27FC236}">
                  <a16:creationId xmlns:a16="http://schemas.microsoft.com/office/drawing/2014/main" id="{00000000-0008-0000-1600-00002E000000}"/>
                </a:ext>
              </a:extLst>
            </xdr:cNvPr>
            <xdr:cNvSpPr/>
          </xdr:nvSpPr>
          <xdr:spPr>
            <a:xfrm>
              <a:off x="6831635" y="5628409"/>
              <a:ext cx="5835600" cy="394614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Taxa de ativação:</a:t>
              </a:r>
            </a:p>
            <a:p>
              <a:pPr algn="just"/>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cs typeface="Sora" pitchFamily="2" charset="0"/>
                          </a:rPr>
                        </m:ctrlPr>
                      </m:fPr>
                      <m:num>
                        <m:r>
                          <m:rPr>
                            <m:sty m:val="p"/>
                          </m:rPr>
                          <a:rPr lang="pt-BR" sz="800" i="0">
                            <a:latin typeface="Cambria Math" panose="02040503050406030204" pitchFamily="18" charset="0"/>
                            <a:cs typeface="Sora" pitchFamily="2" charset="0"/>
                          </a:rPr>
                          <m:t>N</m:t>
                        </m:r>
                        <m:r>
                          <a:rPr lang="pt-BR" sz="800" i="0">
                            <a:latin typeface="Cambria Math" panose="02040503050406030204" pitchFamily="18" charset="0"/>
                            <a:cs typeface="Sora" pitchFamily="2" charset="0"/>
                          </a:rPr>
                          <m:t>ú</m:t>
                        </m:r>
                        <m:r>
                          <m:rPr>
                            <m:sty m:val="p"/>
                          </m:rPr>
                          <a:rPr lang="pt-BR" sz="800" b="0" i="0">
                            <a:latin typeface="Cambria Math" panose="02040503050406030204" pitchFamily="18" charset="0"/>
                            <a:cs typeface="Sora" pitchFamily="2" charset="0"/>
                          </a:rPr>
                          <m:t>mero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ativos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no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num>
                      <m:den>
                        <m:r>
                          <m:rPr>
                            <m:sty m:val="p"/>
                          </m:rPr>
                          <a:rPr lang="pt-BR" sz="800" i="0">
                            <a:solidFill>
                              <a:schemeClr val="tx1"/>
                            </a:solidFill>
                            <a:latin typeface="Cambria Math" panose="02040503050406030204" pitchFamily="18" charset="0"/>
                            <a:cs typeface="Sora" pitchFamily="2" charset="0"/>
                          </a:rPr>
                          <m:t>N</m:t>
                        </m:r>
                        <m:r>
                          <a:rPr lang="pt-BR" sz="800" i="0">
                            <a:latin typeface="Cambria Math" panose="02040503050406030204" pitchFamily="18" charset="0"/>
                            <a:cs typeface="Sora" pitchFamily="2" charset="0"/>
                          </a:rPr>
                          <m:t>ú</m:t>
                        </m:r>
                        <m:r>
                          <m:rPr>
                            <m:sty m:val="p"/>
                          </m:rPr>
                          <a:rPr lang="pt-BR" sz="800" b="0" i="0">
                            <a:latin typeface="Cambria Math" panose="02040503050406030204" pitchFamily="18" charset="0"/>
                            <a:cs typeface="Sora" pitchFamily="2" charset="0"/>
                          </a:rPr>
                          <m:t>mero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no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den>
                    </m:f>
                  </m:oMath>
                </m:oMathPara>
              </a14:m>
              <a:endParaRPr kumimoji="0" lang="en-US" sz="800" b="1"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lang="en-US" sz="800" b="1">
                  <a:solidFill>
                    <a:prstClr val="black"/>
                  </a:solidFill>
                  <a:latin typeface="Calibri" panose="020F0502020204030204" pitchFamily="34" charset="0"/>
                  <a:cs typeface="Calibri" panose="020F0502020204030204" pitchFamily="34" charset="0"/>
                </a:rPr>
                <a:t>T</a:t>
              </a: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PV de Cartões + PIX:</a:t>
              </a:r>
            </a:p>
            <a:p>
              <a:pPr algn="just"/>
              <a:r>
                <a:rPr lang="en-US" sz="800">
                  <a:latin typeface="Calibri" panose="020F0502020204030204" pitchFamily="34" charset="0"/>
                  <a:ea typeface="Inter Light BETA" panose="020B0402030000000004" pitchFamily="34" charset="0"/>
                  <a:cs typeface="Calibri" panose="020F0502020204030204" pitchFamily="34" charset="0"/>
                </a:rPr>
                <a:t>Volumes de transações PIX, débito e crédito e saques de um determinado período. O PIX é uma solução do Banco Central do Brasil para realizar pagamentos instantâneos entre bancos e instituições financeiras no Brasil.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lumMod val="85000"/>
                    <a:lumOff val="15000"/>
                  </a:prstClr>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TPV de Cartões + PIX por cliente ativo:</a:t>
              </a:r>
            </a:p>
            <a:p>
              <a:pPr algn="just"/>
              <a:r>
                <a:rPr lang="en-US" sz="800">
                  <a:latin typeface="Calibri" panose="020F0502020204030204" pitchFamily="34" charset="0"/>
                  <a:ea typeface="Inter Light BETA" panose="020B0402030000000004" pitchFamily="34" charset="0"/>
                  <a:cs typeface="Calibri" panose="020F0502020204030204" pitchFamily="34" charset="0"/>
                </a:rPr>
                <a:t>TPV de Cartões+PIX de um determinado período dividido pelo número de clientes ativos referente ao último dia do período.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prstClr val="black"/>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Volume transacionado no marketplace (GMV):</a:t>
              </a:r>
            </a:p>
            <a:p>
              <a:pPr algn="just"/>
              <a:r>
                <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rPr>
                <a:t>O valor total de todas as vendas feitas ou iniciadas por meio de nossa plataforma Inter Shop &amp; Commerce Plus, gerenciada pela Inter Shop &amp; Commerce Plus.</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Choice>
      <mc:Fallback xmlns="">
        <xdr:sp macro="" textlink="">
          <xdr:nvSpPr>
            <xdr:cNvPr id="46" name="Retângulo 9">
              <a:extLst>
                <a:ext uri="{FF2B5EF4-FFF2-40B4-BE49-F238E27FC236}">
                  <a16:creationId xmlns:a16="http://schemas.microsoft.com/office/drawing/2014/main" id="{33500F7D-DE20-3699-A953-DA8ABAFC9F69}"/>
                </a:ext>
              </a:extLst>
            </xdr:cNvPr>
            <xdr:cNvSpPr/>
          </xdr:nvSpPr>
          <xdr:spPr>
            <a:xfrm>
              <a:off x="6831635" y="5628409"/>
              <a:ext cx="5835600" cy="394614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Taxa de ativação:</a:t>
              </a:r>
            </a:p>
            <a:p>
              <a:pPr algn="just"/>
              <a:r>
                <a:rPr lang="en-US" sz="80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Nú</a:t>
              </a:r>
              <a:r>
                <a:rPr lang="pt-BR" sz="800" b="0" i="0">
                  <a:latin typeface="Cambria Math" panose="02040503050406030204" pitchFamily="18" charset="0"/>
                  <a:cs typeface="Sora" pitchFamily="2" charset="0"/>
                </a:rPr>
                <a:t>mero de clientes ativos no final do trimestre</a:t>
              </a:r>
              <a:r>
                <a:rPr lang="en-US" sz="800" b="0" i="0">
                  <a:solidFill>
                    <a:schemeClr val="tx1"/>
                  </a:solidFill>
                  <a:latin typeface="Cambria Math" panose="02040503050406030204" pitchFamily="18" charset="0"/>
                  <a:cs typeface="Sora" pitchFamily="2" charset="0"/>
                </a:rPr>
                <a:t>)/(</a:t>
              </a:r>
              <a:r>
                <a:rPr lang="pt-BR" sz="800" i="0">
                  <a:solidFill>
                    <a:schemeClr val="tx1"/>
                  </a:solidFill>
                  <a:latin typeface="Cambria Math" panose="02040503050406030204" pitchFamily="18" charset="0"/>
                  <a:cs typeface="Sora" pitchFamily="2" charset="0"/>
                </a:rPr>
                <a:t>N</a:t>
              </a:r>
              <a:r>
                <a:rPr lang="pt-BR" sz="800" i="0">
                  <a:latin typeface="Cambria Math" panose="02040503050406030204" pitchFamily="18" charset="0"/>
                  <a:cs typeface="Sora" pitchFamily="2" charset="0"/>
                </a:rPr>
                <a:t>ú</a:t>
              </a:r>
              <a:r>
                <a:rPr lang="pt-BR" sz="800" b="0" i="0">
                  <a:latin typeface="Cambria Math" panose="02040503050406030204" pitchFamily="18" charset="0"/>
                  <a:cs typeface="Sora" pitchFamily="2" charset="0"/>
                </a:rPr>
                <a:t>mero total de clientes no final do trimestre</a:t>
              </a:r>
              <a:r>
                <a:rPr lang="en-US" sz="800" b="0" i="0">
                  <a:solidFill>
                    <a:schemeClr val="tx1"/>
                  </a:solidFill>
                  <a:latin typeface="Cambria Math" panose="02040503050406030204" pitchFamily="18" charset="0"/>
                  <a:cs typeface="Sora" pitchFamily="2" charset="0"/>
                </a:rPr>
                <a:t>)</a:t>
              </a:r>
              <a:endParaRPr kumimoji="0" lang="en-US" sz="800" b="1"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lang="en-US" sz="800" b="1">
                  <a:solidFill>
                    <a:prstClr val="black"/>
                  </a:solidFill>
                  <a:latin typeface="Calibri" panose="020F0502020204030204" pitchFamily="34" charset="0"/>
                  <a:cs typeface="Calibri" panose="020F0502020204030204" pitchFamily="34" charset="0"/>
                </a:rPr>
                <a:t>T</a:t>
              </a: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PV de Cartões + PIX:</a:t>
              </a:r>
            </a:p>
            <a:p>
              <a:pPr algn="just"/>
              <a:r>
                <a:rPr lang="en-US" sz="800">
                  <a:latin typeface="Calibri" panose="020F0502020204030204" pitchFamily="34" charset="0"/>
                  <a:ea typeface="Inter Light BETA" panose="020B0402030000000004" pitchFamily="34" charset="0"/>
                  <a:cs typeface="Calibri" panose="020F0502020204030204" pitchFamily="34" charset="0"/>
                </a:rPr>
                <a:t>Volumes de transações PIX, débito e crédito e saques de um determinado período. O PIX é uma solução do Banco Central do Brasil para realizar pagamentos instantâneos entre bancos e instituições financeiras no Brasil.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lumMod val="85000"/>
                    <a:lumOff val="15000"/>
                  </a:prstClr>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TPV de Cartões + PIX por cliente ativo:</a:t>
              </a:r>
            </a:p>
            <a:p>
              <a:pPr algn="just"/>
              <a:r>
                <a:rPr lang="en-US" sz="800">
                  <a:latin typeface="Calibri" panose="020F0502020204030204" pitchFamily="34" charset="0"/>
                  <a:ea typeface="Inter Light BETA" panose="020B0402030000000004" pitchFamily="34" charset="0"/>
                  <a:cs typeface="Calibri" panose="020F0502020204030204" pitchFamily="34" charset="0"/>
                </a:rPr>
                <a:t>TPV de Cartões+PIX de um determinado período dividido pelo número de clientes ativos referente ao último dia do período.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prstClr val="black"/>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Volume transacionado no marketplace (GMV):</a:t>
              </a:r>
            </a:p>
            <a:p>
              <a:pPr algn="just"/>
              <a:r>
                <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rPr>
                <a:t>O valor total de todas as vendas feitas ou iniciadas por meio de nossa plataforma Inter Shop &amp; Commerce Plus, gerenciada pela Inter Shop &amp; Commerce Plus.</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86591</xdr:colOff>
      <xdr:row>52</xdr:row>
      <xdr:rowOff>57727</xdr:rowOff>
    </xdr:from>
    <xdr:to>
      <xdr:col>15</xdr:col>
      <xdr:colOff>61618</xdr:colOff>
      <xdr:row>80</xdr:row>
      <xdr:rowOff>144512</xdr:rowOff>
    </xdr:to>
    <mc:AlternateContent xmlns:mc="http://schemas.openxmlformats.org/markup-compatibility/2006" xmlns:a14="http://schemas.microsoft.com/office/drawing/2010/main">
      <mc:Choice Requires="a14">
        <xdr:sp macro="" textlink="">
          <xdr:nvSpPr>
            <xdr:cNvPr id="47" name="Retângulo 9">
              <a:extLst>
                <a:ext uri="{FF2B5EF4-FFF2-40B4-BE49-F238E27FC236}">
                  <a16:creationId xmlns:a16="http://schemas.microsoft.com/office/drawing/2014/main" id="{00000000-0008-0000-1600-00002F000000}"/>
                </a:ext>
              </a:extLst>
            </xdr:cNvPr>
            <xdr:cNvSpPr/>
          </xdr:nvSpPr>
          <xdr:spPr>
            <a:xfrm>
              <a:off x="6712678" y="9628741"/>
              <a:ext cx="5772853" cy="5240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800" b="1">
                  <a:latin typeface="Calibri" panose="020F0502020204030204" pitchFamily="34" charset="0"/>
                  <a:cs typeface="Calibri" panose="020F0502020204030204" pitchFamily="34" charset="0"/>
                </a:rPr>
                <a:t>Antecipação de recebíveis de cartão de crédito:</a:t>
              </a:r>
            </a:p>
            <a:p>
              <a:pPr algn="just"/>
              <a:r>
                <a:rPr lang="pt-BR" sz="800">
                  <a:latin typeface="Calibri" panose="020F0502020204030204" pitchFamily="34" charset="0"/>
                  <a:ea typeface="Inter" panose="020B0502030000000004" pitchFamily="34" charset="0"/>
                  <a:cs typeface="Calibri" panose="020F0502020204030204" pitchFamily="34" charset="0"/>
                </a:rPr>
                <a:t>Divulgados na nota 9.a das Demonstrações Financeiras, na linha "Empréstimos e adiantamentos a instituições financeiras”.</a:t>
              </a: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bruto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cs typeface="Sora" pitchFamily="2" charset="0"/>
                          </a:rPr>
                        </m:ctrlPr>
                      </m:fPr>
                      <m:num>
                        <m:eqArr>
                          <m:eqArrPr>
                            <m:ctrlPr>
                              <a:rPr lang="en-US" sz="800" i="1">
                                <a:latin typeface="Cambria Math" panose="02040503050406030204" pitchFamily="18" charset="0"/>
                                <a:cs typeface="Sora" pitchFamily="2" charset="0"/>
                              </a:rPr>
                            </m:ctrlPr>
                          </m:eqArrPr>
                          <m:e>
                            <m:r>
                              <m:rPr>
                                <m:sty m:val="p"/>
                              </m:rPr>
                              <a:rPr lang="en-US" sz="800">
                                <a:latin typeface="Cambria Math" panose="02040503050406030204" pitchFamily="18" charset="0"/>
                                <a:cs typeface="Sora" pitchFamily="2" charset="0"/>
                              </a:rPr>
                              <m:t>Receita</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juros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Receitas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servi</m:t>
                            </m:r>
                            <m:r>
                              <a:rPr lang="en-US" sz="800">
                                <a:latin typeface="Cambria Math" panose="02040503050406030204" pitchFamily="18" charset="0"/>
                                <a:cs typeface="Sora" pitchFamily="2" charset="0"/>
                              </a:rPr>
                              <m:t>ç</m:t>
                            </m:r>
                            <m:r>
                              <m:rPr>
                                <m:sty m:val="p"/>
                              </m:rPr>
                              <a:rPr lang="en-US" sz="800">
                                <a:latin typeface="Cambria Math" panose="02040503050406030204" pitchFamily="18" charset="0"/>
                                <a:cs typeface="Sora" pitchFamily="2" charset="0"/>
                              </a:rPr>
                              <m:t>os</m:t>
                            </m:r>
                            <m:r>
                              <a:rPr lang="pt-BR"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comiss</m:t>
                            </m:r>
                            <m:r>
                              <a:rPr lang="en-US" sz="800">
                                <a:latin typeface="Cambria Math" panose="02040503050406030204" pitchFamily="18" charset="0"/>
                                <a:cs typeface="Sora" pitchFamily="2" charset="0"/>
                              </a:rPr>
                              <m:t>õ</m:t>
                            </m:r>
                            <m:r>
                              <m:rPr>
                                <m:sty m:val="p"/>
                              </m:rPr>
                              <a:rPr lang="en-US" sz="800">
                                <a:latin typeface="Cambria Math" panose="02040503050406030204" pitchFamily="18" charset="0"/>
                                <a:cs typeface="Sora" pitchFamily="2" charset="0"/>
                              </a:rPr>
                              <m:t>es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Despesas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cashback</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InterRewards</m:t>
                            </m:r>
                            <m:r>
                              <m:rPr>
                                <m:nor/>
                              </m:rPr>
                              <a:rPr lang="pt-BR" sz="800">
                                <a:latin typeface="Calibri" panose="020F0502020204030204" pitchFamily="34" charset="0"/>
                                <a:cs typeface="Calibri" panose="020F0502020204030204" pitchFamily="34" charset="0"/>
                              </a:rPr>
                              <m:t>) </m:t>
                            </m:r>
                            <m:r>
                              <a:rPr lang="pt-BR" sz="800" i="1">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e>
                          <m:e>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cs typeface="Sora" pitchFamily="2" charset="0"/>
                              </a:rPr>
                              <m:t>+</m:t>
                            </m:r>
                            <m:r>
                              <m:rPr>
                                <m:sty m:val="p"/>
                              </m:rPr>
                              <a:rPr lang="en-US" sz="800">
                                <a:latin typeface="Cambria Math" panose="02040503050406030204" pitchFamily="18" charset="0"/>
                                <a:cs typeface="Sora" pitchFamily="2" charset="0"/>
                              </a:rPr>
                              <m:t>Outras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receitas</m:t>
                            </m:r>
                            <m:r>
                              <a:rPr lang="en-US" sz="800">
                                <a:latin typeface="Cambria Math" panose="02040503050406030204" pitchFamily="18" charset="0"/>
                                <a:cs typeface="Sora" pitchFamily="2" charset="0"/>
                              </a:rPr>
                              <m:t> ÷3</m:t>
                            </m:r>
                            <m:r>
                              <m:rPr>
                                <m:nor/>
                              </m:rPr>
                              <a:rPr lang="pt-BR" sz="800">
                                <a:latin typeface="Calibri" panose="020F0502020204030204" pitchFamily="34" charset="0"/>
                                <a:cs typeface="Calibri" panose="020F0502020204030204" pitchFamily="34" charset="0"/>
                              </a:rPr>
                              <m:t> </m:t>
                            </m:r>
                          </m:e>
                        </m:eqArr>
                      </m:num>
                      <m:den>
                        <m:r>
                          <m:rPr>
                            <m:sty m:val="p"/>
                          </m:rPr>
                          <a:rPr lang="pt-BR" sz="800" b="0" i="0">
                            <a:solidFill>
                              <a:schemeClr val="tx1"/>
                            </a:solidFill>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b="0" i="0">
                            <a:latin typeface="Cambria Math" panose="02040503050406030204" pitchFamily="18" charset="0"/>
                            <a:cs typeface="Sora" pitchFamily="2" charset="0"/>
                          </a:rPr>
                          <m:t>dia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ativos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dos</m:t>
                        </m:r>
                        <m:r>
                          <a:rPr lang="pt-BR" sz="800" b="0" i="0">
                            <a:latin typeface="Cambria Math" panose="02040503050406030204" pitchFamily="18" charset="0"/>
                            <a:cs typeface="Sora" pitchFamily="2" charset="0"/>
                          </a:rPr>
                          <m:t> ú</m:t>
                        </m:r>
                        <m:r>
                          <m:rPr>
                            <m:sty m:val="p"/>
                          </m:rPr>
                          <a:rPr lang="pt-BR" sz="800" b="0" i="0">
                            <a:latin typeface="Cambria Math" panose="02040503050406030204" pitchFamily="18" charset="0"/>
                            <a:cs typeface="Sora" pitchFamily="2" charset="0"/>
                          </a:rPr>
                          <m:t>ltimos</m:t>
                        </m:r>
                        <m:r>
                          <a:rPr lang="pt-BR" sz="800" b="0" i="0">
                            <a:latin typeface="Cambria Math" panose="02040503050406030204" pitchFamily="18" charset="0"/>
                            <a:cs typeface="Sora" pitchFamily="2" charset="0"/>
                          </a:rPr>
                          <m:t> 2 </m:t>
                        </m:r>
                        <m:r>
                          <m:rPr>
                            <m:sty m:val="p"/>
                          </m:rPr>
                          <a:rPr lang="pt-BR" sz="800" b="0" i="0">
                            <a:latin typeface="Cambria Math" panose="02040503050406030204" pitchFamily="18" charset="0"/>
                            <a:cs typeface="Sora" pitchFamily="2" charset="0"/>
                          </a:rPr>
                          <m:t>trimestres</m:t>
                        </m:r>
                      </m:den>
                    </m:f>
                  </m:oMath>
                </m:oMathPara>
              </a14:m>
              <a:endParaRPr lang="en-US" sz="800" b="1">
                <a:solidFill>
                  <a:schemeClr val="tx1"/>
                </a:solidFill>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líquido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14:m>
                <m:oMathPara xmlns:m="http://schemas.openxmlformats.org/officeDocument/2006/math">
                  <m:oMathParaPr>
                    <m:jc m:val="centerGroup"/>
                  </m:oMathParaPr>
                  <m:oMath xmlns:m="http://schemas.openxmlformats.org/officeDocument/2006/math">
                    <m:f>
                      <m:fPr>
                        <m:ctrlPr>
                          <a:rPr lang="en-US" sz="800" i="1">
                            <a:solidFill>
                              <a:schemeClr val="tx1"/>
                            </a:solidFill>
                            <a:latin typeface="Cambria Math" panose="02040503050406030204" pitchFamily="18" charset="0"/>
                            <a:cs typeface="Sora" pitchFamily="2" charset="0"/>
                          </a:rPr>
                        </m:ctrlPr>
                      </m:fPr>
                      <m:num>
                        <m:r>
                          <a:rPr lang="en-US" sz="800" i="0">
                            <a:latin typeface="Cambria Math" panose="02040503050406030204" pitchFamily="18" charset="0"/>
                            <a:cs typeface="Sora" pitchFamily="2" charset="0"/>
                          </a:rPr>
                          <m:t>(</m:t>
                        </m:r>
                        <m:r>
                          <m:rPr>
                            <m:sty m:val="p"/>
                          </m:rPr>
                          <a:rPr lang="en-US" sz="800">
                            <a:latin typeface="Cambria Math" panose="02040503050406030204" pitchFamily="18" charset="0"/>
                            <a:cs typeface="Sora" pitchFamily="2" charset="0"/>
                          </a:rPr>
                          <m:t>Receita</m:t>
                        </m:r>
                        <m:r>
                          <m:rPr>
                            <m:sty m:val="p"/>
                          </m:rPr>
                          <a:rPr lang="pt-BR" sz="800" b="0" i="0">
                            <a:latin typeface="Cambria Math" panose="02040503050406030204" pitchFamily="18" charset="0"/>
                            <a:cs typeface="Sora" pitchFamily="2" charset="0"/>
                          </a:rPr>
                          <m:t>s</m:t>
                        </m:r>
                        <m:r>
                          <a:rPr lang="pt-BR" sz="800" b="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despesas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de</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juros</m:t>
                        </m:r>
                        <m:r>
                          <a:rPr lang="en-US" sz="800" i="0">
                            <a:latin typeface="Cambria Math" panose="02040503050406030204" pitchFamily="18" charset="0"/>
                            <a:cs typeface="Sora" pitchFamily="2" charset="0"/>
                          </a:rPr>
                          <m:t>)÷3</m:t>
                        </m:r>
                      </m:num>
                      <m:den>
                        <m:r>
                          <m:rPr>
                            <m:sty m:val="p"/>
                          </m:rPr>
                          <a:rPr lang="pt-BR" sz="800" i="0">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ativos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ú</m:t>
                        </m:r>
                        <m:r>
                          <m:rPr>
                            <m:sty m:val="p"/>
                          </m:rPr>
                          <a:rPr lang="pt-BR" sz="800" i="0">
                            <a:latin typeface="Cambria Math" panose="02040503050406030204" pitchFamily="18" charset="0"/>
                            <a:cs typeface="Sora" pitchFamily="2" charset="0"/>
                          </a:rPr>
                          <m:t>ltimos</m:t>
                        </m:r>
                        <m:r>
                          <a:rPr lang="pt-BR" sz="800" i="0">
                            <a:latin typeface="Cambria Math" panose="02040503050406030204" pitchFamily="18" charset="0"/>
                            <a:cs typeface="Sora" pitchFamily="2" charset="0"/>
                          </a:rPr>
                          <m:t> 2 </m:t>
                        </m:r>
                        <m:r>
                          <m:rPr>
                            <m:sty m:val="p"/>
                          </m:rPr>
                          <a:rPr lang="pt-BR" sz="800" i="0">
                            <a:latin typeface="Cambria Math" panose="02040503050406030204" pitchFamily="18" charset="0"/>
                            <a:cs typeface="Sora" pitchFamily="2" charset="0"/>
                          </a:rPr>
                          <m:t>trimestres</m:t>
                        </m:r>
                      </m:den>
                    </m:f>
                  </m:oMath>
                </m:oMathPara>
              </a14:m>
              <a:endParaRPr lang="en-US" sz="800" b="1">
                <a:solidFill>
                  <a:schemeClr val="tx1"/>
                </a:solidFill>
                <a:latin typeface="Calibri" panose="020F0502020204030204" pitchFamily="34" charset="0"/>
                <a:cs typeface="Calibri" panose="020F0502020204030204" pitchFamily="34" charset="0"/>
              </a:endParaRPr>
            </a:p>
            <a:p>
              <a:pPr algn="ctr"/>
              <a:endParaRPr lang="en-US" sz="800">
                <a:solidFill>
                  <a:schemeClr val="tx1"/>
                </a:solidFill>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ARPAC líquido por safras trimestrais:</a:t>
              </a:r>
            </a:p>
            <a:p>
              <a:r>
                <a:rPr lang="en-US" sz="800">
                  <a:latin typeface="Calibri" panose="020F0502020204030204" pitchFamily="34" charset="0"/>
                  <a:ea typeface="Inter Light BETA" panose="020B0402030000000004" pitchFamily="34" charset="0"/>
                  <a:cs typeface="Calibri" panose="020F0502020204030204" pitchFamily="34" charset="0"/>
                </a:rPr>
                <a:t>Receita bruta total líquida de despesas de juros em uma determinada safra dividida pela media do número de clientes ativos no período atual e no anterior (1). Safra é definida como o período em que o cliente começou a relação com o Inter. </a:t>
              </a:r>
              <a:br>
                <a:rPr lang="en-US" sz="800">
                  <a:latin typeface="Calibri" panose="020F0502020204030204" pitchFamily="34" charset="0"/>
                  <a:ea typeface="Inter Light BETA" panose="020B0402030000000004" pitchFamily="34" charset="0"/>
                  <a:cs typeface="Calibri" panose="020F0502020204030204" pitchFamily="34" charset="0"/>
                </a:rPr>
              </a:br>
              <a:endParaRPr lang="en-US" sz="800">
                <a:latin typeface="Calibri" panose="020F0502020204030204" pitchFamily="34" charset="0"/>
                <a:ea typeface="Inter" panose="020B0502030000000004" pitchFamily="34" charset="0"/>
                <a:cs typeface="Calibri" panose="020F0502020204030204" pitchFamily="34" charset="0"/>
              </a:endParaRPr>
            </a:p>
            <a:p>
              <a:r>
                <a:rPr lang="en-US" sz="800" baseline="30000">
                  <a:latin typeface="Calibri" panose="020F0502020204030204" pitchFamily="34" charset="0"/>
                  <a:ea typeface="Inter" panose="020B0502030000000004" pitchFamily="34" charset="0"/>
                  <a:cs typeface="Calibri" panose="020F0502020204030204" pitchFamily="34" charset="0"/>
                </a:rPr>
                <a:t>1 – Média do número de clientes ativos no período atual e no anterior. Para o primeiro período, é utilizado o número total de clientes ativos no final do período. </a:t>
              </a:r>
            </a:p>
            <a:p>
              <a:endParaRPr lang="en-US" sz="800" baseline="300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Assets under custody (AuC):</a:t>
              </a:r>
            </a:p>
            <a:p>
              <a:pPr algn="just"/>
              <a:r>
                <a:rPr lang="en-US" sz="800">
                  <a:latin typeface="Calibri" panose="020F0502020204030204" pitchFamily="34" charset="0"/>
                  <a:ea typeface="Inter" panose="020B0502030000000004" pitchFamily="34" charset="0"/>
                  <a:cs typeface="Calibri" panose="020F0502020204030204" pitchFamily="34" charset="0"/>
                </a:rPr>
                <a:t>Calculamos o AUC em uma determinada data como o valor de mercado de todos os ativos de clientes de varejo investidos por meio de nossa plataforma de investimentos na mesma data. Acreditamos que o AUC, por refletir o volume total de ativos investidos em nossa plataforma de investimentos sem levar em conta nossa eficiência operacional, nos fornece informações úteis sobre a atratividade de nossa plataforma. Usamos essa métrica para monitorar o tamanho de nossa plataforma de investimentos.</a:t>
              </a:r>
            </a:p>
            <a:p>
              <a:pPr algn="just"/>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de crédito bruta:</a:t>
              </a:r>
            </a:p>
            <a:p>
              <a:pPr algn="ct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ParaPr>
                    <m:jc m:val="center"/>
                  </m:oMathParaPr>
                  <m:oMath xmlns:m="http://schemas.openxmlformats.org/officeDocument/2006/math">
                    <m:r>
                      <m:rPr>
                        <m:sty m:val="p"/>
                      </m:rPr>
                      <a:rPr lang="en-US" sz="800" b="0" i="0">
                        <a:latin typeface="Cambria Math" panose="02040503050406030204" pitchFamily="18" charset="0"/>
                        <a:cs typeface="Sora" pitchFamily="2" charset="0"/>
                      </a:rPr>
                      <m:t>Empr</m:t>
                    </m:r>
                    <m:r>
                      <a:rPr lang="en-US" sz="800" b="0" i="0">
                        <a:latin typeface="Cambria Math" panose="02040503050406030204" pitchFamily="18" charset="0"/>
                        <a:cs typeface="Sora" pitchFamily="2" charset="0"/>
                      </a:rPr>
                      <m:t>é</m:t>
                    </m:r>
                    <m:r>
                      <m:rPr>
                        <m:sty m:val="p"/>
                      </m:rPr>
                      <a:rPr lang="en-US" sz="800" b="0" i="0">
                        <a:latin typeface="Cambria Math" panose="02040503050406030204" pitchFamily="18" charset="0"/>
                        <a:cs typeface="Sora" pitchFamily="2" charset="0"/>
                      </a:rPr>
                      <m:t>stimos</m:t>
                    </m:r>
                    <m:r>
                      <a:rPr lang="en-US" sz="800" b="0" i="0">
                        <a:latin typeface="Cambria Math" panose="02040503050406030204" pitchFamily="18" charset="0"/>
                        <a:cs typeface="Sora" pitchFamily="2" charset="0"/>
                      </a:rPr>
                      <m:t> </m:t>
                    </m:r>
                    <m:r>
                      <m:rPr>
                        <m:sty m:val="p"/>
                      </m:rPr>
                      <a:rPr lang="en-US" sz="800" b="0" i="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adiantamentos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m:t>
                    </m:r>
                    <m:r>
                      <m:rPr>
                        <m:sty m:val="p"/>
                      </m:rPr>
                      <a:rPr lang="pt-BR" sz="800" b="0" i="0">
                        <a:latin typeface="Cambria Math" panose="02040503050406030204" pitchFamily="18" charset="0"/>
                        <a:cs typeface="Sora" pitchFamily="2" charset="0"/>
                      </a:rPr>
                      <m:t>Empr</m:t>
                    </m:r>
                    <m:r>
                      <a:rPr lang="pt-BR" sz="800" b="0" i="0">
                        <a:latin typeface="Cambria Math" panose="02040503050406030204" pitchFamily="18" charset="0"/>
                        <a:cs typeface="Sora" pitchFamily="2" charset="0"/>
                      </a:rPr>
                      <m:t>é</m:t>
                    </m:r>
                    <m:r>
                      <m:rPr>
                        <m:sty m:val="p"/>
                      </m:rPr>
                      <a:rPr lang="pt-BR" sz="800" b="0" i="0">
                        <a:latin typeface="Cambria Math" panose="02040503050406030204" pitchFamily="18" charset="0"/>
                        <a:cs typeface="Sora" pitchFamily="2" charset="0"/>
                      </a:rPr>
                      <m:t>stimos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institui</m:t>
                    </m:r>
                    <m:r>
                      <a:rPr lang="pt-BR" sz="800" b="0" i="0">
                        <a:latin typeface="Cambria Math" panose="02040503050406030204" pitchFamily="18" charset="0"/>
                        <a:cs typeface="Sora" pitchFamily="2" charset="0"/>
                      </a:rPr>
                      <m:t>çõ</m:t>
                    </m:r>
                    <m:r>
                      <m:rPr>
                        <m:sty m:val="p"/>
                      </m:rPr>
                      <a:rPr lang="pt-BR" sz="800" b="0" i="0">
                        <a:latin typeface="Cambria Math" panose="02040503050406030204" pitchFamily="18" charset="0"/>
                        <a:cs typeface="Sora" pitchFamily="2" charset="0"/>
                      </a:rPr>
                      <m: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financeiras</m:t>
                    </m:r>
                  </m:oMath>
                </m:oMathPara>
              </a14:m>
              <a:endParaRPr lang="pt-BR" sz="800">
                <a:latin typeface="Calibri" panose="020F0502020204030204" pitchFamily="34" charset="0"/>
                <a:cs typeface="Calibri" panose="020F0502020204030204" pitchFamily="34" charset="0"/>
              </a:endParaRPr>
            </a:p>
            <a:p>
              <a:pPr algn="ctr"/>
              <a:endParaRPr lang="pt-BR"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remunerada:</a:t>
              </a:r>
            </a:p>
            <a:p>
              <a:pPr algn="ct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r>
                      <m:rPr>
                        <m:sty m:val="p"/>
                      </m:rPr>
                      <a:rPr lang="en-US" sz="800" i="1">
                        <a:latin typeface="Cambria Math" panose="02040503050406030204" pitchFamily="18" charset="0"/>
                        <a:cs typeface="Sora" pitchFamily="2" charset="0"/>
                      </a:rPr>
                      <m:t>Empr</m:t>
                    </m:r>
                    <m:r>
                      <a:rPr lang="en-US" sz="800" i="1">
                        <a:latin typeface="Cambria Math" panose="02040503050406030204" pitchFamily="18" charset="0"/>
                        <a:cs typeface="Sora" pitchFamily="2" charset="0"/>
                      </a:rPr>
                      <m:t>é</m:t>
                    </m:r>
                    <m:r>
                      <m:rPr>
                        <m:sty m:val="p"/>
                      </m:rPr>
                      <a:rPr lang="en-US" sz="800" i="1">
                        <a:latin typeface="Cambria Math" panose="02040503050406030204" pitchFamily="18" charset="0"/>
                        <a:cs typeface="Sora" pitchFamily="2" charset="0"/>
                      </a:rPr>
                      <m:t>stimos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e</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adiantamentos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a</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institui</m:t>
                    </m:r>
                    <m:r>
                      <a:rPr lang="en-US" sz="800" i="1">
                        <a:latin typeface="Cambria Math" panose="02040503050406030204" pitchFamily="18" charset="0"/>
                        <a:cs typeface="Sora" pitchFamily="2" charset="0"/>
                      </a:rPr>
                      <m:t>çõ</m:t>
                    </m:r>
                    <m:r>
                      <m:rPr>
                        <m:sty m:val="p"/>
                      </m:rPr>
                      <a:rPr lang="en-US" sz="800" i="1">
                        <a:latin typeface="Cambria Math" panose="02040503050406030204" pitchFamily="18" charset="0"/>
                        <a:cs typeface="Sora" pitchFamily="2" charset="0"/>
                      </a:rPr>
                      <m:t>es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financeiras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T</m:t>
                    </m:r>
                    <m:r>
                      <a:rPr lang="en-US" sz="800" i="1">
                        <a:latin typeface="Cambria Math" panose="02040503050406030204" pitchFamily="18" charset="0"/>
                        <a:cs typeface="Sora" pitchFamily="2" charset="0"/>
                      </a:rPr>
                      <m:t>í</m:t>
                    </m:r>
                    <m:r>
                      <m:rPr>
                        <m:sty m:val="p"/>
                      </m:rPr>
                      <a:rPr lang="en-US" sz="800" i="1">
                        <a:latin typeface="Cambria Math" panose="02040503050406030204" pitchFamily="18" charset="0"/>
                        <a:cs typeface="Sora" pitchFamily="2" charset="0"/>
                      </a:rPr>
                      <m:t>tulos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e</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valores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mobili</m:t>
                    </m:r>
                    <m:r>
                      <a:rPr lang="en-US" sz="800" i="1">
                        <a:latin typeface="Cambria Math" panose="02040503050406030204" pitchFamily="18" charset="0"/>
                        <a:cs typeface="Sora" pitchFamily="2" charset="0"/>
                      </a:rPr>
                      <m:t>á</m:t>
                    </m:r>
                    <m:r>
                      <m:rPr>
                        <m:sty m:val="p"/>
                      </m:rPr>
                      <a:rPr lang="en-US" sz="800" i="1">
                        <a:latin typeface="Cambria Math" panose="02040503050406030204" pitchFamily="18" charset="0"/>
                        <a:cs typeface="Sora" pitchFamily="2" charset="0"/>
                      </a:rPr>
                      <m:t>rios</m:t>
                    </m:r>
                    <m:r>
                      <a:rPr lang="en-US" sz="800" i="1">
                        <a:latin typeface="Cambria Math" panose="02040503050406030204" pitchFamily="18" charset="0"/>
                        <a:cs typeface="Sora" pitchFamily="2" charset="0"/>
                      </a:rPr>
                      <m:t>+</m:t>
                    </m:r>
                    <m:r>
                      <m:rPr>
                        <m:sty m:val="p"/>
                      </m:rPr>
                      <a:rPr lang="en-US" sz="800" i="1">
                        <a:latin typeface="Cambria Math" panose="02040503050406030204" pitchFamily="18" charset="0"/>
                        <a:cs typeface="Sora" pitchFamily="2" charset="0"/>
                      </a:rPr>
                      <m:t>Empr</m:t>
                    </m:r>
                    <m:r>
                      <a:rPr lang="en-US" sz="800" i="1">
                        <a:latin typeface="Cambria Math" panose="02040503050406030204" pitchFamily="18" charset="0"/>
                        <a:cs typeface="Sora" pitchFamily="2" charset="0"/>
                      </a:rPr>
                      <m:t>é</m:t>
                    </m:r>
                    <m:r>
                      <m:rPr>
                        <m:sty m:val="p"/>
                      </m:rPr>
                      <a:rPr lang="en-US" sz="800" i="1">
                        <a:latin typeface="Cambria Math" panose="02040503050406030204" pitchFamily="18" charset="0"/>
                        <a:cs typeface="Sora" pitchFamily="2" charset="0"/>
                      </a:rPr>
                      <m:t>stimos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e</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adiantamentos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a</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clientes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l</m:t>
                    </m:r>
                    <m:r>
                      <a:rPr lang="en-US" sz="800" i="1">
                        <a:latin typeface="Cambria Math" panose="02040503050406030204" pitchFamily="18" charset="0"/>
                        <a:cs typeface="Sora" pitchFamily="2" charset="0"/>
                      </a:rPr>
                      <m:t>í</m:t>
                    </m:r>
                    <m:r>
                      <m:rPr>
                        <m:sty m:val="p"/>
                      </m:rPr>
                      <a:rPr lang="en-US" sz="800" i="1">
                        <a:latin typeface="Cambria Math" panose="02040503050406030204" pitchFamily="18" charset="0"/>
                        <a:cs typeface="Sora" pitchFamily="2" charset="0"/>
                      </a:rPr>
                      <m:t>quidos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de</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provis</m:t>
                    </m:r>
                    <m:r>
                      <a:rPr lang="en-US" sz="800" i="1">
                        <a:latin typeface="Cambria Math" panose="02040503050406030204" pitchFamily="18" charset="0"/>
                        <a:cs typeface="Sora" pitchFamily="2" charset="0"/>
                      </a:rPr>
                      <m:t>ã</m:t>
                    </m:r>
                    <m:r>
                      <m:rPr>
                        <m:sty m:val="p"/>
                      </m:rPr>
                      <a:rPr lang="en-US" sz="800" i="1">
                        <a:latin typeface="Cambria Math" panose="02040503050406030204" pitchFamily="18" charset="0"/>
                        <a:cs typeface="Sora" pitchFamily="2" charset="0"/>
                      </a:rPr>
                      <m:t>o</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para</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perdas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esperadas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Instrumentos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financeiros</m:t>
                    </m:r>
                    <m:r>
                      <a:rPr lang="en-US" sz="800" i="1">
                        <a:latin typeface="Cambria Math" panose="02040503050406030204" pitchFamily="18" charset="0"/>
                        <a:cs typeface="Sora" pitchFamily="2" charset="0"/>
                      </a:rPr>
                      <m:t> </m:t>
                    </m:r>
                    <m:r>
                      <m:rPr>
                        <m:sty m:val="p"/>
                      </m:rPr>
                      <a:rPr lang="en-US" sz="800" i="1">
                        <a:latin typeface="Cambria Math" panose="02040503050406030204" pitchFamily="18" charset="0"/>
                        <a:cs typeface="Sora" pitchFamily="2" charset="0"/>
                      </a:rPr>
                      <m:t>derivativos</m:t>
                    </m:r>
                  </m:oMath>
                </m:oMathPara>
              </a14:m>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500">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47" name="Retângulo 9">
              <a:extLst>
                <a:ext uri="{FF2B5EF4-FFF2-40B4-BE49-F238E27FC236}">
                  <a16:creationId xmlns:a16="http://schemas.microsoft.com/office/drawing/2014/main" id="{7B6548DB-49D2-8B13-2D86-C9DAEC78AA0E}"/>
                </a:ext>
              </a:extLst>
            </xdr:cNvPr>
            <xdr:cNvSpPr/>
          </xdr:nvSpPr>
          <xdr:spPr>
            <a:xfrm>
              <a:off x="6712678" y="9628741"/>
              <a:ext cx="5772853" cy="5240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800" b="1">
                  <a:latin typeface="Calibri" panose="020F0502020204030204" pitchFamily="34" charset="0"/>
                  <a:cs typeface="Calibri" panose="020F0502020204030204" pitchFamily="34" charset="0"/>
                </a:rPr>
                <a:t>Antecipação de recebíveis de cartão de crédito:</a:t>
              </a:r>
            </a:p>
            <a:p>
              <a:pPr algn="just"/>
              <a:r>
                <a:rPr lang="pt-BR" sz="800">
                  <a:latin typeface="Calibri" panose="020F0502020204030204" pitchFamily="34" charset="0"/>
                  <a:ea typeface="Inter" panose="020B0502030000000004" pitchFamily="34" charset="0"/>
                  <a:cs typeface="Calibri" panose="020F0502020204030204" pitchFamily="34" charset="0"/>
                </a:rPr>
                <a:t>Divulgados na nota 9.a das Demonstrações Financeiras, na linha "Empréstimos e adiantamentos a instituições financeiras”.</a:t>
              </a: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bruto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r>
                <a:rPr lang="en-US" sz="800" i="0">
                  <a:latin typeface="Cambria Math" panose="02040503050406030204" pitchFamily="18" charset="0"/>
                  <a:cs typeface="Sora" pitchFamily="2" charset="0"/>
                </a:rPr>
                <a:t>█(Receita de juros +(Receitas de serviços</a:t>
              </a:r>
              <a:r>
                <a:rPr lang="pt-BR" sz="80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e comissões− Despesas de cashback</a:t>
              </a:r>
              <a:r>
                <a:rPr lang="pt-BR" sz="800" i="0">
                  <a:latin typeface="Cambria Math" panose="02040503050406030204" pitchFamily="18" charset="0"/>
                  <a:cs typeface="Sora" pitchFamily="2" charset="0"/>
                </a:rPr>
                <a:t> −InterRewards"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 mobiliários</a:t>
              </a:r>
              <a:r>
                <a:rPr lang="pt-BR" sz="800" i="0">
                  <a:latin typeface="Cambria Math" panose="02040503050406030204" pitchFamily="18" charset="0"/>
                  <a:cs typeface="Sora" pitchFamily="2" charset="0"/>
                </a:rPr>
                <a:t> e derivativos+</a:t>
              </a:r>
              <a:r>
                <a:rPr lang="en-US" sz="800" i="0">
                  <a:latin typeface="Cambria Math" panose="02040503050406030204" pitchFamily="18" charset="0"/>
                  <a:cs typeface="Sora" pitchFamily="2" charset="0"/>
                </a:rPr>
                <a:t>Outras receitas ÷3</a:t>
              </a:r>
              <a:r>
                <a:rPr lang="pt-BR" sz="800" i="0">
                  <a:latin typeface="Cambria Math" panose="02040503050406030204" pitchFamily="18" charset="0"/>
                  <a:cs typeface="Sora" pitchFamily="2" charset="0"/>
                </a:rPr>
                <a:t>"</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solidFill>
                    <a:schemeClr val="tx1"/>
                  </a:solidFill>
                  <a:latin typeface="Cambria Math" panose="02040503050406030204" pitchFamily="18" charset="0"/>
                  <a:cs typeface="Calibri" panose="020F0502020204030204" pitchFamily="34" charset="0"/>
                </a:rPr>
                <a:t>/(</a:t>
              </a:r>
              <a:r>
                <a:rPr lang="pt-BR" sz="800" b="0" i="0">
                  <a:solidFill>
                    <a:schemeClr val="tx1"/>
                  </a:solidFill>
                  <a:latin typeface="Cambria Math" panose="02040503050406030204" pitchFamily="18" charset="0"/>
                  <a:cs typeface="Sora" pitchFamily="2" charset="0"/>
                </a:rPr>
                <a:t>M</a:t>
              </a:r>
              <a:r>
                <a:rPr lang="pt-BR" sz="800" i="0">
                  <a:latin typeface="Cambria Math" panose="02040503050406030204" pitchFamily="18" charset="0"/>
                  <a:cs typeface="Sora" pitchFamily="2" charset="0"/>
                </a:rPr>
                <a:t>é</a:t>
              </a:r>
              <a:r>
                <a:rPr lang="pt-BR" sz="800" b="0" i="0">
                  <a:latin typeface="Cambria Math" panose="02040503050406030204" pitchFamily="18" charset="0"/>
                  <a:cs typeface="Sora" pitchFamily="2" charset="0"/>
                </a:rPr>
                <a:t>dia de clientes ativos dos últimos 2 trimestres</a:t>
              </a:r>
              <a:r>
                <a:rPr lang="en-US" sz="800" b="0" i="0">
                  <a:solidFill>
                    <a:schemeClr val="tx1"/>
                  </a:solidFill>
                  <a:latin typeface="Cambria Math" panose="02040503050406030204" pitchFamily="18" charset="0"/>
                  <a:cs typeface="Sora" pitchFamily="2" charset="0"/>
                </a:rPr>
                <a:t>)</a:t>
              </a:r>
              <a:endParaRPr lang="en-US" sz="800" b="1">
                <a:solidFill>
                  <a:schemeClr val="tx1"/>
                </a:solidFill>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líquido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r>
                <a:rPr lang="en-US" sz="800" i="0">
                  <a:solidFill>
                    <a:schemeClr val="tx1"/>
                  </a:solidFill>
                  <a:latin typeface="Cambria Math" panose="02040503050406030204" pitchFamily="18" charset="0"/>
                  <a:cs typeface="Sora" pitchFamily="2" charset="0"/>
                </a:rPr>
                <a:t>(</a:t>
              </a:r>
              <a:r>
                <a:rPr lang="en-US" sz="800" i="0">
                  <a:latin typeface="Cambria Math" panose="02040503050406030204" pitchFamily="18" charset="0"/>
                  <a:cs typeface="Sora" pitchFamily="2" charset="0"/>
                </a:rPr>
                <a:t>(Receita</a:t>
              </a:r>
              <a:r>
                <a:rPr lang="pt-BR" sz="800" b="0" i="0">
                  <a:latin typeface="Cambria Math" panose="02040503050406030204" pitchFamily="18" charset="0"/>
                  <a:cs typeface="Sora" pitchFamily="2" charset="0"/>
                </a:rPr>
                <a:t>s −</a:t>
              </a:r>
              <a:r>
                <a:rPr lang="en-US" sz="800" i="0">
                  <a:latin typeface="Cambria Math" panose="02040503050406030204" pitchFamily="18" charset="0"/>
                  <a:cs typeface="Sora" pitchFamily="2" charset="0"/>
                </a:rPr>
                <a:t>despesas de juros)÷3</a:t>
              </a:r>
              <a:r>
                <a:rPr lang="en-US" sz="80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clientes ativos dos últimos 2 trimestres</a:t>
              </a:r>
              <a:r>
                <a:rPr lang="en-US" sz="800" i="0">
                  <a:solidFill>
                    <a:schemeClr val="tx1"/>
                  </a:solidFill>
                  <a:latin typeface="Cambria Math" panose="02040503050406030204" pitchFamily="18" charset="0"/>
                  <a:cs typeface="Sora" pitchFamily="2" charset="0"/>
                </a:rPr>
                <a:t>)</a:t>
              </a:r>
              <a:endParaRPr lang="en-US" sz="800" b="1">
                <a:solidFill>
                  <a:schemeClr val="tx1"/>
                </a:solidFill>
                <a:latin typeface="Calibri" panose="020F0502020204030204" pitchFamily="34" charset="0"/>
                <a:cs typeface="Calibri" panose="020F0502020204030204" pitchFamily="34" charset="0"/>
              </a:endParaRPr>
            </a:p>
            <a:p>
              <a:pPr algn="ctr"/>
              <a:endParaRPr lang="en-US" sz="800">
                <a:solidFill>
                  <a:schemeClr val="tx1"/>
                </a:solidFill>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ARPAC líquido por safras trimestrais:</a:t>
              </a:r>
            </a:p>
            <a:p>
              <a:r>
                <a:rPr lang="en-US" sz="800">
                  <a:latin typeface="Calibri" panose="020F0502020204030204" pitchFamily="34" charset="0"/>
                  <a:ea typeface="Inter Light BETA" panose="020B0402030000000004" pitchFamily="34" charset="0"/>
                  <a:cs typeface="Calibri" panose="020F0502020204030204" pitchFamily="34" charset="0"/>
                </a:rPr>
                <a:t>Receita bruta total líquida de despesas de juros em uma determinada safra dividida pela media do número de clientes ativos no período atual e no anterior (1). Safra é definida como o período em que o cliente começou a relação com o Inter. </a:t>
              </a:r>
              <a:br>
                <a:rPr lang="en-US" sz="800">
                  <a:latin typeface="Calibri" panose="020F0502020204030204" pitchFamily="34" charset="0"/>
                  <a:ea typeface="Inter Light BETA" panose="020B0402030000000004" pitchFamily="34" charset="0"/>
                  <a:cs typeface="Calibri" panose="020F0502020204030204" pitchFamily="34" charset="0"/>
                </a:rPr>
              </a:br>
              <a:endParaRPr lang="en-US" sz="800">
                <a:latin typeface="Calibri" panose="020F0502020204030204" pitchFamily="34" charset="0"/>
                <a:ea typeface="Inter" panose="020B0502030000000004" pitchFamily="34" charset="0"/>
                <a:cs typeface="Calibri" panose="020F0502020204030204" pitchFamily="34" charset="0"/>
              </a:endParaRPr>
            </a:p>
            <a:p>
              <a:r>
                <a:rPr lang="en-US" sz="800" baseline="30000">
                  <a:latin typeface="Calibri" panose="020F0502020204030204" pitchFamily="34" charset="0"/>
                  <a:ea typeface="Inter" panose="020B0502030000000004" pitchFamily="34" charset="0"/>
                  <a:cs typeface="Calibri" panose="020F0502020204030204" pitchFamily="34" charset="0"/>
                </a:rPr>
                <a:t>1 – Média do número de clientes ativos no período atual e no anterior. Para o primeiro período, é utilizado o número total de clientes ativos no final do período. </a:t>
              </a:r>
            </a:p>
            <a:p>
              <a:endParaRPr lang="en-US" sz="800" baseline="300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Assets under custody (AuC):</a:t>
              </a:r>
            </a:p>
            <a:p>
              <a:pPr algn="just"/>
              <a:r>
                <a:rPr lang="en-US" sz="800">
                  <a:latin typeface="Calibri" panose="020F0502020204030204" pitchFamily="34" charset="0"/>
                  <a:ea typeface="Inter" panose="020B0502030000000004" pitchFamily="34" charset="0"/>
                  <a:cs typeface="Calibri" panose="020F0502020204030204" pitchFamily="34" charset="0"/>
                </a:rPr>
                <a:t>Calculamos o AUC em uma determinada data como o valor de mercado de todos os ativos de clientes de varejo investidos por meio de nossa plataforma de investimentos na mesma data. Acreditamos que o AUC, por refletir o volume total de ativos investidos em nossa plataforma de investimentos sem levar em conta nossa eficiência operacional, nos fornece informações úteis sobre a atratividade de nossa plataforma. Usamos essa métrica para monitorar o tamanho de nossa plataforma de investimentos.</a:t>
              </a:r>
            </a:p>
            <a:p>
              <a:pPr algn="just"/>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de crédito bruta:</a:t>
              </a:r>
            </a:p>
            <a:p>
              <a:pPr algn="ctr"/>
              <a:endParaRPr lang="en-US" sz="800" b="1">
                <a:latin typeface="Calibri" panose="020F0502020204030204" pitchFamily="34" charset="0"/>
                <a:cs typeface="Calibri" panose="020F0502020204030204" pitchFamily="34" charset="0"/>
              </a:endParaRPr>
            </a:p>
            <a:p>
              <a:pPr algn="ctr"/>
              <a:r>
                <a:rPr lang="en-US" sz="800" b="0" i="0">
                  <a:latin typeface="Cambria Math" panose="02040503050406030204" pitchFamily="18" charset="0"/>
                  <a:cs typeface="Sora" pitchFamily="2" charset="0"/>
                </a:rPr>
                <a:t>Empréstimos e</a:t>
              </a:r>
              <a:r>
                <a:rPr lang="pt-BR" sz="800" b="0" i="0">
                  <a:latin typeface="Cambria Math" panose="02040503050406030204" pitchFamily="18" charset="0"/>
                  <a:cs typeface="Sora" pitchFamily="2" charset="0"/>
                </a:rPr>
                <a:t> adiantamentos a clientes+Empréstimos a instituições financeiras</a:t>
              </a:r>
              <a:endParaRPr lang="pt-BR" sz="800">
                <a:latin typeface="Calibri" panose="020F0502020204030204" pitchFamily="34" charset="0"/>
                <a:cs typeface="Calibri" panose="020F0502020204030204" pitchFamily="34" charset="0"/>
              </a:endParaRPr>
            </a:p>
            <a:p>
              <a:pPr algn="ctr"/>
              <a:endParaRPr lang="pt-BR"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remunerada:</a:t>
              </a:r>
            </a:p>
            <a:p>
              <a:pPr algn="ctr"/>
              <a:endParaRPr lang="en-US" sz="800" b="1">
                <a:latin typeface="Calibri" panose="020F0502020204030204" pitchFamily="34" charset="0"/>
                <a:cs typeface="Calibri" panose="020F0502020204030204" pitchFamily="34" charset="0"/>
              </a:endParaRPr>
            </a:p>
            <a:p>
              <a:pPr algn="ctr"/>
              <a:r>
                <a:rPr lang="en-US" sz="800" i="0">
                  <a:latin typeface="Cambria Math" panose="02040503050406030204" pitchFamily="18" charset="0"/>
                  <a:cs typeface="Sora" pitchFamily="2" charset="0"/>
                </a:rPr>
                <a:t>Empréstimos e adiantamentos a instituições financeiras +Títulos e valores mobiliários+Empréstimos e adiantamentos a clientes, líquidos de provisão para perdas esperadas +Instrumentos financeiros derivativos</a:t>
              </a:r>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500">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8</xdr:col>
      <xdr:colOff>135271</xdr:colOff>
      <xdr:row>81</xdr:row>
      <xdr:rowOff>144319</xdr:rowOff>
    </xdr:from>
    <xdr:to>
      <xdr:col>15</xdr:col>
      <xdr:colOff>111553</xdr:colOff>
      <xdr:row>114</xdr:row>
      <xdr:rowOff>176629</xdr:rowOff>
    </xdr:to>
    <mc:AlternateContent xmlns:mc="http://schemas.openxmlformats.org/markup-compatibility/2006" xmlns:a14="http://schemas.microsoft.com/office/drawing/2010/main">
      <mc:Choice Requires="a14">
        <xdr:sp macro="" textlink="">
          <xdr:nvSpPr>
            <xdr:cNvPr id="48" name="Retângulo 9">
              <a:extLst>
                <a:ext uri="{FF2B5EF4-FFF2-40B4-BE49-F238E27FC236}">
                  <a16:creationId xmlns:a16="http://schemas.microsoft.com/office/drawing/2014/main" id="{00000000-0008-0000-1600-000030000000}"/>
                </a:ext>
              </a:extLst>
            </xdr:cNvPr>
            <xdr:cNvSpPr/>
          </xdr:nvSpPr>
          <xdr:spPr>
            <a:xfrm>
              <a:off x="6761358" y="15053015"/>
              <a:ext cx="5774108" cy="610622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i="1">
                            <a:latin typeface="Cambria Math" panose="02040503050406030204" pitchFamily="18" charset="0"/>
                            <a:cs typeface="Sora" pitchFamily="2" charset="0"/>
                          </a:rPr>
                          <m:t>M</m:t>
                        </m:r>
                        <m:r>
                          <a:rPr lang="pt-BR" sz="800" i="1">
                            <a:latin typeface="Cambria Math" panose="02040503050406030204" pitchFamily="18" charset="0"/>
                            <a:cs typeface="Sora" pitchFamily="2" charset="0"/>
                          </a:rPr>
                          <m:t>é</m:t>
                        </m:r>
                        <m:r>
                          <m:rPr>
                            <m:sty m:val="p"/>
                          </m:rPr>
                          <a:rPr lang="pt-BR" sz="800" i="1">
                            <a:latin typeface="Cambria Math" panose="02040503050406030204" pitchFamily="18" charset="0"/>
                            <a:cs typeface="Sora" pitchFamily="2" charset="0"/>
                          </a:rPr>
                          <m:t>dia</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empr</m:t>
                        </m:r>
                        <m:r>
                          <a:rPr lang="pt-BR" sz="800" i="1">
                            <a:latin typeface="Cambria Math" panose="02040503050406030204" pitchFamily="18" charset="0"/>
                            <a:cs typeface="Sora" pitchFamily="2" charset="0"/>
                          </a:rPr>
                          <m:t>é</m:t>
                        </m:r>
                        <m:r>
                          <m:rPr>
                            <m:sty m:val="p"/>
                          </m:rPr>
                          <a:rPr lang="pt-BR" sz="800" i="1">
                            <a:latin typeface="Cambria Math" panose="02040503050406030204" pitchFamily="18" charset="0"/>
                            <a:cs typeface="Sora" pitchFamily="2" charset="0"/>
                          </a:rPr>
                          <m:t>stimos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adiantamento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clientes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dos</m:t>
                        </m:r>
                        <m:r>
                          <a:rPr lang="pt-BR" sz="800" i="1">
                            <a:latin typeface="Cambria Math" panose="02040503050406030204" pitchFamily="18" charset="0"/>
                            <a:cs typeface="Sora" pitchFamily="2" charset="0"/>
                          </a:rPr>
                          <m:t> ú</m:t>
                        </m:r>
                        <m:r>
                          <m:rPr>
                            <m:sty m:val="p"/>
                          </m:rPr>
                          <a:rPr lang="pt-BR" sz="800" i="1">
                            <a:latin typeface="Cambria Math" panose="02040503050406030204" pitchFamily="18" charset="0"/>
                            <a:cs typeface="Sora" pitchFamily="2" charset="0"/>
                          </a:rPr>
                          <m:t>ltimos</m:t>
                        </m:r>
                        <m:r>
                          <a:rPr lang="pt-BR" sz="800" i="1">
                            <a:latin typeface="Cambria Math" panose="02040503050406030204" pitchFamily="18" charset="0"/>
                            <a:cs typeface="Sora" pitchFamily="2" charset="0"/>
                          </a:rPr>
                          <m:t> 2 </m:t>
                        </m:r>
                        <m:r>
                          <m:rPr>
                            <m:sty m:val="p"/>
                          </m:rPr>
                          <a:rPr lang="pt-BR" sz="800" i="1">
                            <a:latin typeface="Cambria Math" panose="02040503050406030204" pitchFamily="18" charset="0"/>
                            <a:cs typeface="Sora" pitchFamily="2" charset="0"/>
                          </a:rPr>
                          <m:t>trimestres</m:t>
                        </m:r>
                        <m:r>
                          <a:rPr lang="pt-BR" sz="800" i="1">
                            <a:latin typeface="Cambria Math" panose="02040503050406030204" pitchFamily="18" charset="0"/>
                            <a:cs typeface="Sora" pitchFamily="2" charset="0"/>
                          </a:rPr>
                          <m:t> </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antecipação de recebíveis de cartão de crédito:</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empr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stimos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adiantamento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excluindoantecipa</m:t>
                        </m:r>
                        <m:r>
                          <a:rPr lang="pt-BR" sz="800">
                            <a:latin typeface="Cambria Math" panose="02040503050406030204" pitchFamily="18" charset="0"/>
                            <a:cs typeface="Sora" pitchFamily="2" charset="0"/>
                          </a:rPr>
                          <m:t>çã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receb</m:t>
                        </m:r>
                        <m:r>
                          <a:rPr lang="pt-BR" sz="800">
                            <a:latin typeface="Cambria Math" panose="02040503050406030204" pitchFamily="18" charset="0"/>
                            <a:cs typeface="Sora" pitchFamily="2" charset="0"/>
                          </a:rPr>
                          <m:t>í</m:t>
                        </m:r>
                        <m:r>
                          <m:rPr>
                            <m:sty m:val="p"/>
                          </m:rPr>
                          <a:rPr lang="pt-BR" sz="800">
                            <a:latin typeface="Cambria Math" panose="02040503050406030204" pitchFamily="18" charset="0"/>
                            <a:cs typeface="Sora" pitchFamily="2" charset="0"/>
                          </a:rPr>
                          <m:t>veis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cart</m:t>
                        </m:r>
                        <m:r>
                          <a:rPr lang="pt-BR" sz="800">
                            <a:latin typeface="Cambria Math" panose="02040503050406030204" pitchFamily="18" charset="0"/>
                            <a:cs typeface="Sora" pitchFamily="2" charset="0"/>
                          </a:rPr>
                          <m:t>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dito</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cartão de crédito:</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empr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stimos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adiantamento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excluindo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cart</m:t>
                        </m:r>
                        <m:r>
                          <a:rPr lang="pt-BR" sz="800">
                            <a:latin typeface="Cambria Math" panose="02040503050406030204" pitchFamily="18" charset="0"/>
                            <a:cs typeface="Sora" pitchFamily="2" charset="0"/>
                          </a:rPr>
                          <m:t>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dito</m:t>
                        </m:r>
                      </m:den>
                    </m:f>
                    <m:r>
                      <a:rPr lang="pt-BR" sz="800" i="1">
                        <a:latin typeface="Cambria Math" panose="02040503050406030204" pitchFamily="18" charset="0"/>
                        <a:cs typeface="Sora" pitchFamily="2"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funding:</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en-US" sz="800" i="1">
                            <a:latin typeface="Cambria Math" panose="02040503050406030204" pitchFamily="18" charset="0"/>
                            <a:cs typeface="Sora" pitchFamily="2" charset="0"/>
                          </a:rPr>
                        </m:ctrlPr>
                      </m:fPr>
                      <m:num>
                        <m:r>
                          <m:rPr>
                            <m:sty m:val="p"/>
                          </m:rPr>
                          <a:rPr lang="pt-BR" sz="800" b="0" i="0">
                            <a:latin typeface="Cambria Math" panose="02040503050406030204" pitchFamily="18" charset="0"/>
                            <a:cs typeface="Sora" pitchFamily="2" charset="0"/>
                          </a:rPr>
                          <m:t>Despesas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juros</m:t>
                        </m:r>
                        <m:r>
                          <a:rPr lang="pt-BR" sz="800" b="0" i="0">
                            <a:latin typeface="Cambria Math" panose="02040503050406030204" pitchFamily="18" charset="0"/>
                            <a:cs typeface="Sora" pitchFamily="2" charset="0"/>
                          </a:rPr>
                          <m:t> × 4</m:t>
                        </m:r>
                      </m:num>
                      <m:den>
                        <m:eqArr>
                          <m:eqArrPr>
                            <m:ctrlPr>
                              <a:rPr lang="pt-BR" sz="800" i="1">
                                <a:latin typeface="Cambria Math" panose="02040503050406030204" pitchFamily="18" charset="0"/>
                                <a:cs typeface="Sora" pitchFamily="2" charset="0"/>
                              </a:rPr>
                            </m:ctrlPr>
                          </m:eqArrPr>
                          <m:e>
                            <m:r>
                              <m:rPr>
                                <m:sty m:val="p"/>
                              </m:rPr>
                              <a:rPr lang="pt-BR" sz="800" i="0">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passivos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remunerados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ú</m:t>
                            </m:r>
                            <m:r>
                              <m:rPr>
                                <m:sty m:val="p"/>
                              </m:rPr>
                              <a:rPr lang="pt-BR" sz="800" i="0">
                                <a:latin typeface="Cambria Math" panose="02040503050406030204" pitchFamily="18" charset="0"/>
                                <a:cs typeface="Sora" pitchFamily="2" charset="0"/>
                              </a:rPr>
                              <m:t>ltimos</m:t>
                            </m:r>
                            <m:r>
                              <a:rPr lang="pt-BR" sz="800" i="0">
                                <a:latin typeface="Cambria Math" panose="02040503050406030204" pitchFamily="18" charset="0"/>
                                <a:cs typeface="Sora" pitchFamily="2" charset="0"/>
                              </a:rPr>
                              <m:t> 2 </m:t>
                            </m:r>
                            <m:r>
                              <m:rPr>
                                <m:sty m:val="p"/>
                              </m:rPr>
                              <a:rPr lang="pt-BR" sz="800" i="0">
                                <a:latin typeface="Cambria Math" panose="02040503050406030204" pitchFamily="18" charset="0"/>
                                <a:cs typeface="Sora" pitchFamily="2" charset="0"/>
                              </a:rPr>
                              <m:t>trimestres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à </m:t>
                            </m:r>
                            <m:r>
                              <m:rPr>
                                <m:sty m:val="p"/>
                              </m:rPr>
                              <a:rPr lang="pt-BR" sz="800" i="0">
                                <a:latin typeface="Cambria Math" panose="02040503050406030204" pitchFamily="18" charset="0"/>
                                <a:cs typeface="Sora" pitchFamily="2" charset="0"/>
                              </a:rPr>
                              <m:t>vista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prazo</m:t>
                            </m:r>
                            <m:r>
                              <a:rPr lang="pt-BR" sz="800" i="0">
                                <a:latin typeface="Cambria Math" panose="02040503050406030204" pitchFamily="18" charset="0"/>
                                <a:cs typeface="Sora" pitchFamily="2" charset="0"/>
                              </a:rPr>
                              <m:t>,</m:t>
                            </m:r>
                            <m:r>
                              <m:rPr>
                                <m:sty m:val="p"/>
                              </m:rPr>
                              <a:rPr lang="pt-BR" sz="800" i="0">
                                <a:latin typeface="Cambria Math" panose="02040503050406030204" pitchFamily="18" charset="0"/>
                                <a:cs typeface="Sora" pitchFamily="2" charset="0"/>
                              </a:rPr>
                              <m:t>poupan</m:t>
                            </m:r>
                            <m:r>
                              <a:rPr lang="pt-BR" sz="800" i="0">
                                <a:latin typeface="Cambria Math" panose="02040503050406030204" pitchFamily="18" charset="0"/>
                                <a:cs typeface="Sora" pitchFamily="2" charset="0"/>
                              </a:rPr>
                              <m:t>ç</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e>
                          <m:e>
                            <m:r>
                              <m:rPr>
                                <m:sty m:val="p"/>
                              </m:rPr>
                              <a:rPr lang="pt-BR" sz="800" i="0">
                                <a:latin typeface="Cambria Math" panose="02040503050406030204" pitchFamily="18" charset="0"/>
                                <a:cs typeface="Sora" pitchFamily="2" charset="0"/>
                              </a:rPr>
                              <m:t>credores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por</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recursos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liberar</m:t>
                            </m:r>
                            <m:r>
                              <a:rPr lang="pt-BR" sz="800" i="0">
                                <a:latin typeface="Cambria Math" panose="02040503050406030204" pitchFamily="18" charset="0"/>
                                <a:cs typeface="Sora" pitchFamily="2" charset="0"/>
                              </a:rPr>
                              <m:t>,</m:t>
                            </m:r>
                            <m:r>
                              <m:rPr>
                                <m:sty m:val="p"/>
                              </m:rPr>
                              <a:rPr lang="pt-BR" sz="800" i="0">
                                <a:latin typeface="Cambria Math" panose="02040503050406030204" pitchFamily="18" charset="0"/>
                                <a:cs typeface="Sora" pitchFamily="2" charset="0"/>
                              </a:rPr>
                              <m:t>t</m:t>
                            </m:r>
                            <m:r>
                              <a:rPr lang="pt-BR" sz="800" i="0">
                                <a:latin typeface="Cambria Math" panose="02040503050406030204" pitchFamily="18" charset="0"/>
                                <a:cs typeface="Sora" pitchFamily="2" charset="0"/>
                              </a:rPr>
                              <m:t>í</m:t>
                            </m:r>
                            <m:r>
                              <m:rPr>
                                <m:sty m:val="p"/>
                              </m:rPr>
                              <a:rPr lang="pt-BR" sz="800" i="0">
                                <a:latin typeface="Cambria Math" panose="02040503050406030204" pitchFamily="18" charset="0"/>
                                <a:cs typeface="Sora" pitchFamily="2" charset="0"/>
                              </a:rPr>
                              <m:t>tulos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emitidos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obriga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redes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cart</m:t>
                            </m:r>
                            <m:r>
                              <a:rPr lang="pt-BR" sz="800" i="0">
                                <a:latin typeface="Cambria Math" panose="02040503050406030204" pitchFamily="18" charset="0"/>
                                <a:cs typeface="Sora" pitchFamily="2" charset="0"/>
                              </a:rPr>
                              <m:t>ã</m:t>
                            </m:r>
                            <m:r>
                              <m:rPr>
                                <m:sty m:val="p"/>
                              </m:rPr>
                              <a:rPr lang="pt-BR" sz="800" i="0">
                                <a:latin typeface="Cambria Math" panose="02040503050406030204" pitchFamily="18" charset="0"/>
                                <a:cs typeface="Sora" pitchFamily="2" charset="0"/>
                              </a:rPr>
                              <m:t>o</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cr</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dito</m:t>
                            </m:r>
                            <m:r>
                              <a:rPr lang="pt-BR" sz="800" i="0">
                                <a:latin typeface="Cambria Math" panose="02040503050406030204" pitchFamily="18" charset="0"/>
                                <a:cs typeface="Sora" pitchFamily="2" charset="0"/>
                              </a:rPr>
                              <m:t>,</m:t>
                            </m:r>
                          </m:e>
                          <m:e>
                            <m:r>
                              <m:rPr>
                                <m:sty m:val="p"/>
                              </m:rPr>
                              <a:rPr lang="pt-BR" sz="800" i="0">
                                <a:latin typeface="Cambria Math" panose="02040503050406030204" pitchFamily="18" charset="0"/>
                                <a:cs typeface="Sora" pitchFamily="2" charset="0"/>
                              </a:rPr>
                              <m:t>obriga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por</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opera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compromissadas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interfinanceiros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outros</m:t>
                            </m:r>
                            <m:r>
                              <a:rPr lang="pt-BR" sz="800" i="0">
                                <a:latin typeface="Cambria Math" panose="02040503050406030204" pitchFamily="18" charset="0"/>
                                <a:cs typeface="Sora" pitchFamily="2" charset="0"/>
                              </a:rPr>
                              <m:t>)</m:t>
                            </m:r>
                          </m:e>
                        </m:eqAr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servir (CTS):</a:t>
              </a:r>
            </a:p>
            <a:p>
              <a:pPr algn="ctr"/>
              <a:endParaRPr lang="en-US" sz="800">
                <a:solidFill>
                  <a:schemeClr val="tx1">
                    <a:lumMod val="85000"/>
                    <a:lumOff val="15000"/>
                  </a:schemeClr>
                </a:solidFill>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a:rPr lang="pt-BR" sz="800">
                            <a:latin typeface="Cambria Math" panose="02040503050406030204" pitchFamily="18" charset="0"/>
                          </a:rPr>
                          <m:t>(</m:t>
                        </m:r>
                        <m:r>
                          <m:rPr>
                            <m:sty m:val="p"/>
                          </m:rPr>
                          <a:rPr lang="en-US" sz="800">
                            <a:solidFill>
                              <a:schemeClr val="tx1">
                                <a:lumMod val="85000"/>
                                <a:lumOff val="15000"/>
                              </a:schemeClr>
                            </a:solidFill>
                            <a:latin typeface="Cambria Math" panose="02040503050406030204" pitchFamily="18" charset="0"/>
                            <a:cs typeface="Sora" pitchFamily="2" charset="0"/>
                          </a:rPr>
                          <m:t>Despesas</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de</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pessoal</m:t>
                        </m:r>
                        <m:r>
                          <a:rPr lang="en-US" sz="800">
                            <a:solidFill>
                              <a:schemeClr val="tx1">
                                <a:lumMod val="85000"/>
                                <a:lumOff val="15000"/>
                              </a:schemeClr>
                            </a:solidFill>
                            <a:latin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cs typeface="Sora" pitchFamily="2" charset="0"/>
                          </a:rPr>
                          <m:t>D</m:t>
                        </m:r>
                        <m:r>
                          <m:rPr>
                            <m:sty m:val="p"/>
                          </m:rPr>
                          <a:rPr lang="en-US" sz="800">
                            <a:solidFill>
                              <a:schemeClr val="tx1">
                                <a:lumMod val="85000"/>
                                <a:lumOff val="15000"/>
                              </a:schemeClr>
                            </a:solidFill>
                            <a:latin typeface="Cambria Math" panose="02040503050406030204" pitchFamily="18" charset="0"/>
                            <a:cs typeface="Sora" pitchFamily="2" charset="0"/>
                          </a:rPr>
                          <m:t>espesas</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administrativas</m:t>
                        </m:r>
                        <m:r>
                          <a:rPr lang="pt-BR" sz="800" i="1">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CAC</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Total</m:t>
                        </m:r>
                        <m:r>
                          <a:rPr lang="en-US" sz="800">
                            <a:solidFill>
                              <a:schemeClr val="tx1">
                                <a:lumMod val="85000"/>
                                <a:lumOff val="15000"/>
                              </a:schemeClr>
                            </a:solidFill>
                            <a:latin typeface="Cambria Math" panose="02040503050406030204" pitchFamily="18" charset="0"/>
                            <a:cs typeface="Sora" pitchFamily="2" charset="0"/>
                          </a:rPr>
                          <m:t> )÷</m:t>
                        </m:r>
                        <m:r>
                          <a:rPr lang="pt-BR" sz="800" i="1">
                            <a:solidFill>
                              <a:schemeClr val="tx1">
                                <a:lumMod val="85000"/>
                                <a:lumOff val="15000"/>
                              </a:schemeClr>
                            </a:solidFill>
                            <a:latin typeface="Cambria Math" panose="02040503050406030204" pitchFamily="18" charset="0"/>
                            <a:cs typeface="Sora" pitchFamily="2" charset="0"/>
                          </a:rPr>
                          <m:t>3)</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ativos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num>
                      <m:den>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 </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sty m:val="p"/>
                          </m:rPr>
                          <a:rPr lang="pt-BR" sz="800">
                            <a:latin typeface="Cambria Math" panose="02040503050406030204" pitchFamily="18" charset="0"/>
                          </a:rPr>
                          <m:t>Outras</m:t>
                        </m:r>
                        <m:r>
                          <a:rPr lang="pt-BR" sz="800">
                            <a:latin typeface="Cambria Math" panose="02040503050406030204" pitchFamily="18" charset="0"/>
                          </a:rPr>
                          <m:t> </m:t>
                        </m:r>
                        <m:r>
                          <m:rPr>
                            <m:sty m:val="p"/>
                          </m:rPr>
                          <a:rPr lang="pt-BR" sz="800">
                            <a:latin typeface="Cambria Math" panose="02040503050406030204" pitchFamily="18" charset="0"/>
                          </a:rPr>
                          <m:t>Receitas</m:t>
                        </m:r>
                      </m:den>
                    </m:f>
                    <m:r>
                      <a:rPr lang="pt-BR" sz="800" b="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48" name="Retângulo 9">
              <a:extLst>
                <a:ext uri="{FF2B5EF4-FFF2-40B4-BE49-F238E27FC236}">
                  <a16:creationId xmlns:a16="http://schemas.microsoft.com/office/drawing/2014/main" id="{5B278FE1-A57E-AFEA-C21F-490D8D7CDCD1}"/>
                </a:ext>
              </a:extLst>
            </xdr:cNvPr>
            <xdr:cNvSpPr/>
          </xdr:nvSpPr>
          <xdr:spPr>
            <a:xfrm>
              <a:off x="6761358" y="15053015"/>
              <a:ext cx="5774108" cy="610622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a:t>
              </a:r>
              <a:r>
                <a:rPr lang="en-US" sz="800" i="0">
                  <a:latin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antecipação de recebíveis de cartão de crédito:</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excluindoantecipação de recebíveis de cartão de crédito</a:t>
              </a:r>
              <a:r>
                <a:rPr lang="en-US" sz="800" i="0">
                  <a:latin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cartão de crédito:</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excluindo cartão de crédito</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funding:</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b="0" i="0">
                  <a:latin typeface="Cambria Math" panose="02040503050406030204" pitchFamily="18" charset="0"/>
                  <a:cs typeface="Sora" pitchFamily="2" charset="0"/>
                </a:rPr>
                <a:t>Despesas de juros × 4</a:t>
              </a:r>
              <a:r>
                <a:rPr lang="en-US" sz="800" b="0" i="0">
                  <a:latin typeface="Cambria Math" panose="02040503050406030204" pitchFamily="18" charset="0"/>
                  <a:cs typeface="Sora" pitchFamily="2" charset="0"/>
                </a:rPr>
                <a:t>)/</a:t>
              </a:r>
              <a:r>
                <a:rPr lang="pt-BR" sz="800" b="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dos passivos remunerados dos últimos 2 trimestres (depósitos à vista, depósitos a prazo,poupança, @credores por recursos a liberar,títulos emitidos, obrigações com redes de cartão de crédito,@obrigações por operações compromissadas, depósitos interfinanceiros e outros))</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servir (CTS):</a:t>
              </a:r>
            </a:p>
            <a:p>
              <a:pPr algn="ctr"/>
              <a:endParaRPr lang="en-US" sz="800">
                <a:solidFill>
                  <a:schemeClr val="tx1">
                    <a:lumMod val="85000"/>
                    <a:lumOff val="15000"/>
                  </a:schemeClr>
                </a:solidFill>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en-US" sz="800" i="0">
                  <a:solidFill>
                    <a:schemeClr val="tx1">
                      <a:lumMod val="85000"/>
                      <a:lumOff val="15000"/>
                    </a:schemeClr>
                  </a:solidFill>
                  <a:latin typeface="Cambria Math" panose="02040503050406030204" pitchFamily="18" charset="0"/>
                  <a:cs typeface="Sora" pitchFamily="2" charset="0"/>
                </a:rPr>
                <a:t>Despesas de pessoal+</a:t>
              </a:r>
              <a:r>
                <a:rPr lang="pt-BR" sz="800" b="0" i="0">
                  <a:solidFill>
                    <a:schemeClr val="tx1">
                      <a:lumMod val="85000"/>
                      <a:lumOff val="15000"/>
                    </a:schemeClr>
                  </a:solidFill>
                  <a:latin typeface="Cambria Math" panose="02040503050406030204" pitchFamily="18" charset="0"/>
                  <a:cs typeface="Sora" pitchFamily="2" charset="0"/>
                </a:rPr>
                <a:t>D</a:t>
              </a:r>
              <a:r>
                <a:rPr lang="en-US" sz="800" i="0">
                  <a:solidFill>
                    <a:schemeClr val="tx1">
                      <a:lumMod val="85000"/>
                      <a:lumOff val="15000"/>
                    </a:schemeClr>
                  </a:solidFill>
                  <a:latin typeface="Cambria Math" panose="02040503050406030204" pitchFamily="18" charset="0"/>
                  <a:cs typeface="Sora" pitchFamily="2" charset="0"/>
                </a:rPr>
                <a:t>espesas administrativas</a:t>
              </a:r>
              <a:r>
                <a:rPr lang="pt-BR" sz="800" i="0">
                  <a:solidFill>
                    <a:schemeClr val="tx1">
                      <a:lumMod val="85000"/>
                      <a:lumOff val="15000"/>
                    </a:schemeClr>
                  </a:solidFill>
                  <a:latin typeface="Cambria Math" panose="02040503050406030204" pitchFamily="18" charset="0"/>
                  <a:cs typeface="Sora" pitchFamily="2" charset="0"/>
                </a:rPr>
                <a:t> −</a:t>
              </a:r>
              <a:r>
                <a:rPr lang="en-US" sz="800" i="0">
                  <a:solidFill>
                    <a:schemeClr val="tx1">
                      <a:lumMod val="85000"/>
                      <a:lumOff val="15000"/>
                    </a:schemeClr>
                  </a:solidFill>
                  <a:latin typeface="Cambria Math" panose="02040503050406030204" pitchFamily="18" charset="0"/>
                  <a:cs typeface="Sora" pitchFamily="2" charset="0"/>
                </a:rPr>
                <a:t>CAC Total )÷</a:t>
              </a:r>
              <a:r>
                <a:rPr lang="pt-BR" sz="800" i="0">
                  <a:solidFill>
                    <a:schemeClr val="tx1">
                      <a:lumMod val="85000"/>
                      <a:lumOff val="15000"/>
                    </a:schemeClr>
                  </a:solidFill>
                  <a:latin typeface="Cambria Math" panose="02040503050406030204" pitchFamily="18" charset="0"/>
                  <a:cs typeface="Sora" pitchFamily="2" charset="0"/>
                </a:rPr>
                <a:t>3))/(</a:t>
              </a:r>
              <a:r>
                <a:rPr lang="pt-BR" sz="800" i="0">
                  <a:latin typeface="Cambria Math" panose="02040503050406030204" pitchFamily="18" charset="0"/>
                  <a:cs typeface="Sora" pitchFamily="2" charset="0"/>
                </a:rPr>
                <a:t>Média de clientes ativos dos últimos 2 trimestres)</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 de servi</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ç</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os e comiss</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õ</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es+Outras receitas)/(</a:t>
              </a:r>
              <a:r>
                <a:rPr lang="pt-BR" sz="800" i="0">
                  <a:latin typeface="Cambria Math" panose="02040503050406030204" pitchFamily="18" charset="0"/>
                </a:rPr>
                <a:t>Resultado líquido de juros + Resultado líquido de serviços e comissões+Outras Receitas)</a:t>
              </a:r>
              <a:r>
                <a:rPr lang="pt-BR" sz="800" b="0" i="0">
                  <a:latin typeface="Cambria Math" panose="02040503050406030204" pitchFamily="18" charset="0"/>
                </a:rPr>
                <a:t>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8</xdr:col>
      <xdr:colOff>122382</xdr:colOff>
      <xdr:row>113</xdr:row>
      <xdr:rowOff>127386</xdr:rowOff>
    </xdr:from>
    <xdr:to>
      <xdr:col>15</xdr:col>
      <xdr:colOff>97409</xdr:colOff>
      <xdr:row>143</xdr:row>
      <xdr:rowOff>181212</xdr:rowOff>
    </xdr:to>
    <mc:AlternateContent xmlns:mc="http://schemas.openxmlformats.org/markup-compatibility/2006" xmlns:a14="http://schemas.microsoft.com/office/drawing/2010/main">
      <mc:Choice Requires="a14">
        <xdr:sp macro="" textlink="">
          <xdr:nvSpPr>
            <xdr:cNvPr id="49" name="Retângulo 9">
              <a:extLst>
                <a:ext uri="{FF2B5EF4-FFF2-40B4-BE49-F238E27FC236}">
                  <a16:creationId xmlns:a16="http://schemas.microsoft.com/office/drawing/2014/main" id="{00000000-0008-0000-1600-000031000000}"/>
                </a:ext>
              </a:extLst>
            </xdr:cNvPr>
            <xdr:cNvSpPr/>
          </xdr:nvSpPr>
          <xdr:spPr>
            <a:xfrm>
              <a:off x="6748469" y="20925937"/>
              <a:ext cx="5772853" cy="557556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Formação de estágio 3:</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est</m:t>
                        </m:r>
                        <m:r>
                          <a:rPr lang="pt-BR" sz="800">
                            <a:latin typeface="Cambria Math" panose="02040503050406030204" pitchFamily="18" charset="0"/>
                          </a:rPr>
                          <m:t>á</m:t>
                        </m:r>
                        <m:r>
                          <m:rPr>
                            <m:sty m:val="p"/>
                          </m:rPr>
                          <a:rPr lang="pt-BR" sz="800">
                            <a:latin typeface="Cambria Math" panose="02040503050406030204" pitchFamily="18" charset="0"/>
                          </a:rPr>
                          <m:t>gio</m:t>
                        </m:r>
                        <m:r>
                          <a:rPr lang="pt-BR" sz="800">
                            <a:latin typeface="Cambria Math" panose="02040503050406030204" pitchFamily="18" charset="0"/>
                          </a:rPr>
                          <m:t> 3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a:rPr lang="pt-BR" sz="800">
                            <a:latin typeface="Cambria Math" panose="02040503050406030204" pitchFamily="18" charset="0"/>
                          </a:rPr>
                          <m:t> –</m:t>
                        </m:r>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est</m:t>
                        </m:r>
                        <m:r>
                          <a:rPr lang="pt-BR" sz="800">
                            <a:latin typeface="Cambria Math" panose="02040503050406030204" pitchFamily="18" charset="0"/>
                          </a:rPr>
                          <m:t>á</m:t>
                        </m:r>
                        <m:r>
                          <m:rPr>
                            <m:sty m:val="p"/>
                          </m:rPr>
                          <a:rPr lang="pt-BR" sz="800">
                            <a:latin typeface="Cambria Math" panose="02040503050406030204" pitchFamily="18" charset="0"/>
                          </a:rPr>
                          <m:t>gio</m:t>
                        </m:r>
                        <m:r>
                          <a:rPr lang="pt-BR" sz="800">
                            <a:latin typeface="Cambria Math" panose="02040503050406030204" pitchFamily="18" charset="0"/>
                          </a:rPr>
                          <m:t> 3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anterior</m:t>
                        </m:r>
                        <m:r>
                          <a:rPr lang="pt-BR" sz="800">
                            <a:latin typeface="Cambria Math" panose="02040503050406030204" pitchFamily="18" charset="0"/>
                          </a:rPr>
                          <m:t> +</m:t>
                        </m:r>
                        <m:r>
                          <m:rPr>
                            <m:sty m:val="p"/>
                          </m:rPr>
                          <a:rPr lang="pt-BR" sz="800">
                            <a:latin typeface="Cambria Math" panose="02040503050406030204" pitchFamily="18" charset="0"/>
                          </a:rPr>
                          <m:t>Migra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write</m:t>
                        </m:r>
                        <m:r>
                          <a:rPr lang="pt-BR" sz="800">
                            <a:latin typeface="Cambria Math" panose="02040503050406030204" pitchFamily="18" charset="0"/>
                          </a:rPr>
                          <m:t>−</m:t>
                        </m:r>
                        <m:r>
                          <m:rPr>
                            <m:sty m:val="p"/>
                          </m:rPr>
                          <a:rPr lang="pt-BR" sz="800">
                            <a:latin typeface="Cambria Math" panose="02040503050406030204" pitchFamily="18" charset="0"/>
                          </a:rPr>
                          <m:t>off</m:t>
                        </m:r>
                        <m:r>
                          <a:rPr lang="pt-BR" sz="800">
                            <a:latin typeface="Cambria Math" panose="02040503050406030204" pitchFamily="18" charset="0"/>
                          </a:rPr>
                          <m:t> </m:t>
                        </m:r>
                        <m:r>
                          <m:rPr>
                            <m:sty m:val="p"/>
                          </m:rPr>
                          <a:rPr lang="pt-BR" sz="800">
                            <a:latin typeface="Cambria Math" panose="02040503050406030204" pitchFamily="18" charset="0"/>
                          </a:rPr>
                          <m:t>no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num>
                      <m:den>
                        <m:r>
                          <m:rPr>
                            <m:sty m:val="p"/>
                          </m:rPr>
                          <a:rPr lang="en-US" sz="800" i="0">
                            <a:latin typeface="Cambria Math" panose="02040503050406030204" pitchFamily="18" charset="0"/>
                            <a:cs typeface="Sora" pitchFamily="2" charset="0"/>
                          </a:rPr>
                          <m:t>Empr</m:t>
                        </m:r>
                        <m:r>
                          <a:rPr lang="en-US" sz="800" i="0">
                            <a:latin typeface="Cambria Math" panose="02040503050406030204" pitchFamily="18" charset="0"/>
                            <a:cs typeface="Sora" pitchFamily="2" charset="0"/>
                          </a:rPr>
                          <m:t>é</m:t>
                        </m:r>
                        <m:r>
                          <m:rPr>
                            <m:sty m:val="p"/>
                          </m:rPr>
                          <a:rPr lang="en-US" sz="800" i="0">
                            <a:latin typeface="Cambria Math" panose="02040503050406030204" pitchFamily="18" charset="0"/>
                            <a:cs typeface="Sora" pitchFamily="2" charset="0"/>
                          </a:rPr>
                          <m:t>stimos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adiantamentos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totais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anterior</m:t>
                        </m:r>
                      </m:den>
                    </m:f>
                    <m:r>
                      <a:rPr lang="pt-BR" sz="800" b="0" i="1">
                        <a:latin typeface="Cambria Math" panose="02040503050406030204" pitchFamily="18" charset="0"/>
                        <a:cs typeface="Sora" pitchFamily="2"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Formação de NPL:</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vencido</m:t>
                            </m:r>
                            <m:r>
                              <a:rPr lang="pt-BR" sz="800">
                                <a:latin typeface="Cambria Math" panose="02040503050406030204" pitchFamily="18" charset="0"/>
                              </a:rPr>
                              <m:t> </m:t>
                            </m:r>
                            <m:r>
                              <m:rPr>
                                <m:sty m:val="p"/>
                              </m:rPr>
                              <a:rPr lang="pt-BR" sz="800">
                                <a:latin typeface="Cambria Math" panose="02040503050406030204" pitchFamily="18" charset="0"/>
                              </a:rPr>
                              <m:t>h</m:t>
                            </m:r>
                            <m:r>
                              <a:rPr lang="pt-BR" sz="800">
                                <a:latin typeface="Cambria Math" panose="02040503050406030204" pitchFamily="18" charset="0"/>
                              </a:rPr>
                              <m:t>á </m:t>
                            </m:r>
                            <m:r>
                              <m:rPr>
                                <m:sty m:val="p"/>
                              </m:rPr>
                              <a:rPr lang="pt-BR" sz="800">
                                <a:latin typeface="Cambria Math" panose="02040503050406030204" pitchFamily="18" charset="0"/>
                              </a:rPr>
                              <m:t>mais</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90 </m:t>
                            </m:r>
                            <m:r>
                              <m:rPr>
                                <m:sty m:val="p"/>
                              </m:rPr>
                              <a:rPr lang="pt-BR" sz="800">
                                <a:latin typeface="Cambria Math" panose="02040503050406030204" pitchFamily="18" charset="0"/>
                              </a:rPr>
                              <m:t>dias</m:t>
                            </m:r>
                            <m:r>
                              <a:rPr lang="pt-BR" sz="800">
                                <a:latin typeface="Cambria Math" panose="02040503050406030204" pitchFamily="18" charset="0"/>
                              </a:rPr>
                              <m:t>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a:rPr lang="pt-BR" sz="800">
                                <a:latin typeface="Cambria Math" panose="02040503050406030204" pitchFamily="18" charset="0"/>
                              </a:rPr>
                              <m:t> –</m:t>
                            </m:r>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vencido</m:t>
                            </m:r>
                            <m:r>
                              <a:rPr lang="pt-BR" sz="800">
                                <a:latin typeface="Cambria Math" panose="02040503050406030204" pitchFamily="18" charset="0"/>
                              </a:rPr>
                              <m:t> </m:t>
                            </m:r>
                            <m:r>
                              <m:rPr>
                                <m:sty m:val="p"/>
                              </m:rPr>
                              <a:rPr lang="pt-BR" sz="800">
                                <a:latin typeface="Cambria Math" panose="02040503050406030204" pitchFamily="18" charset="0"/>
                              </a:rPr>
                              <m:t>h</m:t>
                            </m:r>
                            <m:r>
                              <a:rPr lang="pt-BR" sz="800">
                                <a:latin typeface="Cambria Math" panose="02040503050406030204" pitchFamily="18" charset="0"/>
                              </a:rPr>
                              <m:t>á </m:t>
                            </m:r>
                            <m:r>
                              <m:rPr>
                                <m:sty m:val="p"/>
                              </m:rPr>
                              <a:rPr lang="pt-BR" sz="800">
                                <a:latin typeface="Cambria Math" panose="02040503050406030204" pitchFamily="18" charset="0"/>
                              </a:rPr>
                              <m:t>mais</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90 </m:t>
                            </m:r>
                            <m:r>
                              <m:rPr>
                                <m:sty m:val="p"/>
                              </m:rPr>
                              <a:rPr lang="pt-BR" sz="800">
                                <a:latin typeface="Cambria Math" panose="02040503050406030204" pitchFamily="18" charset="0"/>
                              </a:rPr>
                              <m:t>dias</m:t>
                            </m:r>
                            <m:r>
                              <a:rPr lang="pt-BR" sz="800">
                                <a:latin typeface="Cambria Math" panose="02040503050406030204" pitchFamily="18" charset="0"/>
                              </a:rPr>
                              <m:t> </m:t>
                            </m:r>
                            <m:r>
                              <m:rPr>
                                <m:sty m:val="p"/>
                              </m:rPr>
                              <a:rPr lang="pt-BR" sz="800">
                                <a:latin typeface="Cambria Math" panose="02040503050406030204" pitchFamily="18" charset="0"/>
                              </a:rPr>
                              <m:t>do</m:t>
                            </m:r>
                            <m:r>
                              <a:rPr lang="pt-BR" sz="800" b="0" i="0">
                                <a:latin typeface="Cambria Math" panose="02040503050406030204" pitchFamily="18" charset="0"/>
                              </a:rPr>
                              <m:t> </m:t>
                            </m:r>
                            <m:r>
                              <m:rPr>
                                <m:sty m:val="p"/>
                              </m:rPr>
                              <a:rPr lang="pt-BR" sz="800">
                                <a:latin typeface="Cambria Math" panose="02040503050406030204" pitchFamily="18" charset="0"/>
                              </a:rPr>
                              <m:t>trimestreanterior</m:t>
                            </m:r>
                            <m:r>
                              <a:rPr lang="pt-BR" sz="800">
                                <a:latin typeface="Cambria Math" panose="02040503050406030204" pitchFamily="18" charset="0"/>
                              </a:rPr>
                              <m:t> +</m:t>
                            </m:r>
                            <m:r>
                              <m:rPr>
                                <m:sty m:val="p"/>
                              </m:rPr>
                              <a:rPr lang="pt-BR" sz="800">
                                <a:latin typeface="Cambria Math" panose="02040503050406030204" pitchFamily="18" charset="0"/>
                              </a:rPr>
                              <m:t>Migra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de</m:t>
                            </m:r>
                          </m:e>
                          <m:e>
                            <m:r>
                              <a:rPr lang="pt-BR" sz="800" b="0" i="0">
                                <a:latin typeface="Cambria Math" panose="02040503050406030204" pitchFamily="18" charset="0"/>
                              </a:rPr>
                              <m:t> </m:t>
                            </m:r>
                            <m:r>
                              <m:rPr>
                                <m:sty m:val="p"/>
                              </m:rPr>
                              <a:rPr lang="pt-BR" sz="800">
                                <a:latin typeface="Cambria Math" panose="02040503050406030204" pitchFamily="18" charset="0"/>
                              </a:rPr>
                              <m:t>write</m:t>
                            </m:r>
                            <m:r>
                              <a:rPr lang="pt-BR" sz="800">
                                <a:latin typeface="Cambria Math" panose="02040503050406030204" pitchFamily="18" charset="0"/>
                              </a:rPr>
                              <m:t>−</m:t>
                            </m:r>
                            <m:r>
                              <m:rPr>
                                <m:sty m:val="p"/>
                              </m:rPr>
                              <a:rPr lang="pt-BR" sz="800">
                                <a:latin typeface="Cambria Math" panose="02040503050406030204" pitchFamily="18" charset="0"/>
                              </a:rPr>
                              <m:t>off</m:t>
                            </m:r>
                            <m:r>
                              <a:rPr lang="pt-BR" sz="800">
                                <a:latin typeface="Cambria Math" panose="02040503050406030204" pitchFamily="18" charset="0"/>
                              </a:rPr>
                              <m:t> </m:t>
                            </m:r>
                            <m:r>
                              <m:rPr>
                                <m:sty m:val="p"/>
                              </m:rPr>
                              <a:rPr lang="pt-BR" sz="800">
                                <a:latin typeface="Cambria Math" panose="02040503050406030204" pitchFamily="18" charset="0"/>
                              </a:rPr>
                              <m:t>no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m:rPr>
                                <m:nor/>
                              </m:rPr>
                              <a:rPr lang="pt-BR" sz="800">
                                <a:latin typeface="Calibri" panose="020F0502020204030204" pitchFamily="34" charset="0"/>
                                <a:cs typeface="Calibri" panose="020F0502020204030204" pitchFamily="34" charset="0"/>
                              </a:rPr>
                              <m:t> </m:t>
                            </m:r>
                          </m:e>
                        </m:eqArr>
                      </m:num>
                      <m:den>
                        <m:r>
                          <m:rPr>
                            <m:sty m:val="p"/>
                          </m:rPr>
                          <a:rPr lang="en-US" sz="800" i="0">
                            <a:latin typeface="Cambria Math" panose="02040503050406030204" pitchFamily="18" charset="0"/>
                            <a:cs typeface="Sora" pitchFamily="2" charset="0"/>
                          </a:rPr>
                          <m:t>Empr</m:t>
                        </m:r>
                        <m:r>
                          <a:rPr lang="en-US" sz="800" i="0">
                            <a:latin typeface="Cambria Math" panose="02040503050406030204" pitchFamily="18" charset="0"/>
                            <a:cs typeface="Sora" pitchFamily="2" charset="0"/>
                          </a:rPr>
                          <m:t>é</m:t>
                        </m:r>
                        <m:r>
                          <m:rPr>
                            <m:sty m:val="p"/>
                          </m:rPr>
                          <a:rPr lang="en-US" sz="800" i="0">
                            <a:latin typeface="Cambria Math" panose="02040503050406030204" pitchFamily="18" charset="0"/>
                            <a:cs typeface="Sora" pitchFamily="2" charset="0"/>
                          </a:rPr>
                          <m:t>stimos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adiantamentos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totais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anterior</m:t>
                        </m:r>
                      </m:den>
                    </m:f>
                    <m:r>
                      <a:rPr lang="pt-BR" sz="80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à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vista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prazo</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tulos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emitidos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credores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por</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recursos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liberar</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b="0" i="0">
                            <a:latin typeface="Cambria Math" panose="02040503050406030204" pitchFamily="18" charset="0"/>
                          </a:rPr>
                          <m:t>Patrim</m:t>
                        </m:r>
                        <m:r>
                          <a:rPr lang="pt-BR" sz="800" i="0">
                            <a:latin typeface="Cambria Math" panose="02040503050406030204" pitchFamily="18" charset="0"/>
                          </a:rPr>
                          <m:t>ô</m:t>
                        </m:r>
                        <m:r>
                          <m:rPr>
                            <m:sty m:val="p"/>
                          </m:rPr>
                          <a:rPr lang="pt-BR" sz="800" b="0" i="0">
                            <a:latin typeface="Cambria Math" panose="02040503050406030204" pitchFamily="18" charset="0"/>
                          </a:rPr>
                          <m:t>nio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refer</m:t>
                        </m:r>
                        <m:r>
                          <a:rPr lang="pt-BR" sz="800" i="0">
                            <a:latin typeface="Cambria Math" panose="02040503050406030204" pitchFamily="18" charset="0"/>
                          </a:rPr>
                          <m:t>ê</m:t>
                        </m:r>
                        <m:r>
                          <m:rPr>
                            <m:sty m:val="p"/>
                          </m:rPr>
                          <a:rPr lang="pt-BR" sz="800" b="0" i="0">
                            <a:latin typeface="Cambria Math" panose="02040503050406030204" pitchFamily="18" charset="0"/>
                          </a:rPr>
                          <m:t>ncia</m:t>
                        </m:r>
                        <m:r>
                          <a:rPr lang="pt-BR" sz="800" b="0" i="0">
                            <a:latin typeface="Cambria Math" panose="02040503050406030204" pitchFamily="18" charset="0"/>
                          </a:rPr>
                          <m:t> </m:t>
                        </m:r>
                        <m:r>
                          <m:rPr>
                            <m:sty m:val="p"/>
                          </m:rPr>
                          <a:rPr lang="pt-BR" sz="800" b="0" i="0">
                            <a:latin typeface="Cambria Math" panose="02040503050406030204" pitchFamily="18" charset="0"/>
                          </a:rPr>
                          <m:t>n</m:t>
                        </m:r>
                        <m:r>
                          <a:rPr lang="pt-BR" sz="800" i="0">
                            <a:latin typeface="Cambria Math" panose="02040503050406030204" pitchFamily="18" charset="0"/>
                          </a:rPr>
                          <m:t>í</m:t>
                        </m:r>
                        <m:r>
                          <m:rPr>
                            <m:sty m:val="p"/>
                          </m:rPr>
                          <a:rPr lang="pt-BR" sz="800" b="0" i="0">
                            <a:latin typeface="Cambria Math" panose="02040503050406030204" pitchFamily="18" charset="0"/>
                          </a:rPr>
                          <m:t>vel</m:t>
                        </m:r>
                        <m:r>
                          <a:rPr lang="pt-BR" sz="800" b="0" i="0">
                            <a:latin typeface="Cambria Math" panose="02040503050406030204" pitchFamily="18" charset="0"/>
                          </a:rPr>
                          <m:t> </m:t>
                        </m:r>
                        <m:r>
                          <m:rPr>
                            <m:sty m:val="p"/>
                          </m:rPr>
                          <a:rPr lang="pt-BR" sz="800" b="0" i="0">
                            <a:latin typeface="Cambria Math" panose="02040503050406030204" pitchFamily="18" charset="0"/>
                          </a:rPr>
                          <m:t>I</m:t>
                        </m:r>
                      </m:num>
                      <m:den>
                        <m:r>
                          <m:rPr>
                            <m:sty m:val="p"/>
                          </m:rPr>
                          <a:rPr lang="pt-BR" sz="800" b="0" i="0">
                            <a:latin typeface="Cambria Math" panose="02040503050406030204" pitchFamily="18" charset="0"/>
                          </a:rPr>
                          <m:t>Ativos</m:t>
                        </m:r>
                        <m:r>
                          <a:rPr lang="pt-BR" sz="800" b="0" i="0">
                            <a:latin typeface="Cambria Math" panose="02040503050406030204" pitchFamily="18" charset="0"/>
                          </a:rPr>
                          <m:t> </m:t>
                        </m:r>
                        <m:r>
                          <m:rPr>
                            <m:sty m:val="p"/>
                          </m:rPr>
                          <a:rPr lang="pt-BR" sz="800" b="0" i="0">
                            <a:latin typeface="Cambria Math" panose="02040503050406030204" pitchFamily="18" charset="0"/>
                          </a:rPr>
                          <m:t>ponderados</m:t>
                        </m:r>
                        <m:r>
                          <a:rPr lang="pt-BR" sz="800" b="0" i="0">
                            <a:latin typeface="Cambria Math" panose="02040503050406030204" pitchFamily="18" charset="0"/>
                          </a:rPr>
                          <m:t> </m:t>
                        </m:r>
                        <m:r>
                          <m:rPr>
                            <m:sty m:val="p"/>
                          </m:rPr>
                          <a:rPr lang="pt-BR" sz="800" b="0" i="0">
                            <a:latin typeface="Cambria Math" panose="02040503050406030204" pitchFamily="18" charset="0"/>
                          </a:rPr>
                          <m:t>por</m:t>
                        </m:r>
                        <m:r>
                          <a:rPr lang="pt-BR" sz="800" b="0" i="0">
                            <a:latin typeface="Cambria Math" panose="02040503050406030204" pitchFamily="18" charset="0"/>
                          </a:rPr>
                          <m:t> </m:t>
                        </m:r>
                        <m:r>
                          <m:rPr>
                            <m:sty m:val="p"/>
                          </m:rPr>
                          <a:rPr lang="pt-BR" sz="800" b="0" i="0">
                            <a:latin typeface="Cambria Math" panose="02040503050406030204" pitchFamily="18" charset="0"/>
                          </a:rPr>
                          <m:t>risco</m:t>
                        </m:r>
                      </m:den>
                    </m:f>
                  </m:oMath>
                </m:oMathPara>
              </a14:m>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b="0" i="0">
                            <a:latin typeface="Cambria Math" panose="02040503050406030204" pitchFamily="18" charset="0"/>
                          </a:rPr>
                          <m:t>Provis</m:t>
                        </m:r>
                        <m:r>
                          <a:rPr lang="pt-BR" sz="800" i="0">
                            <a:latin typeface="Cambria Math" panose="02040503050406030204" pitchFamily="18" charset="0"/>
                          </a:rPr>
                          <m:t>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perdas</m:t>
                        </m:r>
                        <m:r>
                          <a:rPr lang="pt-BR" sz="800" b="0" i="0">
                            <a:latin typeface="Cambria Math" panose="02040503050406030204" pitchFamily="18" charset="0"/>
                          </a:rPr>
                          <m:t> </m:t>
                        </m:r>
                        <m:r>
                          <m:rPr>
                            <m:sty m:val="p"/>
                          </m:rPr>
                          <a:rPr lang="pt-BR" sz="800" b="0" i="0">
                            <a:latin typeface="Cambria Math" panose="02040503050406030204" pitchFamily="18" charset="0"/>
                          </a:rPr>
                          <m:t>esperadas</m:t>
                        </m:r>
                      </m:num>
                      <m:den>
                        <m:r>
                          <m:rPr>
                            <m:sty m:val="p"/>
                          </m:rPr>
                          <a:rPr lang="pt-BR" sz="800" i="0">
                            <a:latin typeface="Cambria Math" panose="02040503050406030204" pitchFamily="18" charset="0"/>
                          </a:rPr>
                          <m:t>NPL</m:t>
                        </m:r>
                        <m:r>
                          <a:rPr lang="pt-BR" sz="800" i="0">
                            <a:latin typeface="Cambria Math" panose="02040503050406030204" pitchFamily="18" charset="0"/>
                          </a:rPr>
                          <m:t>&gt; 90 </m:t>
                        </m:r>
                        <m:r>
                          <m:rPr>
                            <m:sty m:val="p"/>
                          </m:rPr>
                          <a:rPr lang="pt-BR" sz="800" i="0">
                            <a:latin typeface="Cambria Math" panose="02040503050406030204" pitchFamily="18" charset="0"/>
                          </a:rPr>
                          <m:t>dias</m:t>
                        </m:r>
                      </m:den>
                    </m:f>
                    <m:r>
                      <a:rPr lang="pt-BR" sz="80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à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vista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prazo</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tulos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emitidos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credores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por</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recursos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liberar</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b="0" i="0">
                            <a:latin typeface="Cambria Math" panose="02040503050406030204" pitchFamily="18" charset="0"/>
                          </a:rPr>
                          <m:t>Patrim</m:t>
                        </m:r>
                        <m:r>
                          <a:rPr lang="pt-BR" sz="800" i="0">
                            <a:latin typeface="Cambria Math" panose="02040503050406030204" pitchFamily="18" charset="0"/>
                          </a:rPr>
                          <m:t>ô</m:t>
                        </m:r>
                        <m:r>
                          <m:rPr>
                            <m:sty m:val="p"/>
                          </m:rPr>
                          <a:rPr lang="pt-BR" sz="800" b="0" i="0">
                            <a:latin typeface="Cambria Math" panose="02040503050406030204" pitchFamily="18" charset="0"/>
                          </a:rPr>
                          <m:t>nio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refer</m:t>
                        </m:r>
                        <m:r>
                          <a:rPr lang="pt-BR" sz="800" i="0">
                            <a:latin typeface="Cambria Math" panose="02040503050406030204" pitchFamily="18" charset="0"/>
                          </a:rPr>
                          <m:t>ê</m:t>
                        </m:r>
                        <m:r>
                          <m:rPr>
                            <m:sty m:val="p"/>
                          </m:rPr>
                          <a:rPr lang="pt-BR" sz="800" b="0" i="0">
                            <a:latin typeface="Cambria Math" panose="02040503050406030204" pitchFamily="18" charset="0"/>
                          </a:rPr>
                          <m:t>ncia</m:t>
                        </m:r>
                        <m:r>
                          <a:rPr lang="pt-BR" sz="800" b="0" i="0">
                            <a:latin typeface="Cambria Math" panose="02040503050406030204" pitchFamily="18" charset="0"/>
                          </a:rPr>
                          <m:t> </m:t>
                        </m:r>
                        <m:r>
                          <m:rPr>
                            <m:sty m:val="p"/>
                          </m:rPr>
                          <a:rPr lang="pt-BR" sz="800" b="0" i="0">
                            <a:latin typeface="Cambria Math" panose="02040503050406030204" pitchFamily="18" charset="0"/>
                          </a:rPr>
                          <m:t>n</m:t>
                        </m:r>
                        <m:r>
                          <a:rPr lang="pt-BR" sz="800" i="0">
                            <a:latin typeface="Cambria Math" panose="02040503050406030204" pitchFamily="18" charset="0"/>
                          </a:rPr>
                          <m:t>í</m:t>
                        </m:r>
                        <m:r>
                          <m:rPr>
                            <m:sty m:val="p"/>
                          </m:rPr>
                          <a:rPr lang="pt-BR" sz="800" b="0" i="0">
                            <a:latin typeface="Cambria Math" panose="02040503050406030204" pitchFamily="18" charset="0"/>
                          </a:rPr>
                          <m:t>vel</m:t>
                        </m:r>
                        <m:r>
                          <a:rPr lang="pt-BR" sz="800" b="0" i="0">
                            <a:latin typeface="Cambria Math" panose="02040503050406030204" pitchFamily="18" charset="0"/>
                          </a:rPr>
                          <m:t> </m:t>
                        </m:r>
                        <m:r>
                          <m:rPr>
                            <m:sty m:val="p"/>
                          </m:rPr>
                          <a:rPr lang="pt-BR" sz="800" b="0" i="0">
                            <a:latin typeface="Cambria Math" panose="02040503050406030204" pitchFamily="18" charset="0"/>
                          </a:rPr>
                          <m:t>I</m:t>
                        </m:r>
                      </m:num>
                      <m:den>
                        <m:r>
                          <m:rPr>
                            <m:sty m:val="p"/>
                          </m:rPr>
                          <a:rPr lang="pt-BR" sz="800" b="0" i="0">
                            <a:latin typeface="Cambria Math" panose="02040503050406030204" pitchFamily="18" charset="0"/>
                          </a:rPr>
                          <m:t>Ativos</m:t>
                        </m:r>
                        <m:r>
                          <a:rPr lang="pt-BR" sz="800" b="0" i="0">
                            <a:latin typeface="Cambria Math" panose="02040503050406030204" pitchFamily="18" charset="0"/>
                          </a:rPr>
                          <m:t> </m:t>
                        </m:r>
                        <m:r>
                          <m:rPr>
                            <m:sty m:val="p"/>
                          </m:rPr>
                          <a:rPr lang="pt-BR" sz="800" b="0" i="0">
                            <a:latin typeface="Cambria Math" panose="02040503050406030204" pitchFamily="18" charset="0"/>
                          </a:rPr>
                          <m:t>ponderados</m:t>
                        </m:r>
                        <m:r>
                          <a:rPr lang="pt-BR" sz="800" b="0" i="0">
                            <a:latin typeface="Cambria Math" panose="02040503050406030204" pitchFamily="18" charset="0"/>
                          </a:rPr>
                          <m:t> </m:t>
                        </m:r>
                        <m:r>
                          <m:rPr>
                            <m:sty m:val="p"/>
                          </m:rPr>
                          <a:rPr lang="pt-BR" sz="800" b="0" i="0">
                            <a:latin typeface="Cambria Math" panose="02040503050406030204" pitchFamily="18" charset="0"/>
                          </a:rPr>
                          <m:t>por</m:t>
                        </m:r>
                        <m:r>
                          <a:rPr lang="pt-BR" sz="800" b="0" i="0">
                            <a:latin typeface="Cambria Math" panose="02040503050406030204" pitchFamily="18" charset="0"/>
                          </a:rPr>
                          <m:t> </m:t>
                        </m:r>
                        <m:r>
                          <m:rPr>
                            <m:sty m:val="p"/>
                          </m:rPr>
                          <a:rPr lang="pt-BR" sz="800" b="0" i="0">
                            <a:latin typeface="Cambria Math" panose="02040503050406030204" pitchFamily="18" charset="0"/>
                          </a:rPr>
                          <m:t>risco</m:t>
                        </m:r>
                      </m:den>
                    </m:f>
                  </m:oMath>
                </m:oMathPara>
              </a14:m>
              <a:endParaRPr lang="pt-BR" sz="800">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49" name="Retângulo 9">
              <a:extLst>
                <a:ext uri="{FF2B5EF4-FFF2-40B4-BE49-F238E27FC236}">
                  <a16:creationId xmlns:a16="http://schemas.microsoft.com/office/drawing/2014/main" id="{D2ED4C4B-0394-2855-8577-585CCB8A4BBD}"/>
                </a:ext>
              </a:extLst>
            </xdr:cNvPr>
            <xdr:cNvSpPr/>
          </xdr:nvSpPr>
          <xdr:spPr>
            <a:xfrm>
              <a:off x="6748469" y="20925937"/>
              <a:ext cx="5772853" cy="557556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Formação de estágio 3:</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de estágio 3 do trimestre atual –Saldo de estágio 3 do trimestre anterior +Migração de write−off no trimestre atual)/(</a:t>
              </a:r>
              <a:r>
                <a:rPr lang="en-US" sz="800" i="0">
                  <a:latin typeface="Cambria Math" panose="02040503050406030204" pitchFamily="18" charset="0"/>
                  <a:cs typeface="Sora" pitchFamily="2" charset="0"/>
                </a:rPr>
                <a:t>Empréstimos e</a:t>
              </a:r>
              <a:r>
                <a:rPr lang="pt-BR" sz="800" i="0">
                  <a:latin typeface="Cambria Math" panose="02040503050406030204" pitchFamily="18" charset="0"/>
                  <a:cs typeface="Sora" pitchFamily="2" charset="0"/>
                </a:rPr>
                <a:t> adiantamentos a clientes</a:t>
              </a:r>
              <a:r>
                <a:rPr lang="pt-BR" sz="800" b="0" i="0">
                  <a:latin typeface="Cambria Math" panose="02040503050406030204" pitchFamily="18" charset="0"/>
                  <a:cs typeface="Sora" pitchFamily="2" charset="0"/>
                </a:rPr>
                <a:t> totais do trimestre anterior)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Formação de NPL:</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vencido há mais de 90 dias do trimestre atual –Saldo vencido há mais de 90 dias do</a:t>
              </a:r>
              <a:r>
                <a:rPr lang="pt-BR" sz="800" b="0" i="0">
                  <a:latin typeface="Cambria Math" panose="02040503050406030204" pitchFamily="18" charset="0"/>
                </a:rPr>
                <a:t> </a:t>
              </a:r>
              <a:r>
                <a:rPr lang="pt-BR" sz="800" i="0">
                  <a:latin typeface="Cambria Math" panose="02040503050406030204" pitchFamily="18" charset="0"/>
                </a:rPr>
                <a:t>trimestreanterior +Migração de@</a:t>
              </a:r>
              <a:r>
                <a:rPr lang="pt-BR" sz="800" b="0" i="0">
                  <a:latin typeface="Cambria Math" panose="02040503050406030204" pitchFamily="18" charset="0"/>
                </a:rPr>
                <a:t> </a:t>
              </a:r>
              <a:r>
                <a:rPr lang="pt-BR" sz="800" i="0">
                  <a:latin typeface="Cambria Math" panose="02040503050406030204" pitchFamily="18" charset="0"/>
                </a:rPr>
                <a:t>write−off no trimestre atual"</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Empréstimos e</a:t>
              </a:r>
              <a:r>
                <a:rPr lang="pt-BR" sz="800" i="0">
                  <a:latin typeface="Cambria Math" panose="02040503050406030204" pitchFamily="18" charset="0"/>
                  <a:cs typeface="Sora" pitchFamily="2" charset="0"/>
                </a:rPr>
                <a:t> adiantamentos a clientes</a:t>
              </a:r>
              <a:r>
                <a:rPr lang="pt-BR" sz="800" b="0" i="0">
                  <a:latin typeface="Cambria Math" panose="02040503050406030204" pitchFamily="18" charset="0"/>
                  <a:cs typeface="Sora" pitchFamily="2" charset="0"/>
                </a:rPr>
                <a:t> totais do trimestre anterior) </a:t>
              </a:r>
              <a:r>
                <a:rPr lang="pt-BR" sz="800" i="0">
                  <a:latin typeface="Cambria Math" panose="02040503050406030204" pitchFamily="18" charset="0"/>
                </a:rPr>
                <a:t>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D</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à vista+dep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a prazo+t</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í</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tulos emitidos+credores por recursos a liberar</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pt-BR" sz="800" b="0" i="0">
                  <a:latin typeface="Cambria Math" panose="02040503050406030204" pitchFamily="18" charset="0"/>
                </a:rPr>
                <a:t>Patrim</a:t>
              </a:r>
              <a:r>
                <a:rPr lang="pt-BR" sz="800" i="0">
                  <a:latin typeface="Cambria Math" panose="02040503050406030204" pitchFamily="18" charset="0"/>
                </a:rPr>
                <a:t>ô</a:t>
              </a:r>
              <a:r>
                <a:rPr lang="pt-BR" sz="800" b="0" i="0">
                  <a:latin typeface="Cambria Math" panose="02040503050406030204" pitchFamily="18" charset="0"/>
                </a:rPr>
                <a:t>nio de refer</a:t>
              </a:r>
              <a:r>
                <a:rPr lang="pt-BR" sz="800" i="0">
                  <a:latin typeface="Cambria Math" panose="02040503050406030204" pitchFamily="18" charset="0"/>
                </a:rPr>
                <a:t>ê</a:t>
              </a:r>
              <a:r>
                <a:rPr lang="pt-BR" sz="800" b="0" i="0">
                  <a:latin typeface="Cambria Math" panose="02040503050406030204" pitchFamily="18" charset="0"/>
                </a:rPr>
                <a:t>ncia n</a:t>
              </a:r>
              <a:r>
                <a:rPr lang="pt-BR" sz="800" i="0">
                  <a:latin typeface="Cambria Math" panose="02040503050406030204" pitchFamily="18" charset="0"/>
                </a:rPr>
                <a:t>í</a:t>
              </a:r>
              <a:r>
                <a:rPr lang="pt-BR" sz="800" b="0" i="0">
                  <a:latin typeface="Cambria Math" panose="02040503050406030204" pitchFamily="18" charset="0"/>
                </a:rPr>
                <a:t>vel I)/(Ativos ponderados por risco)</a:t>
              </a:r>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r>
                <a:rPr lang="pt-BR" sz="800" i="0">
                  <a:latin typeface="Cambria Math" panose="02040503050406030204" pitchFamily="18" charset="0"/>
                </a:rPr>
                <a:t>(</a:t>
              </a:r>
              <a:r>
                <a:rPr lang="pt-BR" sz="800" b="0" i="0">
                  <a:latin typeface="Cambria Math" panose="02040503050406030204" pitchFamily="18" charset="0"/>
                </a:rPr>
                <a:t>Provis</a:t>
              </a:r>
              <a:r>
                <a:rPr lang="pt-BR" sz="800" i="0">
                  <a:latin typeface="Cambria Math" panose="02040503050406030204" pitchFamily="18" charset="0"/>
                </a:rPr>
                <a:t>ã</a:t>
              </a:r>
              <a:r>
                <a:rPr lang="pt-BR" sz="800" b="0" i="0">
                  <a:latin typeface="Cambria Math" panose="02040503050406030204" pitchFamily="18" charset="0"/>
                </a:rPr>
                <a:t>o de perdas esperadas)/(</a:t>
              </a:r>
              <a:r>
                <a:rPr lang="pt-BR" sz="800" i="0">
                  <a:latin typeface="Cambria Math" panose="02040503050406030204" pitchFamily="18" charset="0"/>
                </a:rPr>
                <a:t>NPL&gt; 90 dias)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D</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à vista+dep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a prazo+t</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í</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tulos emitidos+credores por recursos a liberar</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pt-BR" sz="800" b="0" i="0">
                  <a:latin typeface="Cambria Math" panose="02040503050406030204" pitchFamily="18" charset="0"/>
                </a:rPr>
                <a:t>Patrim</a:t>
              </a:r>
              <a:r>
                <a:rPr lang="pt-BR" sz="800" i="0">
                  <a:latin typeface="Cambria Math" panose="02040503050406030204" pitchFamily="18" charset="0"/>
                </a:rPr>
                <a:t>ô</a:t>
              </a:r>
              <a:r>
                <a:rPr lang="pt-BR" sz="800" b="0" i="0">
                  <a:latin typeface="Cambria Math" panose="02040503050406030204" pitchFamily="18" charset="0"/>
                </a:rPr>
                <a:t>nio de refer</a:t>
              </a:r>
              <a:r>
                <a:rPr lang="pt-BR" sz="800" i="0">
                  <a:latin typeface="Cambria Math" panose="02040503050406030204" pitchFamily="18" charset="0"/>
                </a:rPr>
                <a:t>ê</a:t>
              </a:r>
              <a:r>
                <a:rPr lang="pt-BR" sz="800" b="0" i="0">
                  <a:latin typeface="Cambria Math" panose="02040503050406030204" pitchFamily="18" charset="0"/>
                </a:rPr>
                <a:t>ncia n</a:t>
              </a:r>
              <a:r>
                <a:rPr lang="pt-BR" sz="800" i="0">
                  <a:latin typeface="Cambria Math" panose="02040503050406030204" pitchFamily="18" charset="0"/>
                </a:rPr>
                <a:t>í</a:t>
              </a:r>
              <a:r>
                <a:rPr lang="pt-BR" sz="800" b="0" i="0">
                  <a:latin typeface="Cambria Math" panose="02040503050406030204" pitchFamily="18" charset="0"/>
                </a:rPr>
                <a:t>vel I)/(Ativos ponderados por risco)</a:t>
              </a:r>
              <a:endParaRPr lang="pt-BR" sz="800">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8</xdr:col>
      <xdr:colOff>135270</xdr:colOff>
      <xdr:row>140</xdr:row>
      <xdr:rowOff>86591</xdr:rowOff>
    </xdr:from>
    <xdr:to>
      <xdr:col>15</xdr:col>
      <xdr:colOff>111552</xdr:colOff>
      <xdr:row>171</xdr:row>
      <xdr:rowOff>33303</xdr:rowOff>
    </xdr:to>
    <mc:AlternateContent xmlns:mc="http://schemas.openxmlformats.org/markup-compatibility/2006" xmlns:a14="http://schemas.microsoft.com/office/drawing/2010/main">
      <mc:Choice Requires="a14">
        <xdr:sp macro="" textlink="">
          <xdr:nvSpPr>
            <xdr:cNvPr id="50" name="Retângulo 9">
              <a:extLst>
                <a:ext uri="{FF2B5EF4-FFF2-40B4-BE49-F238E27FC236}">
                  <a16:creationId xmlns:a16="http://schemas.microsoft.com/office/drawing/2014/main" id="{00000000-0008-0000-1600-000032000000}"/>
                </a:ext>
              </a:extLst>
            </xdr:cNvPr>
            <xdr:cNvSpPr/>
          </xdr:nvSpPr>
          <xdr:spPr>
            <a:xfrm>
              <a:off x="6761357" y="25854707"/>
              <a:ext cx="5774108" cy="56525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b="0" i="0">
                            <a:latin typeface="Cambria Math" panose="02040503050406030204" pitchFamily="18" charset="0"/>
                          </a:rPr>
                          <m:t>Provis</m:t>
                        </m:r>
                        <m:r>
                          <a:rPr lang="pt-BR" sz="800" i="0">
                            <a:latin typeface="Cambria Math" panose="02040503050406030204" pitchFamily="18" charset="0"/>
                          </a:rPr>
                          <m:t>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perdas</m:t>
                        </m:r>
                        <m:r>
                          <a:rPr lang="pt-BR" sz="800" b="0" i="0">
                            <a:latin typeface="Cambria Math" panose="02040503050406030204" pitchFamily="18" charset="0"/>
                          </a:rPr>
                          <m:t> </m:t>
                        </m:r>
                        <m:r>
                          <m:rPr>
                            <m:sty m:val="p"/>
                          </m:rPr>
                          <a:rPr lang="pt-BR" sz="800" b="0" i="0">
                            <a:latin typeface="Cambria Math" panose="02040503050406030204" pitchFamily="18" charset="0"/>
                          </a:rPr>
                          <m:t>esperadas</m:t>
                        </m:r>
                      </m:num>
                      <m:den>
                        <m:r>
                          <m:rPr>
                            <m:sty m:val="p"/>
                          </m:rPr>
                          <a:rPr lang="pt-BR" sz="800" i="0">
                            <a:latin typeface="Cambria Math" panose="02040503050406030204" pitchFamily="18" charset="0"/>
                          </a:rPr>
                          <m:t>NPL</m:t>
                        </m:r>
                        <m:r>
                          <a:rPr lang="pt-BR" sz="800" i="0">
                            <a:latin typeface="Cambria Math" panose="02040503050406030204" pitchFamily="18" charset="0"/>
                          </a:rPr>
                          <m:t>&gt; 90 </m:t>
                        </m:r>
                        <m:r>
                          <m:rPr>
                            <m:sty m:val="p"/>
                          </m:rPr>
                          <a:rPr lang="pt-BR" sz="800" i="0">
                            <a:latin typeface="Cambria Math" panose="02040503050406030204" pitchFamily="18" charset="0"/>
                          </a:rPr>
                          <m:t>dias</m:t>
                        </m:r>
                      </m:den>
                    </m:f>
                  </m:oMath>
                </m:oMathPara>
              </a14:m>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a:rPr lang="pt-BR" sz="800" i="0">
                                <a:latin typeface="Cambria Math" panose="02040503050406030204" pitchFamily="18" charset="0"/>
                              </a:rPr>
                              <m:t> </m:t>
                            </m:r>
                          </m:e>
                          <m:e>
                            <m:r>
                              <m:rPr>
                                <m:sty m:val="p"/>
                              </m:rPr>
                              <a:rPr lang="pt-BR" sz="800" i="0">
                                <a:latin typeface="Cambria Math" panose="02040503050406030204" pitchFamily="18" charset="0"/>
                              </a:rPr>
                              <m:t>Despesa</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pessoal</m:t>
                            </m:r>
                            <m:r>
                              <a:rPr lang="pt-BR" sz="800" i="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administrativas</m:t>
                            </m:r>
                            <m:r>
                              <a:rPr lang="pt-BR" sz="800" b="0" i="0">
                                <a:latin typeface="Cambria Math" panose="02040503050406030204" pitchFamily="18" charset="0"/>
                              </a:rPr>
                              <m:t>+</m:t>
                            </m:r>
                            <m:r>
                              <m:rPr>
                                <m:sty m:val="p"/>
                              </m:rPr>
                              <a:rPr lang="pt-BR" sz="800" b="0" i="0">
                                <a:latin typeface="Cambria Math" panose="02040503050406030204" pitchFamily="18" charset="0"/>
                              </a:rPr>
                              <m:t>Deprecia</m:t>
                            </m:r>
                            <m:r>
                              <a:rPr lang="pt-BR" sz="800" i="0">
                                <a:latin typeface="Cambria Math" panose="02040503050406030204" pitchFamily="18" charset="0"/>
                              </a:rPr>
                              <m:t>çã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e</m:t>
                            </m:r>
                            <m:r>
                              <a:rPr lang="pt-BR" sz="800" b="0" i="0">
                                <a:latin typeface="Cambria Math" panose="02040503050406030204" pitchFamily="18" charset="0"/>
                              </a:rPr>
                              <m:t> </m:t>
                            </m:r>
                            <m:r>
                              <m:rPr>
                                <m:sty m:val="p"/>
                              </m:rPr>
                              <a:rPr lang="pt-BR" sz="800" b="0" i="0">
                                <a:latin typeface="Cambria Math" panose="02040503050406030204" pitchFamily="18" charset="0"/>
                              </a:rPr>
                              <m:t>amortiza</m:t>
                            </m:r>
                            <m:r>
                              <a:rPr lang="pt-BR" sz="800" i="0">
                                <a:latin typeface="Cambria Math" panose="02040503050406030204" pitchFamily="18" charset="0"/>
                              </a:rPr>
                              <m:t>çã</m:t>
                            </m:r>
                            <m:r>
                              <m:rPr>
                                <m:sty m:val="p"/>
                              </m:rPr>
                              <a:rPr lang="pt-BR" sz="800" b="0" i="0">
                                <a:latin typeface="Cambria Math" panose="02040503050406030204" pitchFamily="18" charset="0"/>
                              </a:rPr>
                              <m:t>o</m:t>
                            </m:r>
                          </m:e>
                        </m:eqAr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a:latin typeface="Calibri" panose="020F0502020204030204" pitchFamily="34" charset="0"/>
                                <a:cs typeface="Calibri" panose="020F0502020204030204" pitchFamily="34" charset="0"/>
                              </a:rPr>
                              <m:t> </m:t>
                            </m:r>
                          </m:e>
                        </m:eqArr>
                      </m:den>
                    </m:f>
                    <m:r>
                      <a:rPr lang="pt-BR" sz="800" i="1">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administrativo:</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administrativas</m:t>
                        </m:r>
                        <m:r>
                          <a:rPr lang="pt-BR" sz="800">
                            <a:latin typeface="Cambria Math" panose="02040503050406030204" pitchFamily="18" charset="0"/>
                          </a:rPr>
                          <m:t>+</m:t>
                        </m:r>
                        <m:r>
                          <m:rPr>
                            <m:sty m:val="p"/>
                          </m:rPr>
                          <a:rPr lang="pt-BR" sz="800">
                            <a:latin typeface="Cambria Math" panose="02040503050406030204" pitchFamily="18" charset="0"/>
                          </a:rPr>
                          <m:t>Deprecia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amortiza</m:t>
                        </m:r>
                        <m:r>
                          <a:rPr lang="pt-BR" sz="800">
                            <a:latin typeface="Cambria Math" panose="02040503050406030204" pitchFamily="18" charset="0"/>
                          </a:rPr>
                          <m:t>çã</m:t>
                        </m:r>
                        <m:r>
                          <m:rPr>
                            <m:sty m:val="p"/>
                          </m:rPr>
                          <a:rPr lang="pt-BR" sz="800">
                            <a:latin typeface="Cambria Math" panose="02040503050406030204" pitchFamily="18" charset="0"/>
                          </a:rPr>
                          <m:t>o</m:t>
                        </m: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a:latin typeface="Calibri" panose="020F0502020204030204" pitchFamily="34" charset="0"/>
                                <a:cs typeface="Calibri" panose="020F0502020204030204" pitchFamily="34" charset="0"/>
                              </a:rPr>
                              <m:t> </m:t>
                            </m:r>
                          </m:e>
                        </m:eqAr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de pessoal:</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a:rPr lang="pt-BR" sz="800" i="0">
                                <a:latin typeface="Cambria Math" panose="02040503050406030204" pitchFamily="18" charset="0"/>
                              </a:rPr>
                              <m:t> </m:t>
                            </m:r>
                          </m:e>
                          <m:e>
                            <m:r>
                              <m:rPr>
                                <m:sty m:val="p"/>
                              </m:rPr>
                              <a:rPr lang="pt-BR" sz="800" i="0">
                                <a:latin typeface="Cambria Math" panose="02040503050406030204" pitchFamily="18" charset="0"/>
                              </a:rPr>
                              <m:t>Despesa</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pessoal</m:t>
                            </m:r>
                          </m:e>
                        </m:eqAr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a:latin typeface="Calibri" panose="020F0502020204030204" pitchFamily="34" charset="0"/>
                                <a:cs typeface="Calibri" panose="020F0502020204030204" pitchFamily="34" charset="0"/>
                              </a:rPr>
                              <m:t> </m:t>
                            </m:r>
                          </m:e>
                        </m:eqAr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bruta de despesas de juros: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800" b="0" i="0">
                        <a:latin typeface="Cambria Math" panose="02040503050406030204" pitchFamily="18" charset="0"/>
                        <a:ea typeface="Inter" panose="020B0502030000000004" pitchFamily="34" charset="0"/>
                      </a:rPr>
                      <m:t>ARPAC</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Bruto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Despesas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Juros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Custo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Servir</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líquida de despesas de juros: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800" b="0" i="0">
                        <a:latin typeface="Cambria Math" panose="02040503050406030204" pitchFamily="18" charset="0"/>
                        <a:ea typeface="Inter" panose="020B0502030000000004" pitchFamily="34" charset="0"/>
                      </a:rPr>
                      <m:t>ARPAC</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L</m:t>
                    </m:r>
                    <m:r>
                      <a:rPr lang="pt-BR" sz="800" i="0">
                        <a:latin typeface="Cambria Math" panose="02040503050406030204" pitchFamily="18" charset="0"/>
                        <a:ea typeface="Inter" panose="020B0502030000000004" pitchFamily="34" charset="0"/>
                      </a:rPr>
                      <m:t>í</m:t>
                    </m:r>
                    <m:r>
                      <m:rPr>
                        <m:sty m:val="p"/>
                      </m:rPr>
                      <a:rPr lang="pt-BR" sz="800" b="0" i="0">
                        <a:latin typeface="Cambria Math" panose="02040503050406030204" pitchFamily="18" charset="0"/>
                        <a:ea typeface="Inter" panose="020B0502030000000004" pitchFamily="34" charset="0"/>
                      </a:rPr>
                      <m:t>quido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Despesas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Juros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Custo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Servir</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xdr:txBody>
        </xdr:sp>
      </mc:Choice>
      <mc:Fallback xmlns="">
        <xdr:sp macro="" textlink="">
          <xdr:nvSpPr>
            <xdr:cNvPr id="50" name="Retângulo 9">
              <a:extLst>
                <a:ext uri="{FF2B5EF4-FFF2-40B4-BE49-F238E27FC236}">
                  <a16:creationId xmlns:a16="http://schemas.microsoft.com/office/drawing/2014/main" id="{35CA3697-EE6E-6784-3C77-9E55A4DD6727}"/>
                </a:ext>
              </a:extLst>
            </xdr:cNvPr>
            <xdr:cNvSpPr/>
          </xdr:nvSpPr>
          <xdr:spPr>
            <a:xfrm>
              <a:off x="6761357" y="25854707"/>
              <a:ext cx="5774108" cy="56525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r>
                <a:rPr lang="pt-BR" sz="800" i="0">
                  <a:latin typeface="Cambria Math" panose="02040503050406030204" pitchFamily="18" charset="0"/>
                </a:rPr>
                <a:t>(</a:t>
              </a:r>
              <a:r>
                <a:rPr lang="pt-BR" sz="800" b="0" i="0">
                  <a:latin typeface="Cambria Math" panose="02040503050406030204" pitchFamily="18" charset="0"/>
                </a:rPr>
                <a:t>Provis</a:t>
              </a:r>
              <a:r>
                <a:rPr lang="pt-BR" sz="800" i="0">
                  <a:latin typeface="Cambria Math" panose="02040503050406030204" pitchFamily="18" charset="0"/>
                </a:rPr>
                <a:t>ã</a:t>
              </a:r>
              <a:r>
                <a:rPr lang="pt-BR" sz="800" b="0" i="0">
                  <a:latin typeface="Cambria Math" panose="02040503050406030204" pitchFamily="18" charset="0"/>
                </a:rPr>
                <a:t>o de perdas esperadas)/(</a:t>
              </a:r>
              <a:r>
                <a:rPr lang="pt-BR" sz="800" i="0">
                  <a:latin typeface="Cambria Math" panose="02040503050406030204" pitchFamily="18" charset="0"/>
                </a:rPr>
                <a:t>NPL&gt; 90 dias)</a:t>
              </a:r>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 @Despesa de pessoal+Despesas administrativas</a:t>
              </a:r>
              <a:r>
                <a:rPr lang="pt-BR" sz="800" b="0" i="0">
                  <a:latin typeface="Cambria Math" panose="02040503050406030204" pitchFamily="18" charset="0"/>
                </a:rPr>
                <a:t>+Deprecia</a:t>
              </a:r>
              <a:r>
                <a:rPr lang="pt-BR" sz="800" i="0">
                  <a:latin typeface="Cambria Math" panose="02040503050406030204" pitchFamily="18" charset="0"/>
                </a:rPr>
                <a:t>çã</a:t>
              </a:r>
              <a:r>
                <a:rPr lang="pt-BR" sz="800" b="0" i="0">
                  <a:latin typeface="Cambria Math" panose="02040503050406030204" pitchFamily="18" charset="0"/>
                </a:rPr>
                <a:t>o e amortiza</a:t>
              </a:r>
              <a:r>
                <a:rPr lang="pt-BR" sz="800" i="0">
                  <a:latin typeface="Cambria Math" panose="02040503050406030204" pitchFamily="18" charset="0"/>
                </a:rPr>
                <a:t>çã</a:t>
              </a:r>
              <a:r>
                <a:rPr lang="pt-BR" sz="800" b="0" i="0">
                  <a:latin typeface="Cambria Math" panose="02040503050406030204" pitchFamily="18" charset="0"/>
                </a:rPr>
                <a:t>o)/█(</a:t>
              </a:r>
              <a:r>
                <a:rPr lang="pt-BR" sz="800" i="0">
                  <a:latin typeface="Cambria Math" panose="02040503050406030204" pitchFamily="18" charset="0"/>
                </a:rPr>
                <a:t>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 </a:t>
              </a:r>
              <a:r>
                <a:rPr lang="pt-BR" sz="80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administrativo:</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(Despesas administrativas+Depreciação e amortização)/█(Receita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de pessoal:</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 @Despesa de pessoal)/█(Receita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bruta de despesas de juros:</a:t>
              </a:r>
            </a:p>
            <a:p>
              <a:endParaRPr lang="en-US" sz="800" b="1">
                <a:latin typeface="Calibri" panose="020F0502020204030204" pitchFamily="34" charset="0"/>
                <a:cs typeface="Calibri" panose="020F0502020204030204" pitchFamily="34" charset="0"/>
              </a:endParaRPr>
            </a:p>
            <a:p>
              <a:pPr/>
              <a:r>
                <a:rPr lang="pt-BR" sz="800" b="0" i="0">
                  <a:latin typeface="Cambria Math" panose="02040503050406030204" pitchFamily="18" charset="0"/>
                  <a:ea typeface="Inter" panose="020B0502030000000004" pitchFamily="34" charset="0"/>
                </a:rPr>
                <a:t>ARPAC Bruto de Despesas de Juros −Custo de Servir</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líquida de despesas de juros:</a:t>
              </a:r>
            </a:p>
            <a:p>
              <a:endParaRPr lang="en-US" sz="800" b="1">
                <a:latin typeface="Calibri" panose="020F0502020204030204" pitchFamily="34" charset="0"/>
                <a:cs typeface="Calibri" panose="020F0502020204030204" pitchFamily="34" charset="0"/>
              </a:endParaRPr>
            </a:p>
            <a:p>
              <a:pPr/>
              <a:r>
                <a:rPr lang="pt-BR" sz="800" b="0" i="0">
                  <a:latin typeface="Cambria Math" panose="02040503050406030204" pitchFamily="18" charset="0"/>
                  <a:ea typeface="Inter" panose="020B0502030000000004" pitchFamily="34" charset="0"/>
                </a:rPr>
                <a:t>ARPAC L</a:t>
              </a:r>
              <a:r>
                <a:rPr lang="pt-BR" sz="800" i="0">
                  <a:latin typeface="Cambria Math" panose="02040503050406030204" pitchFamily="18" charset="0"/>
                  <a:ea typeface="Inter" panose="020B0502030000000004" pitchFamily="34" charset="0"/>
                </a:rPr>
                <a:t>í</a:t>
              </a:r>
              <a:r>
                <a:rPr lang="pt-BR" sz="800" b="0" i="0">
                  <a:latin typeface="Cambria Math" panose="02040503050406030204" pitchFamily="18" charset="0"/>
                  <a:ea typeface="Inter" panose="020B0502030000000004" pitchFamily="34" charset="0"/>
                </a:rPr>
                <a:t>quido de Despesas de Juros −Custo de Servir</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177800</xdr:colOff>
      <xdr:row>170</xdr:row>
      <xdr:rowOff>76200</xdr:rowOff>
    </xdr:from>
    <xdr:to>
      <xdr:col>15</xdr:col>
      <xdr:colOff>144745</xdr:colOff>
      <xdr:row>199</xdr:row>
      <xdr:rowOff>79918</xdr:rowOff>
    </xdr:to>
    <mc:AlternateContent xmlns:mc="http://schemas.openxmlformats.org/markup-compatibility/2006" xmlns:a14="http://schemas.microsoft.com/office/drawing/2010/main">
      <mc:Choice Requires="a14">
        <xdr:sp macro="" textlink="">
          <xdr:nvSpPr>
            <xdr:cNvPr id="51" name="Retângulo 9">
              <a:extLst>
                <a:ext uri="{FF2B5EF4-FFF2-40B4-BE49-F238E27FC236}">
                  <a16:creationId xmlns:a16="http://schemas.microsoft.com/office/drawing/2014/main" id="{00000000-0008-0000-1600-000033000000}"/>
                </a:ext>
              </a:extLst>
            </xdr:cNvPr>
            <xdr:cNvSpPr/>
          </xdr:nvSpPr>
          <xdr:spPr>
            <a:xfrm>
              <a:off x="6803887" y="31366055"/>
              <a:ext cx="5764771" cy="534139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NIM 1.0 - Baseado na carteira remunerada + recebíveis de cartão de crédito não remunerados</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m:t>
                        </m:r>
                        <m:r>
                          <m:rPr>
                            <m:sty m:val="p"/>
                          </m:rPr>
                          <a:rPr lang="pt-BR" sz="800">
                            <a:latin typeface="Cambria Math" panose="02040503050406030204" pitchFamily="18" charset="0"/>
                          </a:rPr>
                          <m:t>x</m:t>
                        </m:r>
                        <m:r>
                          <a:rPr lang="pt-BR" sz="800">
                            <a:latin typeface="Cambria Math" panose="02040503050406030204" pitchFamily="18" charset="0"/>
                          </a:rPr>
                          <m:t> 4</m:t>
                        </m:r>
                      </m:num>
                      <m:den>
                        <m:eqArr>
                          <m:eqArrPr>
                            <m:ctrlPr>
                              <a:rPr lang="pt-BR" sz="800" i="1">
                                <a:latin typeface="Cambria Math" panose="02040503050406030204" pitchFamily="18" charset="0"/>
                              </a:rPr>
                            </m:ctrlPr>
                          </m:eqArrPr>
                          <m:e>
                            <m:r>
                              <m:rPr>
                                <m:sty m:val="p"/>
                              </m:rPr>
                              <a:rPr lang="pt-BR" sz="800" i="0">
                                <a:latin typeface="Cambria Math" panose="02040503050406030204" pitchFamily="18" charset="0"/>
                              </a:rPr>
                              <m:t>M</m:t>
                            </m:r>
                            <m:r>
                              <a:rPr lang="pt-BR" sz="800" i="0">
                                <a:latin typeface="Cambria Math" panose="02040503050406030204" pitchFamily="18" charset="0"/>
                              </a:rPr>
                              <m:t>é</m:t>
                            </m:r>
                            <m:r>
                              <m:rPr>
                                <m:sty m:val="p"/>
                              </m:rPr>
                              <a:rPr lang="pt-BR" sz="800" i="0">
                                <a:latin typeface="Cambria Math" panose="02040503050406030204" pitchFamily="18" charset="0"/>
                              </a:rPr>
                              <m:t>dia</m:t>
                            </m:r>
                            <m:r>
                              <a:rPr lang="pt-BR" sz="800" i="0">
                                <a:latin typeface="Cambria Math" panose="02040503050406030204" pitchFamily="18" charset="0"/>
                              </a:rPr>
                              <m:t> </m:t>
                            </m:r>
                            <m:r>
                              <m:rPr>
                                <m:sty m:val="p"/>
                              </m:rPr>
                              <a:rPr lang="pt-BR" sz="800" i="0">
                                <a:latin typeface="Cambria Math" panose="02040503050406030204" pitchFamily="18" charset="0"/>
                              </a:rPr>
                              <m:t>da</m:t>
                            </m:r>
                            <m:r>
                              <a:rPr lang="pt-BR" sz="800" i="0">
                                <a:latin typeface="Cambria Math" panose="02040503050406030204" pitchFamily="18" charset="0"/>
                              </a:rPr>
                              <m:t> </m:t>
                            </m:r>
                            <m:r>
                              <m:rPr>
                                <m:sty m:val="p"/>
                              </m:rPr>
                              <a:rPr lang="pt-BR" sz="800" i="0">
                                <a:latin typeface="Cambria Math" panose="02040503050406030204" pitchFamily="18" charset="0"/>
                              </a:rPr>
                              <m:t>carteira</m:t>
                            </m:r>
                            <m:r>
                              <a:rPr lang="pt-BR" sz="800" i="0">
                                <a:latin typeface="Cambria Math" panose="02040503050406030204" pitchFamily="18" charset="0"/>
                              </a:rPr>
                              <m:t> </m:t>
                            </m:r>
                            <m:r>
                              <m:rPr>
                                <m:sty m:val="p"/>
                              </m:rPr>
                              <a:rPr lang="pt-BR" sz="800" i="0">
                                <a:latin typeface="Cambria Math" panose="02040503050406030204" pitchFamily="18" charset="0"/>
                              </a:rPr>
                              <m:t>remunerada</m:t>
                            </m:r>
                            <m:r>
                              <a:rPr lang="pt-BR" sz="800" i="0">
                                <a:latin typeface="Cambria Math" panose="02040503050406030204" pitchFamily="18" charset="0"/>
                              </a:rPr>
                              <m:t> </m:t>
                            </m:r>
                            <m:r>
                              <m:rPr>
                                <m:sty m:val="p"/>
                              </m:rPr>
                              <a:rPr lang="pt-BR" sz="800" i="0">
                                <a:latin typeface="Cambria Math" panose="02040503050406030204" pitchFamily="18" charset="0"/>
                              </a:rPr>
                              <m:t>dos</m:t>
                            </m:r>
                            <m:r>
                              <a:rPr lang="pt-BR" sz="800" i="0">
                                <a:latin typeface="Cambria Math" panose="02040503050406030204" pitchFamily="18" charset="0"/>
                              </a:rPr>
                              <m:t> ú</m:t>
                            </m:r>
                            <m:r>
                              <m:rPr>
                                <m:sty m:val="p"/>
                              </m:rPr>
                              <a:rPr lang="pt-BR" sz="800" i="0">
                                <a:latin typeface="Cambria Math" panose="02040503050406030204" pitchFamily="18" charset="0"/>
                              </a:rPr>
                              <m:t>ltimos</m:t>
                            </m:r>
                            <m:r>
                              <a:rPr lang="pt-BR" sz="800" i="0">
                                <a:latin typeface="Cambria Math" panose="02040503050406030204" pitchFamily="18" charset="0"/>
                              </a:rPr>
                              <m:t> 2 </m:t>
                            </m:r>
                            <m:r>
                              <m:rPr>
                                <m:sty m:val="p"/>
                              </m:rPr>
                              <a:rPr lang="pt-BR" sz="800" i="0">
                                <a:latin typeface="Cambria Math" panose="02040503050406030204" pitchFamily="18" charset="0"/>
                              </a:rPr>
                              <m:t>trimestres</m:t>
                            </m:r>
                            <m:r>
                              <a:rPr lang="pt-BR" sz="800" i="0">
                                <a:latin typeface="Cambria Math" panose="02040503050406030204" pitchFamily="18" charset="0"/>
                              </a:rPr>
                              <m:t> (</m:t>
                            </m:r>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institui</m:t>
                            </m:r>
                            <m:r>
                              <a:rPr lang="pt-BR" sz="800" i="0">
                                <a:latin typeface="Cambria Math" panose="02040503050406030204" pitchFamily="18" charset="0"/>
                              </a:rPr>
                              <m:t>çõ</m:t>
                            </m:r>
                            <m:r>
                              <m:rPr>
                                <m:sty m:val="p"/>
                              </m:rPr>
                              <a:rPr lang="pt-BR" sz="800" i="0">
                                <a:latin typeface="Cambria Math" panose="02040503050406030204" pitchFamily="18" charset="0"/>
                              </a:rPr>
                              <m:t>es</m:t>
                            </m:r>
                            <m:r>
                              <a:rPr lang="pt-BR" sz="800" i="0">
                                <a:latin typeface="Cambria Math" panose="02040503050406030204" pitchFamily="18" charset="0"/>
                              </a:rPr>
                              <m:t> </m:t>
                            </m:r>
                            <m:r>
                              <m:rPr>
                                <m:sty m:val="p"/>
                              </m:rPr>
                              <a:rPr lang="pt-BR" sz="800" i="0">
                                <a:latin typeface="Cambria Math" panose="02040503050406030204" pitchFamily="18" charset="0"/>
                              </a:rPr>
                              <m:t>financeiras</m:t>
                            </m:r>
                            <m:r>
                              <a:rPr lang="pt-BR" sz="800">
                                <a:latin typeface="Cambria Math" panose="02040503050406030204" pitchFamily="18" charset="0"/>
                              </a:rPr>
                              <m:t>+ </m:t>
                            </m:r>
                            <m:r>
                              <m:rPr>
                                <m:sty m:val="p"/>
                              </m:rPr>
                              <a:rPr lang="pt-BR" sz="800">
                                <a:latin typeface="Cambria Math" panose="02040503050406030204" pitchFamily="18" charset="0"/>
                              </a:rPr>
                              <m:t>Valores</m:t>
                            </m:r>
                            <m:r>
                              <a:rPr lang="pt-BR" sz="800">
                                <a:latin typeface="Cambria Math" panose="02040503050406030204" pitchFamily="18" charset="0"/>
                              </a:rPr>
                              <m:t> </m:t>
                            </m:r>
                            <m:r>
                              <m:rPr>
                                <m:sty m:val="p"/>
                              </m:rPr>
                              <a:rPr lang="pt-BR" sz="800">
                                <a:latin typeface="Cambria Math" panose="02040503050406030204" pitchFamily="18" charset="0"/>
                              </a:rPr>
                              <m:t>Mobili</m:t>
                            </m:r>
                            <m:r>
                              <a:rPr lang="pt-BR" sz="800">
                                <a:latin typeface="Cambria Math" panose="02040503050406030204" pitchFamily="18" charset="0"/>
                              </a:rPr>
                              <m:t>á</m:t>
                            </m:r>
                            <m:r>
                              <m:rPr>
                                <m:sty m:val="p"/>
                              </m:rPr>
                              <a:rPr lang="pt-BR" sz="800">
                                <a:latin typeface="Cambria Math" panose="02040503050406030204" pitchFamily="18" charset="0"/>
                              </a:rPr>
                              <m:t>rios</m:t>
                            </m:r>
                            <m:r>
                              <a:rPr lang="pt-BR" sz="800">
                                <a:latin typeface="Cambria Math" panose="02040503050406030204" pitchFamily="18" charset="0"/>
                              </a:rPr>
                              <m:t> + </m:t>
                            </m:r>
                          </m:e>
                          <m:e>
                            <m:r>
                              <m:rPr>
                                <m:sty m:val="p"/>
                              </m:rPr>
                              <a:rPr lang="pt-BR" sz="800" i="0">
                                <a:latin typeface="Cambria Math" panose="02040503050406030204" pitchFamily="18" charset="0"/>
                              </a:rPr>
                              <m:t>Derivativos</m:t>
                            </m:r>
                            <m:r>
                              <a:rPr lang="pt-BR" sz="800" i="0">
                                <a:latin typeface="Cambria Math" panose="02040503050406030204" pitchFamily="18" charset="0"/>
                              </a:rPr>
                              <m:t> + </m:t>
                            </m:r>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adiantamentos</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b="0" i="0">
                                <a:latin typeface="Cambria Math" panose="02040503050406030204" pitchFamily="18" charset="0"/>
                              </a:rPr>
                              <m:t>)</m:t>
                            </m:r>
                          </m:e>
                        </m:eqArr>
                      </m:den>
                    </m:f>
                    <m:r>
                      <a:rPr lang="pt-BR" sz="800" i="0">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NIM 2.0 - Baseado na carteira remunerada</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m:t>
                        </m:r>
                        <m:r>
                          <m:rPr>
                            <m:sty m:val="p"/>
                          </m:rPr>
                          <a:rPr lang="pt-BR" sz="800">
                            <a:latin typeface="Cambria Math" panose="02040503050406030204" pitchFamily="18" charset="0"/>
                          </a:rPr>
                          <m:t>x</m:t>
                        </m:r>
                        <m:r>
                          <a:rPr lang="pt-BR" sz="800">
                            <a:latin typeface="Cambria Math" panose="02040503050406030204" pitchFamily="18" charset="0"/>
                          </a:rPr>
                          <m:t> 4</m:t>
                        </m:r>
                      </m:num>
                      <m:den>
                        <m:eqArr>
                          <m:eqArrPr>
                            <m:ctrlPr>
                              <a:rPr lang="en-US" sz="800" i="1">
                                <a:latin typeface="Cambria Math" panose="02040503050406030204" pitchFamily="18" charset="0"/>
                              </a:rPr>
                            </m:ctrlPr>
                          </m:eqArrPr>
                          <m:e>
                            <m:r>
                              <m:rPr>
                                <m:nor/>
                              </m:rPr>
                              <a:rPr lang="en-US" sz="800">
                                <a:latin typeface="Calibri" panose="020F0502020204030204" pitchFamily="34" charset="0"/>
                                <a:cs typeface="Calibri" panose="020F0502020204030204" pitchFamily="34" charset="0"/>
                              </a:rPr>
                              <m:t>M</m:t>
                            </m:r>
                            <m:r>
                              <m:rPr>
                                <m:nor/>
                              </m:rPr>
                              <a:rPr lang="en-US" sz="800">
                                <a:latin typeface="Calibri" panose="020F0502020204030204" pitchFamily="34" charset="0"/>
                                <a:cs typeface="Calibri" panose="020F0502020204030204" pitchFamily="34" charset="0"/>
                              </a:rPr>
                              <m:t>é</m:t>
                            </m:r>
                            <m:r>
                              <m:rPr>
                                <m:nor/>
                              </m:rPr>
                              <a:rPr lang="en-US" sz="800">
                                <a:latin typeface="Calibri" panose="020F0502020204030204" pitchFamily="34" charset="0"/>
                                <a:cs typeface="Calibri" panose="020F0502020204030204" pitchFamily="34" charset="0"/>
                              </a:rPr>
                              <m:t>dia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da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carteira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remunerada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dos</m:t>
                            </m:r>
                            <m:r>
                              <m:rPr>
                                <m:nor/>
                              </m:rPr>
                              <a:rPr lang="en-US" sz="800">
                                <a:latin typeface="Calibri" panose="020F0502020204030204" pitchFamily="34" charset="0"/>
                                <a:cs typeface="Calibri" panose="020F0502020204030204" pitchFamily="34" charset="0"/>
                              </a:rPr>
                              <m:t> ú</m:t>
                            </m:r>
                            <m:r>
                              <m:rPr>
                                <m:nor/>
                              </m:rPr>
                              <a:rPr lang="en-US" sz="800">
                                <a:latin typeface="Calibri" panose="020F0502020204030204" pitchFamily="34" charset="0"/>
                                <a:cs typeface="Calibri" panose="020F0502020204030204" pitchFamily="34" charset="0"/>
                              </a:rPr>
                              <m:t>ltimos</m:t>
                            </m:r>
                            <m:r>
                              <m:rPr>
                                <m:nor/>
                              </m:rPr>
                              <a:rPr lang="en-US" sz="800">
                                <a:latin typeface="Calibri" panose="020F0502020204030204" pitchFamily="34" charset="0"/>
                                <a:cs typeface="Calibri" panose="020F0502020204030204" pitchFamily="34" charset="0"/>
                              </a:rPr>
                              <m:t> 2 </m:t>
                            </m:r>
                            <m:r>
                              <m:rPr>
                                <m:nor/>
                              </m:rPr>
                              <a:rPr lang="en-US" sz="800">
                                <a:latin typeface="Calibri" panose="020F0502020204030204" pitchFamily="34" charset="0"/>
                                <a:cs typeface="Calibri" panose="020F0502020204030204" pitchFamily="34" charset="0"/>
                              </a:rPr>
                              <m:t>trimestres</m:t>
                            </m:r>
                            <m:r>
                              <m:rPr>
                                <m:nor/>
                              </m:rPr>
                              <a:rPr lang="en-US" sz="800">
                                <a:latin typeface="Calibri" panose="020F0502020204030204" pitchFamily="34" charset="0"/>
                                <a:cs typeface="Calibri" panose="020F0502020204030204" pitchFamily="34" charset="0"/>
                              </a:rPr>
                              <m:t> – </m:t>
                            </m:r>
                            <m:r>
                              <m:rPr>
                                <m:nor/>
                              </m:rPr>
                              <a:rPr lang="en-US" sz="800">
                                <a:latin typeface="Calibri" panose="020F0502020204030204" pitchFamily="34" charset="0"/>
                                <a:cs typeface="Calibri" panose="020F0502020204030204" pitchFamily="34" charset="0"/>
                              </a:rPr>
                              <m:t>Receb</m:t>
                            </m:r>
                            <m:r>
                              <m:rPr>
                                <m:nor/>
                              </m:rPr>
                              <a:rPr lang="en-US" sz="800">
                                <a:latin typeface="Calibri" panose="020F0502020204030204" pitchFamily="34" charset="0"/>
                                <a:cs typeface="Calibri" panose="020F0502020204030204" pitchFamily="34" charset="0"/>
                              </a:rPr>
                              <m:t>í</m:t>
                            </m:r>
                            <m:r>
                              <m:rPr>
                                <m:nor/>
                              </m:rPr>
                              <a:rPr lang="en-US" sz="800">
                                <a:latin typeface="Calibri" panose="020F0502020204030204" pitchFamily="34" charset="0"/>
                                <a:cs typeface="Calibri" panose="020F0502020204030204" pitchFamily="34" charset="0"/>
                              </a:rPr>
                              <m:t>veis</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cart</m:t>
                            </m:r>
                            <m:r>
                              <m:rPr>
                                <m:nor/>
                              </m:rPr>
                              <a:rPr lang="en-US" sz="800">
                                <a:latin typeface="Calibri" panose="020F0502020204030204" pitchFamily="34" charset="0"/>
                                <a:cs typeface="Calibri" panose="020F0502020204030204" pitchFamily="34" charset="0"/>
                              </a:rPr>
                              <m:t>ã</m:t>
                            </m:r>
                            <m:r>
                              <m:rPr>
                                <m:nor/>
                              </m:rPr>
                              <a:rPr lang="en-US" sz="800">
                                <a:latin typeface="Calibri" panose="020F0502020204030204" pitchFamily="34" charset="0"/>
                                <a:cs typeface="Calibri" panose="020F0502020204030204" pitchFamily="34" charset="0"/>
                              </a:rPr>
                              <m:t>ode</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cr</m:t>
                            </m:r>
                            <m:r>
                              <m:rPr>
                                <m:nor/>
                              </m:rPr>
                              <a:rPr lang="en-US" sz="800">
                                <a:latin typeface="Calibri" panose="020F0502020204030204" pitchFamily="34" charset="0"/>
                                <a:cs typeface="Calibri" panose="020F0502020204030204" pitchFamily="34" charset="0"/>
                              </a:rPr>
                              <m:t>é</m:t>
                            </m:r>
                            <m:r>
                              <m:rPr>
                                <m:nor/>
                              </m:rPr>
                              <a:rPr lang="en-US" sz="800">
                                <a:latin typeface="Calibri" panose="020F0502020204030204" pitchFamily="34" charset="0"/>
                                <a:cs typeface="Calibri" panose="020F0502020204030204" pitchFamily="34" charset="0"/>
                              </a:rPr>
                              <m:t>dito</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n</m:t>
                            </m:r>
                            <m:r>
                              <m:rPr>
                                <m:nor/>
                              </m:rPr>
                              <a:rPr lang="en-US" sz="800">
                                <a:latin typeface="Calibri" panose="020F0502020204030204" pitchFamily="34" charset="0"/>
                                <a:cs typeface="Calibri" panose="020F0502020204030204" pitchFamily="34" charset="0"/>
                              </a:rPr>
                              <m:t>ã</m:t>
                            </m:r>
                            <m:r>
                              <m:rPr>
                                <m:nor/>
                              </m:rPr>
                              <a:rPr lang="en-US" sz="800">
                                <a:latin typeface="Calibri" panose="020F0502020204030204" pitchFamily="34" charset="0"/>
                                <a:cs typeface="Calibri" panose="020F0502020204030204" pitchFamily="34" charset="0"/>
                              </a:rPr>
                              <m:t>o</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remunerados</m:t>
                            </m:r>
                            <m:r>
                              <m:rPr>
                                <m:nor/>
                              </m:rPr>
                              <a:rPr lang="pt-BR" sz="800">
                                <a:latin typeface="Calibri" panose="020F0502020204030204" pitchFamily="34" charset="0"/>
                                <a:cs typeface="Calibri" panose="020F0502020204030204" pitchFamily="34" charset="0"/>
                              </a:rPr>
                              <m:t> </m:t>
                            </m:r>
                          </m:e>
                          <m:e>
                            <m:r>
                              <m:rPr>
                                <m:nor/>
                              </m:rPr>
                              <a:rPr lang="en-US" sz="800">
                                <a:latin typeface="Calibri" panose="020F0502020204030204" pitchFamily="34" charset="0"/>
                                <a:cs typeface="Calibri" panose="020F0502020204030204" pitchFamily="34" charset="0"/>
                              </a:rPr>
                              <m:t>(</m:t>
                            </m:r>
                            <m:r>
                              <m:rPr>
                                <m:nor/>
                              </m:rPr>
                              <a:rPr lang="en-US" sz="800">
                                <a:latin typeface="Calibri" panose="020F0502020204030204" pitchFamily="34" charset="0"/>
                                <a:cs typeface="Calibri" panose="020F0502020204030204" pitchFamily="34" charset="0"/>
                              </a:rPr>
                              <m:t>Empr</m:t>
                            </m:r>
                            <m:r>
                              <m:rPr>
                                <m:nor/>
                              </m:rPr>
                              <a:rPr lang="en-US" sz="800">
                                <a:latin typeface="Calibri" panose="020F0502020204030204" pitchFamily="34" charset="0"/>
                                <a:cs typeface="Calibri" panose="020F0502020204030204" pitchFamily="34" charset="0"/>
                              </a:rPr>
                              <m:t>é</m:t>
                            </m:r>
                            <m:r>
                              <m:rPr>
                                <m:nor/>
                              </m:rPr>
                              <a:rPr lang="en-US" sz="800">
                                <a:latin typeface="Calibri" panose="020F0502020204030204" pitchFamily="34" charset="0"/>
                                <a:cs typeface="Calibri" panose="020F0502020204030204" pitchFamily="34" charset="0"/>
                              </a:rPr>
                              <m:t>stimos</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institui</m:t>
                            </m:r>
                            <m:r>
                              <m:rPr>
                                <m:nor/>
                              </m:rPr>
                              <a:rPr lang="en-US" sz="800">
                                <a:latin typeface="Calibri" panose="020F0502020204030204" pitchFamily="34" charset="0"/>
                                <a:cs typeface="Calibri" panose="020F0502020204030204" pitchFamily="34" charset="0"/>
                              </a:rPr>
                              <m:t>çõ</m:t>
                            </m:r>
                            <m:r>
                              <m:rPr>
                                <m:nor/>
                              </m:rPr>
                              <a:rPr lang="en-US" sz="800">
                                <a:latin typeface="Calibri" panose="020F0502020204030204" pitchFamily="34" charset="0"/>
                                <a:cs typeface="Calibri" panose="020F0502020204030204" pitchFamily="34" charset="0"/>
                              </a:rPr>
                              <m:t>esfinanceiras</m:t>
                            </m:r>
                            <m:r>
                              <m:rPr>
                                <m:nor/>
                              </m:rPr>
                              <a:rPr lang="pt-BR"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Valores</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Mobili</m:t>
                            </m:r>
                            <m:r>
                              <m:rPr>
                                <m:nor/>
                              </m:rPr>
                              <a:rPr lang="en-US" sz="800">
                                <a:latin typeface="Calibri" panose="020F0502020204030204" pitchFamily="34" charset="0"/>
                                <a:cs typeface="Calibri" panose="020F0502020204030204" pitchFamily="34" charset="0"/>
                              </a:rPr>
                              <m:t>á</m:t>
                            </m:r>
                            <m:r>
                              <m:rPr>
                                <m:nor/>
                              </m:rPr>
                              <a:rPr lang="en-US" sz="800">
                                <a:latin typeface="Calibri" panose="020F0502020204030204" pitchFamily="34" charset="0"/>
                                <a:cs typeface="Calibri" panose="020F0502020204030204" pitchFamily="34" charset="0"/>
                              </a:rPr>
                              <m:t>rios</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Derivativos</m:t>
                            </m:r>
                            <m:r>
                              <m:rPr>
                                <m:nor/>
                              </m:rPr>
                              <a:rPr lang="en-US" sz="800">
                                <a:latin typeface="Calibri" panose="020F0502020204030204" pitchFamily="34" charset="0"/>
                                <a:cs typeface="Calibri" panose="020F0502020204030204" pitchFamily="34" charset="0"/>
                              </a:rPr>
                              <m:t> + </m:t>
                            </m:r>
                            <m:r>
                              <m:rPr>
                                <m:nor/>
                              </m:rPr>
                              <a:rPr lang="en-US" sz="800">
                                <a:latin typeface="Calibri" panose="020F0502020204030204" pitchFamily="34" charset="0"/>
                                <a:cs typeface="Calibri" panose="020F0502020204030204" pitchFamily="34" charset="0"/>
                              </a:rPr>
                              <m:t>Empr</m:t>
                            </m:r>
                            <m:r>
                              <m:rPr>
                                <m:nor/>
                              </m:rPr>
                              <a:rPr lang="en-US" sz="800">
                                <a:latin typeface="Calibri" panose="020F0502020204030204" pitchFamily="34" charset="0"/>
                                <a:cs typeface="Calibri" panose="020F0502020204030204" pitchFamily="34" charset="0"/>
                              </a:rPr>
                              <m:t>é</m:t>
                            </m:r>
                            <m:r>
                              <m:rPr>
                                <m:nor/>
                              </m:rPr>
                              <a:rPr lang="en-US" sz="800">
                                <a:latin typeface="Calibri" panose="020F0502020204030204" pitchFamily="34" charset="0"/>
                                <a:cs typeface="Calibri" panose="020F0502020204030204" pitchFamily="34" charset="0"/>
                              </a:rPr>
                              <m:t>stimos</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e</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adiantamentos</m:t>
                            </m:r>
                            <m:r>
                              <m:rPr>
                                <m:nor/>
                              </m:rPr>
                              <a:rPr lang="en-US" sz="800">
                                <a:latin typeface="Calibri" panose="020F0502020204030204" pitchFamily="34" charset="0"/>
                                <a:cs typeface="Calibri" panose="020F0502020204030204" pitchFamily="34" charset="0"/>
                              </a:rPr>
                              <m:t> </m:t>
                            </m:r>
                          </m:e>
                          <m:e>
                            <m:r>
                              <m:rPr>
                                <m:nor/>
                              </m:rPr>
                              <a:rPr lang="en-US" sz="800">
                                <a:latin typeface="Calibri" panose="020F0502020204030204" pitchFamily="34" charset="0"/>
                                <a:cs typeface="Calibri" panose="020F0502020204030204" pitchFamily="34" charset="0"/>
                              </a:rPr>
                              <m:t>a</m:t>
                            </m:r>
                            <m:r>
                              <a:rPr lang="pt-BR" sz="800">
                                <a:latin typeface="Cambria Math" panose="02040503050406030204" pitchFamily="18" charset="0"/>
                              </a:rPr>
                              <m:t> </m:t>
                            </m:r>
                            <m:r>
                              <m:rPr>
                                <m:sty m:val="p"/>
                              </m:rPr>
                              <a:rPr lang="pt-BR" sz="800">
                                <a:latin typeface="Cambria Math" panose="02040503050406030204" pitchFamily="18" charset="0"/>
                              </a:rPr>
                              <m:t>clientes</m:t>
                            </m:r>
                            <m:r>
                              <m:rPr>
                                <m:nor/>
                              </m:rPr>
                              <a:rPr lang="pt-BR"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 </m:t>
                            </m:r>
                            <m:r>
                              <m:rPr>
                                <m:nor/>
                              </m:rPr>
                              <a:rPr lang="pt-BR" sz="800">
                                <a:latin typeface="Calibri" panose="020F0502020204030204" pitchFamily="34" charset="0"/>
                                <a:cs typeface="Calibri" panose="020F0502020204030204" pitchFamily="34" charset="0"/>
                              </a:rPr>
                              <m:t>C</m:t>
                            </m:r>
                            <m:r>
                              <m:rPr>
                                <m:nor/>
                              </m:rPr>
                              <a:rPr lang="en-US" sz="800">
                                <a:latin typeface="Calibri" panose="020F0502020204030204" pitchFamily="34" charset="0"/>
                                <a:cs typeface="Calibri" panose="020F0502020204030204" pitchFamily="34" charset="0"/>
                              </a:rPr>
                              <m:t>arteira</m:t>
                            </m:r>
                            <m:r>
                              <m:rPr>
                                <m:nor/>
                              </m:rPr>
                              <a:rPr lang="en-US" sz="800">
                                <a:latin typeface="Calibri" panose="020F0502020204030204" pitchFamily="34" charset="0"/>
                                <a:cs typeface="Calibri" panose="020F0502020204030204" pitchFamily="34" charset="0"/>
                              </a:rPr>
                              <m:t> à </m:t>
                            </m:r>
                            <m:r>
                              <m:rPr>
                                <m:nor/>
                              </m:rPr>
                              <a:rPr lang="en-US" sz="800">
                                <a:latin typeface="Calibri" panose="020F0502020204030204" pitchFamily="34" charset="0"/>
                                <a:cs typeface="Calibri" panose="020F0502020204030204" pitchFamily="34" charset="0"/>
                              </a:rPr>
                              <m:t>vista</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de</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cart</m:t>
                            </m:r>
                            <m:r>
                              <m:rPr>
                                <m:nor/>
                              </m:rPr>
                              <a:rPr lang="en-US" sz="800">
                                <a:latin typeface="Calibri" panose="020F0502020204030204" pitchFamily="34" charset="0"/>
                                <a:cs typeface="Calibri" panose="020F0502020204030204" pitchFamily="34" charset="0"/>
                              </a:rPr>
                              <m:t>ã</m:t>
                            </m:r>
                            <m:r>
                              <m:rPr>
                                <m:nor/>
                              </m:rPr>
                              <a:rPr lang="en-US" sz="800">
                                <a:latin typeface="Calibri" panose="020F0502020204030204" pitchFamily="34" charset="0"/>
                                <a:cs typeface="Calibri" panose="020F0502020204030204" pitchFamily="34" charset="0"/>
                              </a:rPr>
                              <m:t>o</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de</m:t>
                            </m:r>
                            <m:r>
                              <m:rPr>
                                <m:nor/>
                              </m:rPr>
                              <a:rPr lang="en-US" sz="800">
                                <a:latin typeface="Calibri" panose="020F0502020204030204" pitchFamily="34" charset="0"/>
                                <a:cs typeface="Calibri" panose="020F0502020204030204" pitchFamily="34" charset="0"/>
                              </a:rPr>
                              <m:t> </m:t>
                            </m:r>
                            <m:r>
                              <m:rPr>
                                <m:nor/>
                              </m:rPr>
                              <a:rPr lang="en-US" sz="800">
                                <a:latin typeface="Calibri" panose="020F0502020204030204" pitchFamily="34" charset="0"/>
                                <a:cs typeface="Calibri" panose="020F0502020204030204" pitchFamily="34" charset="0"/>
                              </a:rPr>
                              <m:t>cr</m:t>
                            </m:r>
                            <m:r>
                              <m:rPr>
                                <m:nor/>
                              </m:rPr>
                              <a:rPr lang="en-US" sz="800">
                                <a:latin typeface="Calibri" panose="020F0502020204030204" pitchFamily="34" charset="0"/>
                                <a:cs typeface="Calibri" panose="020F0502020204030204" pitchFamily="34" charset="0"/>
                              </a:rPr>
                              <m:t>é</m:t>
                            </m:r>
                            <m:r>
                              <m:rPr>
                                <m:nor/>
                              </m:rPr>
                              <a:rPr lang="en-US" sz="800">
                                <a:latin typeface="Calibri" panose="020F0502020204030204" pitchFamily="34" charset="0"/>
                                <a:cs typeface="Calibri" panose="020F0502020204030204" pitchFamily="34" charset="0"/>
                              </a:rPr>
                              <m:t>dito</m:t>
                            </m:r>
                            <m:r>
                              <a:rPr lang="pt-BR" sz="800">
                                <a:latin typeface="Cambria Math" panose="02040503050406030204" pitchFamily="18" charset="0"/>
                              </a:rPr>
                              <m:t>)</m:t>
                            </m:r>
                            <m:r>
                              <m:rPr>
                                <m:nor/>
                              </m:rPr>
                              <a:rPr lang="pt-BR" sz="800">
                                <a:latin typeface="Calibri" panose="020F0502020204030204" pitchFamily="34" charset="0"/>
                                <a:cs typeface="Calibri" panose="020F0502020204030204" pitchFamily="34" charset="0"/>
                              </a:rPr>
                              <m:t> </m:t>
                            </m:r>
                          </m:e>
                        </m:eqArr>
                      </m:den>
                    </m:f>
                  </m:oMath>
                </m:oMathPara>
              </a14:m>
              <a:endParaRPr lang="en-US"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15 a 90 dias: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i="0">
                            <a:latin typeface="Cambria Math" panose="02040503050406030204" pitchFamily="18" charset="0"/>
                          </a:rPr>
                          <m:t>Saldo</m:t>
                        </m:r>
                        <m:r>
                          <a:rPr lang="pt-BR" sz="800" i="0">
                            <a:latin typeface="Cambria Math" panose="02040503050406030204" pitchFamily="18" charset="0"/>
                          </a:rPr>
                          <m:t> </m:t>
                        </m:r>
                        <m:r>
                          <m:rPr>
                            <m:sty m:val="p"/>
                          </m:rPr>
                          <a:rPr lang="pt-BR" sz="800" i="0">
                            <a:latin typeface="Cambria Math" panose="02040503050406030204" pitchFamily="18" charset="0"/>
                          </a:rPr>
                          <m:t>vencido</m:t>
                        </m:r>
                        <m:r>
                          <a:rPr lang="pt-BR" sz="800" i="0">
                            <a:latin typeface="Cambria Math" panose="02040503050406030204" pitchFamily="18" charset="0"/>
                          </a:rPr>
                          <m:t> </m:t>
                        </m:r>
                        <m:r>
                          <m:rPr>
                            <m:sty m:val="p"/>
                          </m:rPr>
                          <a:rPr lang="pt-BR" sz="800" b="0" i="0">
                            <a:latin typeface="Cambria Math" panose="02040503050406030204" pitchFamily="18" charset="0"/>
                          </a:rPr>
                          <m:t>entre</m:t>
                        </m:r>
                        <m:r>
                          <a:rPr lang="pt-BR" sz="800" b="0" i="0">
                            <a:latin typeface="Cambria Math" panose="02040503050406030204" pitchFamily="18" charset="0"/>
                          </a:rPr>
                          <m:t> 15 </m:t>
                        </m:r>
                        <m:r>
                          <m:rPr>
                            <m:sty m:val="p"/>
                          </m:rPr>
                          <a:rPr lang="pt-BR" sz="800" b="0" i="0">
                            <a:latin typeface="Cambria Math" panose="02040503050406030204" pitchFamily="18" charset="0"/>
                          </a:rPr>
                          <m:t>e</m:t>
                        </m:r>
                        <m:r>
                          <a:rPr lang="pt-BR" sz="800" b="0" i="0">
                            <a:latin typeface="Cambria Math" panose="02040503050406030204" pitchFamily="18" charset="0"/>
                          </a:rPr>
                          <m:t> 90 </m:t>
                        </m:r>
                        <m:r>
                          <m:rPr>
                            <m:sty m:val="p"/>
                          </m:rPr>
                          <a:rPr lang="pt-BR" sz="800" i="0">
                            <a:latin typeface="Cambria Math" panose="02040503050406030204" pitchFamily="18" charset="0"/>
                          </a:rPr>
                          <m:t>dias</m:t>
                        </m:r>
                      </m:num>
                      <m:den>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i="0">
                            <a:latin typeface="Cambria Math" panose="02040503050406030204" pitchFamily="18" charset="0"/>
                          </a:rPr>
                          <m:t>+</m:t>
                        </m:r>
                        <m:r>
                          <m:rPr>
                            <m:sty m:val="p"/>
                          </m:rPr>
                          <a:rPr lang="pt-BR" sz="800" i="0">
                            <a:latin typeface="Cambria Math" panose="02040503050406030204" pitchFamily="18" charset="0"/>
                          </a:rPr>
                          <m:t>Receb</m:t>
                        </m:r>
                        <m:r>
                          <a:rPr lang="pt-BR" sz="800" i="0">
                            <a:latin typeface="Cambria Math" panose="02040503050406030204" pitchFamily="18" charset="0"/>
                          </a:rPr>
                          <m:t>í</m:t>
                        </m:r>
                        <m:r>
                          <m:rPr>
                            <m:sty m:val="p"/>
                          </m:rPr>
                          <a:rPr lang="pt-BR" sz="800" i="0">
                            <a:latin typeface="Cambria Math" panose="02040503050406030204" pitchFamily="18" charset="0"/>
                          </a:rPr>
                          <m:t>veis</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Cart</m:t>
                        </m:r>
                        <m:r>
                          <a:rPr lang="pt-BR" sz="800" i="0">
                            <a:latin typeface="Cambria Math" panose="02040503050406030204" pitchFamily="18" charset="0"/>
                          </a:rPr>
                          <m:t>ã</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Cr</m:t>
                        </m:r>
                        <m:r>
                          <a:rPr lang="pt-BR" sz="800" i="0">
                            <a:latin typeface="Cambria Math" panose="02040503050406030204" pitchFamily="18" charset="0"/>
                          </a:rPr>
                          <m:t>é</m:t>
                        </m:r>
                        <m:r>
                          <m:rPr>
                            <m:sty m:val="p"/>
                          </m:rPr>
                          <a:rPr lang="pt-BR" sz="800" i="0">
                            <a:latin typeface="Cambria Math" panose="02040503050406030204" pitchFamily="18" charset="0"/>
                          </a:rPr>
                          <m:t>dito</m:t>
                        </m:r>
                      </m:den>
                    </m:f>
                    <m:r>
                      <a:rPr lang="pt-BR" sz="800" b="0" i="1">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&gt; 90 dias: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m:rPr>
                            <m:sty m:val="p"/>
                          </m:rPr>
                          <a:rPr lang="pt-BR" sz="800" i="0">
                            <a:latin typeface="Cambria Math" panose="02040503050406030204" pitchFamily="18" charset="0"/>
                          </a:rPr>
                          <m:t>S</m:t>
                        </m:r>
                        <m:r>
                          <m:rPr>
                            <m:sty m:val="p"/>
                          </m:rPr>
                          <a:rPr lang="pt-BR" sz="800" b="0" i="0">
                            <a:latin typeface="Cambria Math" panose="02040503050406030204" pitchFamily="18" charset="0"/>
                          </a:rPr>
                          <m:t>aldo</m:t>
                        </m:r>
                        <m:r>
                          <a:rPr lang="pt-BR" sz="800" b="0" i="0">
                            <a:latin typeface="Cambria Math" panose="02040503050406030204" pitchFamily="18" charset="0"/>
                          </a:rPr>
                          <m:t> </m:t>
                        </m:r>
                        <m:r>
                          <m:rPr>
                            <m:sty m:val="p"/>
                          </m:rPr>
                          <a:rPr lang="pt-BR" sz="800" b="0" i="0">
                            <a:latin typeface="Cambria Math" panose="02040503050406030204" pitchFamily="18" charset="0"/>
                          </a:rPr>
                          <m:t>vencido</m:t>
                        </m:r>
                        <m:r>
                          <a:rPr lang="pt-BR" sz="800" b="0" i="0">
                            <a:latin typeface="Cambria Math" panose="02040503050406030204" pitchFamily="18" charset="0"/>
                          </a:rPr>
                          <m:t> </m:t>
                        </m:r>
                        <m:r>
                          <m:rPr>
                            <m:sty m:val="p"/>
                          </m:rPr>
                          <a:rPr lang="pt-BR" sz="800" b="0" i="0">
                            <a:latin typeface="Cambria Math" panose="02040503050406030204" pitchFamily="18" charset="0"/>
                          </a:rPr>
                          <m:t>a</m:t>
                        </m:r>
                        <m:r>
                          <a:rPr lang="pt-BR" sz="800" b="0" i="0">
                            <a:latin typeface="Cambria Math" panose="02040503050406030204" pitchFamily="18" charset="0"/>
                          </a:rPr>
                          <m:t> </m:t>
                        </m:r>
                        <m:r>
                          <m:rPr>
                            <m:sty m:val="p"/>
                          </m:rPr>
                          <a:rPr lang="pt-BR" sz="800" b="0" i="0">
                            <a:latin typeface="Cambria Math" panose="02040503050406030204" pitchFamily="18" charset="0"/>
                          </a:rPr>
                          <m:t>mais</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90 </m:t>
                        </m:r>
                        <m:r>
                          <m:rPr>
                            <m:sty m:val="p"/>
                          </m:rPr>
                          <a:rPr lang="pt-BR" sz="800" b="0" i="0">
                            <a:latin typeface="Cambria Math" panose="02040503050406030204" pitchFamily="18" charset="0"/>
                          </a:rPr>
                          <m:t>dias</m:t>
                        </m:r>
                      </m:num>
                      <m:den>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i="0">
                            <a:latin typeface="Cambria Math" panose="02040503050406030204" pitchFamily="18" charset="0"/>
                          </a:rPr>
                          <m:t>+</m:t>
                        </m:r>
                        <m:r>
                          <m:rPr>
                            <m:sty m:val="p"/>
                          </m:rPr>
                          <a:rPr lang="pt-BR" sz="800" i="0">
                            <a:latin typeface="Cambria Math" panose="02040503050406030204" pitchFamily="18" charset="0"/>
                          </a:rPr>
                          <m:t>Receb</m:t>
                        </m:r>
                        <m:r>
                          <a:rPr lang="pt-BR" sz="800" i="0">
                            <a:latin typeface="Cambria Math" panose="02040503050406030204" pitchFamily="18" charset="0"/>
                          </a:rPr>
                          <m:t>í</m:t>
                        </m:r>
                        <m:r>
                          <m:rPr>
                            <m:sty m:val="p"/>
                          </m:rPr>
                          <a:rPr lang="pt-BR" sz="800" i="0">
                            <a:latin typeface="Cambria Math" panose="02040503050406030204" pitchFamily="18" charset="0"/>
                          </a:rPr>
                          <m:t>veis</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Cart</m:t>
                        </m:r>
                        <m:r>
                          <a:rPr lang="pt-BR" sz="800" i="0">
                            <a:latin typeface="Cambria Math" panose="02040503050406030204" pitchFamily="18" charset="0"/>
                          </a:rPr>
                          <m:t>ã</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Cr</m:t>
                        </m:r>
                        <m:r>
                          <a:rPr lang="pt-BR" sz="800" i="0">
                            <a:latin typeface="Cambria Math" panose="02040503050406030204" pitchFamily="18" charset="0"/>
                          </a:rPr>
                          <m:t>é</m:t>
                        </m:r>
                        <m:r>
                          <m:rPr>
                            <m:sty m:val="p"/>
                          </m:rPr>
                          <a:rPr lang="pt-BR" sz="800" i="0">
                            <a:latin typeface="Cambria Math" panose="02040503050406030204" pitchFamily="18" charset="0"/>
                          </a:rPr>
                          <m:t>dito</m:t>
                        </m: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bruta total:</a:t>
              </a:r>
            </a:p>
            <a:p>
              <a:endParaRPr lang="pt-BR" sz="800">
                <a:solidFill>
                  <a:schemeClr val="tx1">
                    <a:lumMod val="85000"/>
                    <a:lumOff val="15000"/>
                  </a:schemeClr>
                </a:solidFill>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ParaPr>
                    <m:jc m:val="center"/>
                  </m:oMathParaPr>
                  <m:oMath xmlns:m="http://schemas.openxmlformats.org/officeDocument/2006/math">
                    <m:r>
                      <m:rPr>
                        <m:sty m:val="p"/>
                      </m:rPr>
                      <a:rPr lang="pt-BR" sz="800" b="0" i="0">
                        <a:latin typeface="Cambria Math" panose="02040503050406030204" pitchFamily="18" charset="0"/>
                        <a:cs typeface="Sora" pitchFamily="2" charset="0"/>
                      </a:rPr>
                      <m:t>Receita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juros</m:t>
                    </m:r>
                    <m:r>
                      <a:rPr lang="pt-BR" sz="800" i="0">
                        <a:latin typeface="Cambria Math" panose="02040503050406030204" pitchFamily="18" charset="0"/>
                        <a:cs typeface="Sora" pitchFamily="2" charset="0"/>
                      </a:rPr>
                      <m:t>+ </m:t>
                    </m:r>
                    <m:d>
                      <m:dPr>
                        <m:ctrlPr>
                          <a:rPr lang="pt-BR" sz="800" i="1">
                            <a:latin typeface="Cambria Math" panose="02040503050406030204" pitchFamily="18" charset="0"/>
                            <a:cs typeface="Sora" pitchFamily="2" charset="0"/>
                          </a:rPr>
                        </m:ctrlPr>
                      </m:dPr>
                      <m:e>
                        <m:r>
                          <m:rPr>
                            <m:sty m:val="p"/>
                          </m:rPr>
                          <a:rPr lang="pt-BR" sz="800" i="0">
                            <a:latin typeface="Cambria Math" panose="02040503050406030204" pitchFamily="18" charset="0"/>
                            <a:cs typeface="Sora" pitchFamily="2" charset="0"/>
                          </a:rPr>
                          <m:t>Receitas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servi</m:t>
                        </m:r>
                        <m:r>
                          <a:rPr lang="pt-BR" sz="800" i="0">
                            <a:latin typeface="Cambria Math" panose="02040503050406030204" pitchFamily="18" charset="0"/>
                            <a:cs typeface="Sora" pitchFamily="2" charset="0"/>
                          </a:rPr>
                          <m:t>ç</m:t>
                        </m:r>
                        <m:r>
                          <m:rPr>
                            <m:sty m:val="p"/>
                          </m:rPr>
                          <a:rPr lang="pt-BR" sz="800" i="0">
                            <a:latin typeface="Cambria Math" panose="02040503050406030204" pitchFamily="18" charset="0"/>
                            <a:cs typeface="Sora" pitchFamily="2" charset="0"/>
                          </a:rPr>
                          <m: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comiss</m:t>
                        </m:r>
                        <m:r>
                          <a:rPr lang="pt-BR" sz="800" i="0">
                            <a:latin typeface="Cambria Math" panose="02040503050406030204" pitchFamily="18" charset="0"/>
                            <a:cs typeface="Sora" pitchFamily="2" charset="0"/>
                          </a:rPr>
                          <m:t>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 </m:t>
                        </m:r>
                        <m:r>
                          <m:rPr>
                            <m:sty m:val="p"/>
                          </m:rPr>
                          <a:rPr lang="pt-BR" sz="800" i="0">
                            <a:latin typeface="Cambria Math" panose="02040503050406030204" pitchFamily="18" charset="0"/>
                            <a:cs typeface="Sora" pitchFamily="2" charset="0"/>
                          </a:rPr>
                          <m:t>despesas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cashback</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Inter</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rewards</m:t>
                        </m:r>
                      </m:e>
                    </m:d>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Resultado</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t</m:t>
                    </m:r>
                    <m:r>
                      <a:rPr lang="pt-BR" sz="800" i="0">
                        <a:latin typeface="Cambria Math" panose="02040503050406030204" pitchFamily="18" charset="0"/>
                        <a:cs typeface="Sora" pitchFamily="2" charset="0"/>
                      </a:rPr>
                      <m:t>í</m:t>
                    </m:r>
                    <m:r>
                      <m:rPr>
                        <m:sty m:val="p"/>
                      </m:rPr>
                      <a:rPr lang="pt-BR" sz="800" i="0">
                        <a:latin typeface="Cambria Math" panose="02040503050406030204" pitchFamily="18" charset="0"/>
                        <a:cs typeface="Sora" pitchFamily="2" charset="0"/>
                      </a:rPr>
                      <m:t>tulos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valores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mobili</m:t>
                    </m:r>
                    <m:r>
                      <a:rPr lang="pt-BR" sz="800" i="0">
                        <a:latin typeface="Cambria Math" panose="02040503050406030204" pitchFamily="18" charset="0"/>
                        <a:cs typeface="Sora" pitchFamily="2" charset="0"/>
                      </a:rPr>
                      <m:t>á</m:t>
                    </m:r>
                    <m:r>
                      <m:rPr>
                        <m:sty m:val="p"/>
                      </m:rPr>
                      <a:rPr lang="pt-BR" sz="800" i="0">
                        <a:latin typeface="Cambria Math" panose="02040503050406030204" pitchFamily="18" charset="0"/>
                        <a:cs typeface="Sora" pitchFamily="2" charset="0"/>
                      </a:rPr>
                      <m:t>rios</m:t>
                    </m:r>
                    <m:r>
                      <a:rPr lang="pt-BR" sz="80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derivativos</m:t>
                    </m:r>
                    <m:r>
                      <a:rPr lang="pt-BR" sz="800" i="0">
                        <a:latin typeface="Cambria Math" panose="02040503050406030204" pitchFamily="18" charset="0"/>
                        <a:cs typeface="Sora" pitchFamily="2" charset="0"/>
                      </a:rPr>
                      <m:t> + </m:t>
                    </m:r>
                    <m:r>
                      <m:rPr>
                        <m:sty m:val="p"/>
                      </m:rPr>
                      <a:rPr lang="pt-BR" sz="800" i="0">
                        <a:latin typeface="Cambria Math" panose="02040503050406030204" pitchFamily="18" charset="0"/>
                        <a:cs typeface="Sora" pitchFamily="2" charset="0"/>
                      </a:rPr>
                      <m:t>Outras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receitas</m:t>
                    </m:r>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de floating:</a:t>
              </a:r>
            </a:p>
            <a:p>
              <a:r>
                <a:rPr lang="pt-BR" sz="800">
                  <a:latin typeface="Calibri" panose="020F0502020204030204" pitchFamily="34" charset="0"/>
                  <a:ea typeface="Inter" panose="020B0502030000000004" pitchFamily="34" charset="0"/>
                  <a:cs typeface="Calibri" panose="020F0502020204030204" pitchFamily="34" charset="0"/>
                </a:rPr>
                <a:t>A receita de floating é um cálculo gerencial e se dá pela multiplicação do saldo de depósitos à vista (líquido de compulsório) por 100% da taxa CDI.</a:t>
              </a:r>
            </a:p>
            <a:p>
              <a:endParaRPr lang="pt-BR"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xdr:txBody>
        </xdr:sp>
      </mc:Choice>
      <mc:Fallback xmlns="">
        <xdr:sp macro="" textlink="">
          <xdr:nvSpPr>
            <xdr:cNvPr id="51" name="Retângulo 9">
              <a:extLst>
                <a:ext uri="{FF2B5EF4-FFF2-40B4-BE49-F238E27FC236}">
                  <a16:creationId xmlns:a16="http://schemas.microsoft.com/office/drawing/2014/main" id="{A0707A7C-D8EB-26A2-0525-185CDA121C9A}"/>
                </a:ext>
              </a:extLst>
            </xdr:cNvPr>
            <xdr:cNvSpPr/>
          </xdr:nvSpPr>
          <xdr:spPr>
            <a:xfrm>
              <a:off x="6803887" y="31366055"/>
              <a:ext cx="5764771" cy="534139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NIM 1.0 - Baseado na carteira remunerada + recebíveis de cartão de crédito não remunerados</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(Resultado líquido de juros x 4)/█(Média da carteira remunerada dos últimos 2 trimestres (Empréstimos a instituições financeiras+ Valores Mobiliários + @Derivativos + Empréstimos e adiantamentos a clientes</a:t>
              </a:r>
              <a:r>
                <a:rPr lang="pt-BR" sz="800" b="0" i="0">
                  <a:latin typeface="Cambria Math" panose="02040503050406030204" pitchFamily="18" charset="0"/>
                </a:rPr>
                <a:t>)) </a:t>
              </a:r>
              <a:r>
                <a:rPr lang="pt-BR" sz="80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NIM 2.0 - Baseado na carteira remunerada</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(Resultado líquido de juros x 4)/</a:t>
              </a:r>
              <a:r>
                <a:rPr lang="en-US" sz="800" i="0">
                  <a:latin typeface="Cambria Math" panose="02040503050406030204" pitchFamily="18" charset="0"/>
                </a:rPr>
                <a:t>█("</a:t>
              </a:r>
              <a:r>
                <a:rPr lang="en-US" sz="800" i="0">
                  <a:latin typeface="Calibri" panose="020F0502020204030204" pitchFamily="34" charset="0"/>
                  <a:cs typeface="Calibri" panose="020F0502020204030204" pitchFamily="34" charset="0"/>
                </a:rPr>
                <a:t>Média da carteira remunerada dos últimos 2 trimestres – Recebíveis cartãode crédito não remunerados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Calibri" panose="020F0502020204030204" pitchFamily="34" charset="0"/>
                </a:rPr>
                <a:t>"</a:t>
              </a:r>
              <a:r>
                <a:rPr lang="en-US" sz="800" i="0">
                  <a:latin typeface="Calibri" panose="020F0502020204030204" pitchFamily="34" charset="0"/>
                  <a:cs typeface="Calibri" panose="020F0502020204030204" pitchFamily="34" charset="0"/>
                </a:rPr>
                <a:t>(Empréstimos a instituiçõesfinanceiras</a:t>
              </a:r>
              <a:r>
                <a:rPr lang="pt-BR" sz="800" i="0">
                  <a:latin typeface="Calibri" panose="020F0502020204030204" pitchFamily="34" charset="0"/>
                  <a:cs typeface="Calibri" panose="020F0502020204030204" pitchFamily="34" charset="0"/>
                </a:rPr>
                <a:t> </a:t>
              </a:r>
              <a:r>
                <a:rPr lang="en-US" sz="800" i="0">
                  <a:latin typeface="Calibri" panose="020F0502020204030204" pitchFamily="34" charset="0"/>
                  <a:cs typeface="Calibri" panose="020F0502020204030204" pitchFamily="34" charset="0"/>
                </a:rPr>
                <a:t>+ Valores Mobiliários+ Derivativos + Empréstimos e adiantamentos </a:t>
              </a:r>
              <a:r>
                <a:rPr lang="en-US" sz="800" i="0">
                  <a:latin typeface="Cambria Math" panose="02040503050406030204" pitchFamily="18" charset="0"/>
                  <a:cs typeface="Calibri" panose="020F0502020204030204" pitchFamily="34" charset="0"/>
                </a:rPr>
                <a:t>" @"</a:t>
              </a:r>
              <a:r>
                <a:rPr lang="en-US" sz="800" i="0">
                  <a:latin typeface="Calibri" panose="020F0502020204030204" pitchFamily="34" charset="0"/>
                  <a:cs typeface="Calibri" panose="020F0502020204030204" pitchFamily="34" charset="0"/>
                </a:rPr>
                <a:t>a</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rPr>
                <a:t> clientes"</a:t>
              </a:r>
              <a:r>
                <a:rPr lang="pt-BR" sz="800" i="0">
                  <a:latin typeface="Calibri" panose="020F0502020204030204" pitchFamily="34" charset="0"/>
                  <a:cs typeface="Calibri" panose="020F0502020204030204" pitchFamily="34" charset="0"/>
                </a:rPr>
                <a:t> </a:t>
              </a:r>
              <a:r>
                <a:rPr lang="en-US" sz="800" i="0">
                  <a:latin typeface="Calibri" panose="020F0502020204030204" pitchFamily="34" charset="0"/>
                  <a:cs typeface="Calibri" panose="020F0502020204030204" pitchFamily="34" charset="0"/>
                </a:rPr>
                <a:t>– </a:t>
              </a:r>
              <a:r>
                <a:rPr lang="pt-BR" sz="800" i="0">
                  <a:latin typeface="Calibri" panose="020F0502020204030204" pitchFamily="34" charset="0"/>
                  <a:cs typeface="Calibri" panose="020F0502020204030204" pitchFamily="34" charset="0"/>
                </a:rPr>
                <a:t>C</a:t>
              </a:r>
              <a:r>
                <a:rPr lang="en-US" sz="800" i="0">
                  <a:latin typeface="Calibri" panose="020F0502020204030204" pitchFamily="34" charset="0"/>
                  <a:cs typeface="Calibri" panose="020F0502020204030204" pitchFamily="34" charset="0"/>
                </a:rPr>
                <a:t>arteira à vista de cartão de crédito</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rPr>
                <a:t>)"</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15 a 90 dias:</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vencido </a:t>
              </a:r>
              <a:r>
                <a:rPr lang="pt-BR" sz="800" b="0" i="0">
                  <a:latin typeface="Cambria Math" panose="02040503050406030204" pitchFamily="18" charset="0"/>
                </a:rPr>
                <a:t>entre 15 e 90 </a:t>
              </a:r>
              <a:r>
                <a:rPr lang="pt-BR" sz="800" i="0">
                  <a:latin typeface="Cambria Math" panose="02040503050406030204" pitchFamily="18" charset="0"/>
                </a:rPr>
                <a:t>dias)/(Empréstimos e adiantamento a clientes+Recebíveis de Cartão de Crédito)</a:t>
              </a:r>
              <a:r>
                <a:rPr lang="pt-BR" sz="800" b="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&gt; 90 dias:</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t>
              </a:r>
              <a:r>
                <a:rPr lang="pt-BR" sz="800" b="0" i="0">
                  <a:latin typeface="Cambria Math" panose="02040503050406030204" pitchFamily="18" charset="0"/>
                </a:rPr>
                <a:t>aldo vencido a mais de 90 dias)/(</a:t>
              </a:r>
              <a:r>
                <a:rPr lang="pt-BR" sz="800" i="0">
                  <a:latin typeface="Cambria Math" panose="02040503050406030204" pitchFamily="18" charset="0"/>
                </a:rPr>
                <a:t>Empréstimos e adiantamento a clientes+Recebíveis de Cartão de Crédito)</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bruta total:</a:t>
              </a:r>
            </a:p>
            <a:p>
              <a:endParaRPr lang="pt-BR" sz="800">
                <a:solidFill>
                  <a:schemeClr val="tx1">
                    <a:lumMod val="85000"/>
                    <a:lumOff val="15000"/>
                  </a:schemeClr>
                </a:solidFill>
                <a:latin typeface="Calibri" panose="020F0502020204030204" pitchFamily="34" charset="0"/>
                <a:ea typeface="Inter" panose="020B0502030000000004" pitchFamily="34" charset="0"/>
                <a:cs typeface="Calibri" panose="020F0502020204030204" pitchFamily="34" charset="0"/>
              </a:endParaRPr>
            </a:p>
            <a:p>
              <a:pPr/>
              <a:r>
                <a:rPr lang="pt-BR" sz="800" b="0" i="0">
                  <a:latin typeface="Cambria Math" panose="02040503050406030204" pitchFamily="18" charset="0"/>
                  <a:cs typeface="Sora" pitchFamily="2" charset="0"/>
                </a:rPr>
                <a:t>Receita de juros</a:t>
              </a:r>
              <a:r>
                <a:rPr lang="pt-BR" sz="800" i="0">
                  <a:latin typeface="Cambria Math" panose="02040503050406030204" pitchFamily="18" charset="0"/>
                  <a:cs typeface="Sora" pitchFamily="2" charset="0"/>
                </a:rPr>
                <a:t>+ (Receitas de serviços e comissões – despesas com cashback</a:t>
              </a:r>
              <a:r>
                <a:rPr lang="pt-BR" sz="800" b="0" i="0">
                  <a:latin typeface="Cambria Math" panose="02040503050406030204" pitchFamily="18" charset="0"/>
                  <a:cs typeface="Sora" pitchFamily="2" charset="0"/>
                </a:rPr>
                <a:t> −Inter rewards)</a:t>
              </a:r>
              <a:r>
                <a:rPr lang="pt-BR" sz="800" i="0">
                  <a:latin typeface="Cambria Math" panose="02040503050406030204" pitchFamily="18" charset="0"/>
                  <a:cs typeface="Sora" pitchFamily="2" charset="0"/>
                </a:rPr>
                <a:t>+ Resultado de títulos e valores mobiliários </a:t>
              </a:r>
              <a:r>
                <a:rPr lang="pt-BR" sz="800" b="0" i="0">
                  <a:latin typeface="Cambria Math" panose="02040503050406030204" pitchFamily="18" charset="0"/>
                  <a:cs typeface="Sora" pitchFamily="2" charset="0"/>
                </a:rPr>
                <a:t>e </a:t>
              </a:r>
              <a:r>
                <a:rPr lang="pt-BR" sz="800" i="0">
                  <a:latin typeface="Cambria Math" panose="02040503050406030204" pitchFamily="18" charset="0"/>
                  <a:cs typeface="Sora" pitchFamily="2" charset="0"/>
                </a:rPr>
                <a:t>derivativos + Outras receitas</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de floating:</a:t>
              </a:r>
            </a:p>
            <a:p>
              <a:r>
                <a:rPr lang="pt-BR" sz="800">
                  <a:latin typeface="Calibri" panose="020F0502020204030204" pitchFamily="34" charset="0"/>
                  <a:ea typeface="Inter" panose="020B0502030000000004" pitchFamily="34" charset="0"/>
                  <a:cs typeface="Calibri" panose="020F0502020204030204" pitchFamily="34" charset="0"/>
                </a:rPr>
                <a:t>A receita de floating é um cálculo gerencial e se dá pela multiplicação do saldo de depósitos à vista (líquido de compulsório) por 100% da taxa CDI.</a:t>
              </a:r>
            </a:p>
            <a:p>
              <a:endParaRPr lang="pt-BR"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218784</xdr:colOff>
      <xdr:row>200</xdr:row>
      <xdr:rowOff>0</xdr:rowOff>
    </xdr:from>
    <xdr:to>
      <xdr:col>15</xdr:col>
      <xdr:colOff>186984</xdr:colOff>
      <xdr:row>232</xdr:row>
      <xdr:rowOff>98324</xdr:rowOff>
    </xdr:to>
    <mc:AlternateContent xmlns:mc="http://schemas.openxmlformats.org/markup-compatibility/2006" xmlns:a14="http://schemas.microsoft.com/office/drawing/2010/main">
      <mc:Choice Requires="a14">
        <xdr:sp macro="" textlink="">
          <xdr:nvSpPr>
            <xdr:cNvPr id="52" name="Retângulo 9">
              <a:extLst>
                <a:ext uri="{FF2B5EF4-FFF2-40B4-BE49-F238E27FC236}">
                  <a16:creationId xmlns:a16="http://schemas.microsoft.com/office/drawing/2014/main" id="{00000000-0008-0000-1600-000034000000}"/>
                </a:ext>
              </a:extLst>
            </xdr:cNvPr>
            <xdr:cNvSpPr/>
          </xdr:nvSpPr>
          <xdr:spPr>
            <a:xfrm>
              <a:off x="6822784" y="38100000"/>
              <a:ext cx="5746700" cy="6194324"/>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Receita de serviços de cartão:</a:t>
              </a:r>
            </a:p>
            <a:p>
              <a:pPr algn="just"/>
              <a:r>
                <a:rPr lang="en-US" sz="800">
                  <a:latin typeface="Calibri" panose="020F0502020204030204" pitchFamily="34" charset="0"/>
                  <a:ea typeface="Inter" panose="020B0502030000000004" pitchFamily="34" charset="0"/>
                  <a:cs typeface="Calibri" panose="020F0502020204030204" pitchFamily="34" charset="0"/>
                </a:rPr>
                <a:t>É parte das linhas “Receita de serviços e comissões” e “Outras receitas” da Demonstração de Resultado IFRS. </a:t>
              </a:r>
            </a:p>
            <a:p>
              <a:pPr algn="just"/>
              <a:endParaRPr lang="en-US"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ParaPr>
                    <m:jc m:val="centerGroup"/>
                  </m:oMathParaPr>
                  <m:oMath xmlns:m="http://schemas.openxmlformats.org/officeDocument/2006/math">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sultado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quido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Resultado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quido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serviços: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juros: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14:m>
                <m:oMath xmlns:m="http://schemas.openxmlformats.org/officeDocument/2006/math">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Despesas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Resultado</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tulos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Valores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Mobili</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á</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rios</m:t>
                  </m:r>
                </m:oMath>
              </a14:m>
              <a:r>
                <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 e Derivativos</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Retorno sobre patrimônio líquido médio (ROE): </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ParaPr>
                    <m:jc m:val="centerGroup"/>
                  </m:oMathParaPr>
                  <m:oMath xmlns:m="http://schemas.openxmlformats.org/officeDocument/2006/math">
                    <m:f>
                      <m:fPr>
                        <m:ctrlPr>
                          <a:rPr lang="pt-BR" sz="800" i="1">
                            <a:latin typeface="Cambria Math" panose="02040503050406030204" pitchFamily="18" charset="0"/>
                          </a:rPr>
                        </m:ctrlPr>
                      </m:fPr>
                      <m:num>
                        <m:r>
                          <a:rPr lang="pt-BR" sz="800" i="0">
                            <a:latin typeface="Cambria Math" panose="02040503050406030204" pitchFamily="18" charset="0"/>
                          </a:rPr>
                          <m:t>(</m:t>
                        </m:r>
                        <m:r>
                          <m:rPr>
                            <m:sty m:val="p"/>
                          </m:rPr>
                          <a:rPr lang="pt-BR" sz="800" i="0">
                            <a:latin typeface="Cambria Math" panose="02040503050406030204" pitchFamily="18" charset="0"/>
                          </a:rPr>
                          <m:t>Lucro</m:t>
                        </m:r>
                        <m:r>
                          <a:rPr lang="pt-BR" sz="800" i="0">
                            <a:latin typeface="Cambria Math" panose="02040503050406030204" pitchFamily="18" charset="0"/>
                          </a:rPr>
                          <m:t> /</m:t>
                        </m:r>
                        <m:d>
                          <m:dPr>
                            <m:ctrlPr>
                              <a:rPr lang="pt-BR" sz="800" i="1">
                                <a:latin typeface="Cambria Math" panose="02040503050406030204" pitchFamily="18" charset="0"/>
                              </a:rPr>
                            </m:ctrlPr>
                          </m:dPr>
                          <m:e>
                            <m:r>
                              <m:rPr>
                                <m:sty m:val="p"/>
                              </m:rPr>
                              <a:rPr lang="pt-BR" sz="800" i="0">
                                <a:latin typeface="Cambria Math" panose="02040503050406030204" pitchFamily="18" charset="0"/>
                              </a:rPr>
                              <m:t>perda</m:t>
                            </m:r>
                          </m:e>
                        </m:d>
                        <m:r>
                          <a:rPr lang="pt-BR" sz="800" i="0">
                            <a:latin typeface="Cambria Math" panose="02040503050406030204" pitchFamily="18" charset="0"/>
                          </a:rPr>
                          <m:t> </m:t>
                        </m:r>
                        <m:r>
                          <m:rPr>
                            <m:sty m:val="p"/>
                          </m:rPr>
                          <a:rPr lang="pt-BR" sz="800" i="0">
                            <a:latin typeface="Cambria Math" panose="02040503050406030204" pitchFamily="18" charset="0"/>
                          </a:rPr>
                          <m:t>para</m:t>
                        </m:r>
                        <m:r>
                          <a:rPr lang="pt-BR" sz="800" i="0">
                            <a:latin typeface="Cambria Math" panose="02040503050406030204" pitchFamily="18" charset="0"/>
                          </a:rPr>
                          <m:t> </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ano</m:t>
                        </m:r>
                        <m:r>
                          <a:rPr lang="pt-BR" sz="800" i="0">
                            <a:latin typeface="Cambria Math" panose="02040503050406030204" pitchFamily="18" charset="0"/>
                          </a:rPr>
                          <m:t>) × 4</m:t>
                        </m:r>
                      </m:num>
                      <m:den>
                        <m:r>
                          <m:rPr>
                            <m:sty m:val="p"/>
                          </m:rPr>
                          <a:rPr lang="pt-BR" sz="800" i="0">
                            <a:latin typeface="Cambria Math" panose="02040503050406030204" pitchFamily="18" charset="0"/>
                          </a:rPr>
                          <m:t>M</m:t>
                        </m:r>
                        <m:r>
                          <a:rPr lang="pt-BR" sz="800" i="0">
                            <a:latin typeface="Cambria Math" panose="02040503050406030204" pitchFamily="18" charset="0"/>
                          </a:rPr>
                          <m:t>é</m:t>
                        </m:r>
                        <m:r>
                          <m:rPr>
                            <m:sty m:val="p"/>
                          </m:rPr>
                          <a:rPr lang="pt-BR" sz="800" i="0">
                            <a:latin typeface="Cambria Math" panose="02040503050406030204" pitchFamily="18" charset="0"/>
                          </a:rPr>
                          <m:t>dia</m:t>
                        </m:r>
                        <m:r>
                          <a:rPr lang="pt-BR" sz="800" i="0">
                            <a:latin typeface="Cambria Math" panose="02040503050406030204" pitchFamily="18" charset="0"/>
                          </a:rPr>
                          <m:t> </m:t>
                        </m:r>
                        <m:r>
                          <m:rPr>
                            <m:sty m:val="p"/>
                          </m:rPr>
                          <a:rPr lang="pt-BR" sz="800" i="0">
                            <a:latin typeface="Cambria Math" panose="02040503050406030204" pitchFamily="18" charset="0"/>
                          </a:rPr>
                          <m:t>do</m:t>
                        </m:r>
                        <m:r>
                          <a:rPr lang="pt-BR" sz="800" i="0">
                            <a:latin typeface="Cambria Math" panose="02040503050406030204" pitchFamily="18" charset="0"/>
                          </a:rPr>
                          <m:t> </m:t>
                        </m:r>
                        <m:r>
                          <m:rPr>
                            <m:sty m:val="p"/>
                          </m:rPr>
                          <a:rPr lang="pt-BR" sz="800" i="0">
                            <a:latin typeface="Cambria Math" panose="02040503050406030204" pitchFamily="18" charset="0"/>
                          </a:rPr>
                          <m:t>patrim</m:t>
                        </m:r>
                        <m:r>
                          <a:rPr lang="pt-BR" sz="800" i="0">
                            <a:latin typeface="Cambria Math" panose="02040503050406030204" pitchFamily="18" charset="0"/>
                          </a:rPr>
                          <m:t>ô</m:t>
                        </m:r>
                        <m:r>
                          <m:rPr>
                            <m:sty m:val="p"/>
                          </m:rPr>
                          <a:rPr lang="pt-BR" sz="800" i="0">
                            <a:latin typeface="Cambria Math" panose="02040503050406030204" pitchFamily="18" charset="0"/>
                          </a:rPr>
                          <m:t>nio</m:t>
                        </m:r>
                        <m:r>
                          <a:rPr lang="pt-BR" sz="800" i="0">
                            <a:latin typeface="Cambria Math" panose="02040503050406030204" pitchFamily="18" charset="0"/>
                          </a:rPr>
                          <m:t> </m:t>
                        </m:r>
                        <m:r>
                          <m:rPr>
                            <m:sty m:val="p"/>
                          </m:rPr>
                          <a:rPr lang="pt-BR" sz="800" i="0">
                            <a:latin typeface="Cambria Math" panose="02040503050406030204" pitchFamily="18" charset="0"/>
                          </a:rPr>
                          <m:t>l</m:t>
                        </m:r>
                        <m:r>
                          <a:rPr lang="pt-BR" sz="800" i="0">
                            <a:latin typeface="Cambria Math" panose="02040503050406030204" pitchFamily="18" charset="0"/>
                          </a:rPr>
                          <m:t>í</m:t>
                        </m:r>
                        <m:r>
                          <m:rPr>
                            <m:sty m:val="p"/>
                          </m:rPr>
                          <a:rPr lang="pt-BR" sz="800" i="0">
                            <a:latin typeface="Cambria Math" panose="02040503050406030204" pitchFamily="18" charset="0"/>
                          </a:rPr>
                          <m:t>quido</m:t>
                        </m:r>
                        <m:r>
                          <a:rPr lang="pt-BR" sz="800" i="0">
                            <a:latin typeface="Cambria Math" panose="02040503050406030204" pitchFamily="18" charset="0"/>
                          </a:rPr>
                          <m:t> </m:t>
                        </m:r>
                        <m:r>
                          <m:rPr>
                            <m:sty m:val="p"/>
                          </m:rPr>
                          <a:rPr lang="pt-BR" sz="800" i="0">
                            <a:latin typeface="Cambria Math" panose="02040503050406030204" pitchFamily="18" charset="0"/>
                          </a:rPr>
                          <m:t>dos</m:t>
                        </m:r>
                        <m:r>
                          <a:rPr lang="pt-BR" sz="800" i="0">
                            <a:latin typeface="Cambria Math" panose="02040503050406030204" pitchFamily="18" charset="0"/>
                          </a:rPr>
                          <m:t> ú</m:t>
                        </m:r>
                        <m:r>
                          <m:rPr>
                            <m:sty m:val="p"/>
                          </m:rPr>
                          <a:rPr lang="pt-BR" sz="800" i="0">
                            <a:latin typeface="Cambria Math" panose="02040503050406030204" pitchFamily="18" charset="0"/>
                          </a:rPr>
                          <m:t>ltimos</m:t>
                        </m:r>
                        <m:r>
                          <a:rPr lang="pt-BR" sz="800" i="0">
                            <a:latin typeface="Cambria Math" panose="02040503050406030204" pitchFamily="18" charset="0"/>
                          </a:rPr>
                          <m:t> 2 </m:t>
                        </m:r>
                        <m:r>
                          <m:rPr>
                            <m:sty m:val="p"/>
                          </m:rPr>
                          <a:rPr lang="pt-BR" sz="800" i="0">
                            <a:latin typeface="Cambria Math" panose="02040503050406030204" pitchFamily="18" charset="0"/>
                          </a:rPr>
                          <m:t>trimestres</m:t>
                        </m:r>
                        <m:r>
                          <a:rPr lang="pt-BR" sz="800" i="0">
                            <a:latin typeface="Cambria Math" panose="02040503050406030204" pitchFamily="18" charset="0"/>
                          </a:rPr>
                          <m:t> </m:t>
                        </m:r>
                      </m:den>
                    </m:f>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ea typeface="Cambria Math" panose="02040503050406030204" pitchFamily="18" charset="0"/>
                  <a:cs typeface="Calibri" panose="020F0502020204030204" pitchFamily="34" charset="0"/>
                </a:rPr>
                <a:t>SG&amp;A:</a:t>
              </a:r>
            </a:p>
            <a:p>
              <a:endParaRPr lang="en-US" sz="800" b="1" i="0">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pt-BR" sz="800" b="0" i="0">
                      <a:latin typeface="Cambria Math" panose="02040503050406030204" pitchFamily="18" charset="0"/>
                      <a:ea typeface="Cambria Math" panose="02040503050406030204" pitchFamily="18" charset="0"/>
                      <a:cs typeface="Sora" pitchFamily="2" charset="0"/>
                    </a:rPr>
                    <m:t>Despesas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Administrativas</m:t>
                  </m:r>
                  <m:r>
                    <a:rPr lang="pt-BR" sz="800" b="0" i="0">
                      <a:latin typeface="Cambria Math" panose="02040503050406030204" pitchFamily="18" charset="0"/>
                      <a:ea typeface="Cambria Math" panose="02040503050406030204" pitchFamily="18" charset="0"/>
                      <a:cs typeface="Sora" pitchFamily="2" charset="0"/>
                    </a:rPr>
                    <m:t> </m:t>
                  </m:r>
                </m:oMath>
              </a14:m>
              <a:r>
                <a:rPr lang="en-US" sz="800">
                  <a:latin typeface="Calibri" panose="020F0502020204030204" pitchFamily="34" charset="0"/>
                  <a:ea typeface="Cambria Math" panose="02040503050406030204" pitchFamily="18" charset="0"/>
                  <a:cs typeface="Calibri" panose="020F0502020204030204" pitchFamily="34" charset="0"/>
                </a:rPr>
                <a:t>+ Despesa de Pessoal + Depreciação e Amortização</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Taxas anualizadas:</a:t>
              </a:r>
            </a:p>
            <a:p>
              <a:pPr algn="just"/>
              <a:r>
                <a:rPr lang="en-US" sz="800">
                  <a:latin typeface="Calibri" panose="020F0502020204030204" pitchFamily="34" charset="0"/>
                  <a:ea typeface="Inter" panose="020B0502030000000004" pitchFamily="34" charset="0"/>
                  <a:cs typeface="Calibri" panose="020F0502020204030204" pitchFamily="34" charset="0"/>
                </a:rPr>
                <a:t>Taxa anual calculada multiplicando a taxa de juros trimestral por 4, dividida pela média da carteira dos últimos dois trimestres. Taxa de juros consolidada inclui imobiliário, consignado + FGTS, PMEs, cartão de crédito excluindo recebíveis de cartão de crédito não remunerados, e antecipação de recebíveis de cartão de crédito.</a:t>
              </a: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r>
                <a:rPr lang="pt-BR" sz="900" b="1" noProof="1">
                  <a:latin typeface="Calibri" panose="020F0502020204030204" pitchFamily="34" charset="0"/>
                  <a:cs typeface="Calibri" panose="020F0502020204030204" pitchFamily="34" charset="0"/>
                </a:rPr>
                <a:t>Retorno sobre o Patrimônio Líquido Tangível Médio (ROTE):</a:t>
              </a:r>
            </a:p>
            <a:p>
              <a:endParaRPr lang="pt-BR" sz="800" b="1" noProof="1">
                <a:latin typeface="Sora" pitchFamily="2" charset="0"/>
                <a:cs typeface="Sora" pitchFamily="2" charset="0"/>
              </a:endParaRPr>
            </a:p>
            <a:p>
              <a:pPr/>
              <a14:m>
                <m:oMathPara xmlns:m="http://schemas.openxmlformats.org/officeDocument/2006/math">
                  <m:oMathParaPr>
                    <m:jc m:val="centerGroup"/>
                  </m:oMathParaPr>
                  <m:oMath xmlns:m="http://schemas.openxmlformats.org/officeDocument/2006/math">
                    <m:f>
                      <m:fPr>
                        <m:ctrlPr>
                          <a:rPr lang="pt-BR" sz="800" i="1" noProof="1" dirty="0" smtClean="0">
                            <a:latin typeface="Cambria Math" panose="02040503050406030204" pitchFamily="18" charset="0"/>
                          </a:rPr>
                        </m:ctrlPr>
                      </m:fPr>
                      <m:num>
                        <m:r>
                          <a:rPr lang="pt-BR" sz="800" noProof="1" dirty="0" smtClean="0">
                            <a:latin typeface="Cambria Math" panose="02040503050406030204" pitchFamily="18" charset="0"/>
                          </a:rPr>
                          <m:t>(</m:t>
                        </m:r>
                        <m:r>
                          <m:rPr>
                            <m:sty m:val="p"/>
                          </m:rPr>
                          <a:rPr lang="pt-BR" sz="800" noProof="1" dirty="0" smtClean="0">
                            <a:latin typeface="Cambria Math" panose="02040503050406030204" pitchFamily="18" charset="0"/>
                          </a:rPr>
                          <m:t>Lucro</m:t>
                        </m:r>
                        <m:r>
                          <a:rPr lang="pt-BR" sz="800" noProof="1" dirty="0" smtClean="0">
                            <a:latin typeface="Cambria Math" panose="02040503050406030204" pitchFamily="18" charset="0"/>
                          </a:rPr>
                          <m:t> /</m:t>
                        </m:r>
                        <m:d>
                          <m:dPr>
                            <m:ctrlPr>
                              <a:rPr lang="pt-BR" sz="800" i="1" noProof="1" dirty="0" smtClean="0">
                                <a:latin typeface="Cambria Math" panose="02040503050406030204" pitchFamily="18" charset="0"/>
                              </a:rPr>
                            </m:ctrlPr>
                          </m:dPr>
                          <m:e>
                            <m:r>
                              <m:rPr>
                                <m:sty m:val="p"/>
                              </m:rPr>
                              <a:rPr lang="pt-BR" sz="800" noProof="1" dirty="0" smtClean="0">
                                <a:latin typeface="Cambria Math" panose="02040503050406030204" pitchFamily="18" charset="0"/>
                              </a:rPr>
                              <m:t>perda</m:t>
                            </m:r>
                          </m:e>
                        </m:d>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para</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ano</m:t>
                        </m:r>
                        <m:r>
                          <a:rPr lang="pt-BR" sz="800" noProof="1" dirty="0" smtClean="0">
                            <a:latin typeface="Cambria Math" panose="02040503050406030204" pitchFamily="18" charset="0"/>
                          </a:rPr>
                          <m:t>) × 4</m:t>
                        </m:r>
                      </m:num>
                      <m:den>
                        <m:r>
                          <m:rPr>
                            <m:sty m:val="p"/>
                          </m:rPr>
                          <a:rPr lang="pt-BR" sz="800" noProof="1" dirty="0" smtClean="0">
                            <a:latin typeface="Cambria Math" panose="02040503050406030204" pitchFamily="18" charset="0"/>
                          </a:rPr>
                          <m:t>M</m:t>
                        </m:r>
                        <m:r>
                          <a:rPr lang="pt-BR" sz="800" noProof="1" dirty="0" smtClean="0">
                            <a:latin typeface="Cambria Math" panose="02040503050406030204" pitchFamily="18" charset="0"/>
                          </a:rPr>
                          <m:t>é</m:t>
                        </m:r>
                        <m:r>
                          <m:rPr>
                            <m:sty m:val="p"/>
                          </m:rPr>
                          <a:rPr lang="pt-BR" sz="800" noProof="1" dirty="0" smtClean="0">
                            <a:latin typeface="Cambria Math" panose="02040503050406030204" pitchFamily="18" charset="0"/>
                          </a:rPr>
                          <m:t>dia</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do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patrim</m:t>
                        </m:r>
                        <m:r>
                          <a:rPr lang="pt-BR" sz="800" noProof="1" dirty="0" smtClean="0">
                            <a:latin typeface="Cambria Math" panose="02040503050406030204" pitchFamily="18" charset="0"/>
                          </a:rPr>
                          <m:t>ô</m:t>
                        </m:r>
                        <m:r>
                          <m:rPr>
                            <m:sty m:val="p"/>
                          </m:rPr>
                          <a:rPr lang="pt-BR" sz="800" noProof="1" dirty="0" smtClean="0">
                            <a:latin typeface="Cambria Math" panose="02040503050406030204" pitchFamily="18" charset="0"/>
                          </a:rPr>
                          <m:t>nio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l</m:t>
                        </m:r>
                        <m:r>
                          <a:rPr lang="pt-BR" sz="800" noProof="1" dirty="0" smtClean="0">
                            <a:latin typeface="Cambria Math" panose="02040503050406030204" pitchFamily="18" charset="0"/>
                          </a:rPr>
                          <m:t>í</m:t>
                        </m:r>
                        <m:r>
                          <m:rPr>
                            <m:sty m:val="p"/>
                          </m:rPr>
                          <a:rPr lang="pt-BR" sz="800" noProof="1" dirty="0" smtClean="0">
                            <a:latin typeface="Cambria Math" panose="02040503050406030204" pitchFamily="18" charset="0"/>
                          </a:rPr>
                          <m:t>quido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dos</m:t>
                        </m:r>
                        <m:r>
                          <a:rPr lang="pt-BR" sz="800" noProof="1" dirty="0" smtClean="0">
                            <a:latin typeface="Cambria Math" panose="02040503050406030204" pitchFamily="18" charset="0"/>
                          </a:rPr>
                          <m:t> ú</m:t>
                        </m:r>
                        <m:r>
                          <m:rPr>
                            <m:sty m:val="p"/>
                          </m:rPr>
                          <a:rPr lang="pt-BR" sz="800" noProof="1" dirty="0" smtClean="0">
                            <a:latin typeface="Cambria Math" panose="02040503050406030204" pitchFamily="18" charset="0"/>
                          </a:rPr>
                          <m:t>ltimos</m:t>
                        </m:r>
                        <m:r>
                          <a:rPr lang="pt-BR" sz="800" noProof="1" dirty="0" smtClean="0">
                            <a:latin typeface="Cambria Math" panose="02040503050406030204" pitchFamily="18" charset="0"/>
                          </a:rPr>
                          <m:t> 2 </m:t>
                        </m:r>
                        <m:r>
                          <m:rPr>
                            <m:sty m:val="p"/>
                          </m:rPr>
                          <a:rPr lang="pt-BR" sz="800" noProof="1" dirty="0" smtClean="0">
                            <a:latin typeface="Cambria Math" panose="02040503050406030204" pitchFamily="18" charset="0"/>
                          </a:rPr>
                          <m:t>trimestres</m:t>
                        </m:r>
                        <m:r>
                          <a:rPr lang="pt-BR" sz="800" noProof="1" dirty="0" smtClean="0">
                            <a:latin typeface="Cambria Math" panose="02040503050406030204" pitchFamily="18" charset="0"/>
                          </a:rPr>
                          <m:t> −</m:t>
                        </m:r>
                        <m:r>
                          <m:rPr>
                            <m:sty m:val="p"/>
                          </m:rPr>
                          <a:rPr lang="pt-BR" sz="800" b="0" i="0" noProof="1" dirty="0" smtClean="0">
                            <a:latin typeface="Cambria Math" panose="02040503050406030204" pitchFamily="18" charset="0"/>
                          </a:rPr>
                          <m:t>ativos</m:t>
                        </m:r>
                        <m:r>
                          <a:rPr lang="pt-BR" sz="800" b="0" i="0" noProof="1" dirty="0" smtClean="0">
                            <a:latin typeface="Cambria Math" panose="02040503050406030204" pitchFamily="18" charset="0"/>
                          </a:rPr>
                          <m:t> </m:t>
                        </m:r>
                        <m:r>
                          <m:rPr>
                            <m:sty m:val="p"/>
                          </m:rPr>
                          <a:rPr lang="pt-BR" sz="800" b="0" i="0" noProof="1" dirty="0" smtClean="0">
                            <a:latin typeface="Cambria Math" panose="02040503050406030204" pitchFamily="18" charset="0"/>
                          </a:rPr>
                          <m:t>intang</m:t>
                        </m:r>
                        <m:r>
                          <a:rPr lang="pt-BR" sz="800" b="0" i="0" noProof="1" dirty="0" smtClean="0">
                            <a:latin typeface="Cambria Math" panose="02040503050406030204" pitchFamily="18" charset="0"/>
                          </a:rPr>
                          <m:t>í</m:t>
                        </m:r>
                        <m:r>
                          <m:rPr>
                            <m:sty m:val="p"/>
                          </m:rPr>
                          <a:rPr lang="pt-BR" sz="800" b="0" i="0" noProof="1" dirty="0" smtClean="0">
                            <a:latin typeface="Cambria Math" panose="02040503050406030204" pitchFamily="18" charset="0"/>
                          </a:rPr>
                          <m:t>veis</m:t>
                        </m:r>
                      </m:den>
                    </m:f>
                  </m:oMath>
                </m:oMathPara>
              </a14:m>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xdr:txBody>
        </xdr:sp>
      </mc:Choice>
      <mc:Fallback xmlns="">
        <xdr:sp macro="" textlink="">
          <xdr:nvSpPr>
            <xdr:cNvPr id="52" name="Retângulo 9">
              <a:extLst>
                <a:ext uri="{FF2B5EF4-FFF2-40B4-BE49-F238E27FC236}">
                  <a16:creationId xmlns:a16="http://schemas.microsoft.com/office/drawing/2014/main" id="{00000000-0008-0000-1600-000034000000}"/>
                </a:ext>
              </a:extLst>
            </xdr:cNvPr>
            <xdr:cNvSpPr/>
          </xdr:nvSpPr>
          <xdr:spPr>
            <a:xfrm>
              <a:off x="6822784" y="38100000"/>
              <a:ext cx="5746700" cy="6194324"/>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Receita de serviços de cartão:</a:t>
              </a:r>
            </a:p>
            <a:p>
              <a:pPr algn="just"/>
              <a:r>
                <a:rPr lang="en-US" sz="800">
                  <a:latin typeface="Calibri" panose="020F0502020204030204" pitchFamily="34" charset="0"/>
                  <a:ea typeface="Inter" panose="020B0502030000000004" pitchFamily="34" charset="0"/>
                  <a:cs typeface="Calibri" panose="020F0502020204030204" pitchFamily="34" charset="0"/>
                </a:rPr>
                <a:t>É parte das linhas “Receita de serviços e comissões” e “Outras receitas” da Demonstração de Resultado IFRS. </a:t>
              </a:r>
            </a:p>
            <a:p>
              <a:pPr algn="just"/>
              <a:endParaRPr lang="en-US"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sultado líquido de juros + Resultado líquido de serviços e comissões</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Outras receitas</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serviços: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Receitas de serviços e comissões + Outras receitas</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juros: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 de juros+Despesas de juros+Resultado de Títulos e Valores Mobiliários</a:t>
              </a:r>
              <a:r>
                <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 e Derivativos</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Retorno sobre patrimônio líquido médio (ROE): </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((Lucro /(perda)  para o ano) × 4)/(Média do patrimônio líquido dos últimos 2 trimestres )</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ea typeface="Cambria Math" panose="02040503050406030204" pitchFamily="18" charset="0"/>
                  <a:cs typeface="Calibri" panose="020F0502020204030204" pitchFamily="34" charset="0"/>
                </a:rPr>
                <a:t>SG&amp;A:</a:t>
              </a:r>
            </a:p>
            <a:p>
              <a:endParaRPr lang="en-US" sz="800" b="1" i="0">
                <a:latin typeface="Calibri" panose="020F0502020204030204" pitchFamily="34" charset="0"/>
                <a:ea typeface="Cambria Math" panose="02040503050406030204" pitchFamily="18" charset="0"/>
                <a:cs typeface="Calibri" panose="020F0502020204030204" pitchFamily="34" charset="0"/>
              </a:endParaRPr>
            </a:p>
            <a:p>
              <a:pPr algn="ctr"/>
              <a:r>
                <a:rPr lang="pt-BR" sz="800" b="0" i="0">
                  <a:latin typeface="Cambria Math" panose="02040503050406030204" pitchFamily="18" charset="0"/>
                  <a:ea typeface="Cambria Math" panose="02040503050406030204" pitchFamily="18" charset="0"/>
                  <a:cs typeface="Sora" pitchFamily="2" charset="0"/>
                </a:rPr>
                <a:t>Despesas Administrativas </a:t>
              </a:r>
              <a:r>
                <a:rPr lang="en-US" sz="800">
                  <a:latin typeface="Calibri" panose="020F0502020204030204" pitchFamily="34" charset="0"/>
                  <a:ea typeface="Cambria Math" panose="02040503050406030204" pitchFamily="18" charset="0"/>
                  <a:cs typeface="Calibri" panose="020F0502020204030204" pitchFamily="34" charset="0"/>
                </a:rPr>
                <a:t>+ Despesa de Pessoal + Depreciação e Amortização</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Taxas anualizadas:</a:t>
              </a:r>
            </a:p>
            <a:p>
              <a:pPr algn="just"/>
              <a:r>
                <a:rPr lang="en-US" sz="800">
                  <a:latin typeface="Calibri" panose="020F0502020204030204" pitchFamily="34" charset="0"/>
                  <a:ea typeface="Inter" panose="020B0502030000000004" pitchFamily="34" charset="0"/>
                  <a:cs typeface="Calibri" panose="020F0502020204030204" pitchFamily="34" charset="0"/>
                </a:rPr>
                <a:t>Taxa anual calculada multiplicando a taxa de juros trimestral por 4, dividida pela média da carteira dos últimos dois trimestres. Taxa de juros consolidada inclui imobiliário, consignado + FGTS, PMEs, cartão de crédito excluindo recebíveis de cartão de crédito não remunerados, e antecipação de recebíveis de cartão de crédito.</a:t>
              </a: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r>
                <a:rPr lang="pt-BR" sz="900" b="1" noProof="1">
                  <a:latin typeface="Calibri" panose="020F0502020204030204" pitchFamily="34" charset="0"/>
                  <a:cs typeface="Calibri" panose="020F0502020204030204" pitchFamily="34" charset="0"/>
                </a:rPr>
                <a:t>Retorno sobre o Patrimônio Líquido Tangível Médio (ROTE):</a:t>
              </a:r>
            </a:p>
            <a:p>
              <a:endParaRPr lang="pt-BR" sz="800" b="1" noProof="1">
                <a:latin typeface="Sora" pitchFamily="2" charset="0"/>
                <a:cs typeface="Sora" pitchFamily="2" charset="0"/>
              </a:endParaRPr>
            </a:p>
            <a:p>
              <a:pPr/>
              <a:r>
                <a:rPr lang="pt-BR" sz="800" i="0" noProof="1">
                  <a:latin typeface="Cambria Math" panose="02040503050406030204" pitchFamily="18" charset="0"/>
                </a:rPr>
                <a:t>((Lucro /(perda)  para o ano) × 4)/(Média do patrimônio líquido dos últimos 2 trimestres −</a:t>
              </a:r>
              <a:r>
                <a:rPr lang="pt-BR" sz="800" b="0" i="0" noProof="1">
                  <a:latin typeface="Cambria Math" panose="02040503050406030204" pitchFamily="18" charset="0"/>
                </a:rPr>
                <a:t>ativos intangíveis)</a:t>
              </a:r>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5" name="Group 4">
          <a:extLst>
            <a:ext uri="{FF2B5EF4-FFF2-40B4-BE49-F238E27FC236}">
              <a16:creationId xmlns:a16="http://schemas.microsoft.com/office/drawing/2014/main" id="{4A3D49E7-1E55-B171-17C9-FC9596DF9C0D}"/>
            </a:ext>
          </a:extLst>
        </xdr:cNvPr>
        <xdr:cNvGrpSpPr/>
      </xdr:nvGrpSpPr>
      <xdr:grpSpPr>
        <a:xfrm>
          <a:off x="275844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xdr:from>
      <xdr:col>30</xdr:col>
      <xdr:colOff>0</xdr:colOff>
      <xdr:row>1</xdr:row>
      <xdr:rowOff>689</xdr:rowOff>
    </xdr:from>
    <xdr:to>
      <xdr:col>32</xdr:col>
      <xdr:colOff>46892</xdr:colOff>
      <xdr:row>2</xdr:row>
      <xdr:rowOff>120853</xdr:rowOff>
    </xdr:to>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30</xdr:col>
      <xdr:colOff>89226</xdr:colOff>
      <xdr:row>1</xdr:row>
      <xdr:rowOff>0</xdr:rowOff>
    </xdr:from>
    <xdr:to>
      <xdr:col>30</xdr:col>
      <xdr:colOff>348163</xdr:colOff>
      <xdr:row>2</xdr:row>
      <xdr:rowOff>99817</xdr:rowOff>
    </xdr:to>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3" name="Group 2">
          <a:extLst>
            <a:ext uri="{FF2B5EF4-FFF2-40B4-BE49-F238E27FC236}">
              <a16:creationId xmlns:a16="http://schemas.microsoft.com/office/drawing/2014/main" id="{0C723D28-58AE-6E76-5DD0-F484CB9ACF33}"/>
            </a:ext>
          </a:extLst>
        </xdr:cNvPr>
        <xdr:cNvGrpSpPr/>
      </xdr:nvGrpSpPr>
      <xdr:grpSpPr>
        <a:xfrm>
          <a:off x="27584400" y="165100"/>
          <a:ext cx="1697892" cy="285953"/>
          <a:chOff x="20320000" y="1651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3" name="Group 2">
          <a:extLst>
            <a:ext uri="{FF2B5EF4-FFF2-40B4-BE49-F238E27FC236}">
              <a16:creationId xmlns:a16="http://schemas.microsoft.com/office/drawing/2014/main" id="{CDB15A3B-59CE-F22B-5778-4E355F64813A}"/>
            </a:ext>
          </a:extLst>
        </xdr:cNvPr>
        <xdr:cNvGrpSpPr/>
      </xdr:nvGrpSpPr>
      <xdr:grpSpPr>
        <a:xfrm>
          <a:off x="27584400" y="165100"/>
          <a:ext cx="1697892" cy="285953"/>
          <a:chOff x="20320000" y="1651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0</xdr:colOff>
      <xdr:row>1</xdr:row>
      <xdr:rowOff>689</xdr:rowOff>
    </xdr:from>
    <xdr:to>
      <xdr:col>37</xdr:col>
      <xdr:colOff>46892</xdr:colOff>
      <xdr:row>2</xdr:row>
      <xdr:rowOff>120853</xdr:rowOff>
    </xdr:to>
    <xdr:sp macro="" textlink="Names!BQ2">
      <xdr:nvSpPr>
        <xdr:cNvPr id="6" name="Rounded 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35</xdr:col>
      <xdr:colOff>89226</xdr:colOff>
      <xdr:row>1</xdr:row>
      <xdr:rowOff>0</xdr:rowOff>
    </xdr:from>
    <xdr:to>
      <xdr:col>35</xdr:col>
      <xdr:colOff>348163</xdr:colOff>
      <xdr:row>2</xdr:row>
      <xdr:rowOff>99817</xdr:rowOff>
    </xdr:to>
    <xdr:pic>
      <xdr:nvPicPr>
        <xdr:cNvPr id="7"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2" name="Group 1">
          <a:extLst>
            <a:ext uri="{FF2B5EF4-FFF2-40B4-BE49-F238E27FC236}">
              <a16:creationId xmlns:a16="http://schemas.microsoft.com/office/drawing/2014/main" id="{885CC066-D0B7-2356-2E74-318DCFF98DA8}"/>
            </a:ext>
          </a:extLst>
        </xdr:cNvPr>
        <xdr:cNvGrpSpPr/>
      </xdr:nvGrpSpPr>
      <xdr:grpSpPr>
        <a:xfrm>
          <a:off x="27584400" y="165100"/>
          <a:ext cx="1697892" cy="285953"/>
          <a:chOff x="20320000" y="165100"/>
          <a:chExt cx="1697892" cy="285953"/>
        </a:xfrm>
      </xdr:grpSpPr>
      <xdr:sp macro="" textlink="Names!BQ2">
        <xdr:nvSpPr>
          <xdr:cNvPr id="7" name="Rounded Rectangle 6">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8"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2" name="Group 1">
          <a:extLst>
            <a:ext uri="{FF2B5EF4-FFF2-40B4-BE49-F238E27FC236}">
              <a16:creationId xmlns:a16="http://schemas.microsoft.com/office/drawing/2014/main" id="{EB849EDF-963F-6509-9A5D-AA823D778E2F}"/>
            </a:ext>
          </a:extLst>
        </xdr:cNvPr>
        <xdr:cNvGrpSpPr/>
      </xdr:nvGrpSpPr>
      <xdr:grpSpPr>
        <a:xfrm>
          <a:off x="27660600" y="165100"/>
          <a:ext cx="1697892" cy="285953"/>
          <a:chOff x="20320000" y="165100"/>
          <a:chExt cx="1697892" cy="285953"/>
        </a:xfrm>
      </xdr:grpSpPr>
      <xdr:sp macro="" textlink="Names!BQ2">
        <xdr:nvSpPr>
          <xdr:cNvPr id="7" name="Rounded Rectangle 6">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8"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679F8DD5-63F3-23EC-6D97-5467E4F1396C}"/>
            </a:ext>
          </a:extLst>
        </xdr:cNvPr>
        <xdr:cNvGrpSpPr/>
      </xdr:nvGrpSpPr>
      <xdr:grpSpPr>
        <a:xfrm>
          <a:off x="31648400" y="165100"/>
          <a:ext cx="1697892" cy="285953"/>
          <a:chOff x="20320000" y="165100"/>
          <a:chExt cx="1697892" cy="285953"/>
        </a:xfrm>
      </xdr:grpSpPr>
      <xdr:sp macro="" textlink="Names!BQ2">
        <xdr:nvSpPr>
          <xdr:cNvPr id="10" name="Rounded Rectangle 9">
            <a:hlinkClick xmlns:r="http://schemas.openxmlformats.org/officeDocument/2006/relationships" r:id="rId1"/>
            <a:extLst>
              <a:ext uri="{FF2B5EF4-FFF2-40B4-BE49-F238E27FC236}">
                <a16:creationId xmlns:a16="http://schemas.microsoft.com/office/drawing/2014/main" id="{00000000-0008-0000-0400-00000A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11"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0</xdr:colOff>
      <xdr:row>1</xdr:row>
      <xdr:rowOff>689</xdr:rowOff>
    </xdr:from>
    <xdr:to>
      <xdr:col>37</xdr:col>
      <xdr:colOff>46892</xdr:colOff>
      <xdr:row>2</xdr:row>
      <xdr:rowOff>120853</xdr:rowOff>
    </xdr:to>
    <xdr:sp macro="" textlink="Names!BQ2">
      <xdr:nvSpPr>
        <xdr:cNvPr id="2" name="Rounded Rectangle 1">
          <a:hlinkClick xmlns:r="http://schemas.openxmlformats.org/officeDocument/2006/relationships" r:id="rId1"/>
          <a:extLst>
            <a:ext uri="{FF2B5EF4-FFF2-40B4-BE49-F238E27FC236}">
              <a16:creationId xmlns:a16="http://schemas.microsoft.com/office/drawing/2014/main" id="{EDD20553-B8EC-EF4D-B48E-A0A4231C2AC2}"/>
            </a:ext>
          </a:extLst>
        </xdr:cNvPr>
        <xdr:cNvSpPr/>
      </xdr:nvSpPr>
      <xdr:spPr>
        <a:xfrm>
          <a:off x="275844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35</xdr:col>
      <xdr:colOff>89226</xdr:colOff>
      <xdr:row>1</xdr:row>
      <xdr:rowOff>0</xdr:rowOff>
    </xdr:from>
    <xdr:to>
      <xdr:col>35</xdr:col>
      <xdr:colOff>348163</xdr:colOff>
      <xdr:row>2</xdr:row>
      <xdr:rowOff>99817</xdr:rowOff>
    </xdr:to>
    <xdr:pic>
      <xdr:nvPicPr>
        <xdr:cNvPr id="3"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57208FD-4272-1649-9505-40CA9190BCD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7673626" y="165100"/>
          <a:ext cx="258937" cy="2649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917AC904-4146-1F47-A317-79A2BDCFE978}"/>
            </a:ext>
          </a:extLst>
        </xdr:cNvPr>
        <xdr:cNvGrpSpPr/>
      </xdr:nvGrpSpPr>
      <xdr:grpSpPr>
        <a:xfrm>
          <a:off x="319659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456290E3-0B6A-B1A5-3879-890ED552475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B42D8684-5FA6-48C7-8501-F5DFBB03237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F5C354B6-28E2-674C-8D37-5009BB9C71F2}"/>
            </a:ext>
          </a:extLst>
        </xdr:cNvPr>
        <xdr:cNvGrpSpPr/>
      </xdr:nvGrpSpPr>
      <xdr:grpSpPr>
        <a:xfrm>
          <a:off x="317119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DB3EDD98-3818-E15E-D7A8-693F699A0307}"/>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F337F92E-4335-310E-E49B-5895D9D4804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5ED3E53A-6D60-E140-9D47-0DC6C0FD2F77}"/>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6C6F11E-8861-C347-F0DB-C815BE2A1112}"/>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8901C40E-C519-81DB-ADD1-15625D378D6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35</xdr:col>
      <xdr:colOff>0</xdr:colOff>
      <xdr:row>1</xdr:row>
      <xdr:rowOff>0</xdr:rowOff>
    </xdr:from>
    <xdr:to>
      <xdr:col>37</xdr:col>
      <xdr:colOff>46892</xdr:colOff>
      <xdr:row>2</xdr:row>
      <xdr:rowOff>120853</xdr:rowOff>
    </xdr:to>
    <xdr:grpSp>
      <xdr:nvGrpSpPr>
        <xdr:cNvPr id="2" name="Group 1">
          <a:extLst>
            <a:ext uri="{FF2B5EF4-FFF2-40B4-BE49-F238E27FC236}">
              <a16:creationId xmlns:a16="http://schemas.microsoft.com/office/drawing/2014/main" id="{CF7EFBF7-F75D-EF48-9176-DF391AA2117D}"/>
            </a:ext>
          </a:extLst>
        </xdr:cNvPr>
        <xdr:cNvGrpSpPr/>
      </xdr:nvGrpSpPr>
      <xdr:grpSpPr>
        <a:xfrm>
          <a:off x="317119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1ACD255-4DF3-D02C-6296-92423B0FA32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9258584-239A-78D5-7220-82EAE1744FE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17BE83-07F1-AA4D-BBE1-3E6F1BC1B9CC}">
  <we:reference id="wa200002415" version="1.0.0.2" store="en-US" storeType="OMEX"/>
  <we:alternateReferences>
    <we:reference id="WA200002415" version="1.0.0.2"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_xldudf_NAS</we:customFunctionIds>
        <we:customFunctionIds>_xldudf_NASRT</we:customFunctionIds>
        <we:customFunctionIds>_xldudf_MYFOCUSTICKER</we:customFunctionIds>
      </we:customFunctionIdList>
    </a:ext>
    <a:ext xmlns:a="http://schemas.openxmlformats.org/drawingml/2006/main" uri="{0858819E-0033-43BF-8937-05EC82904868}">
      <we:backgroundApp state="1" runtimeId="NasdaqRuntime.Url"/>
    </a:ext>
  </we:extLst>
</we:webextension>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hyperlink" Target="https://www.bcb.gov.br/estabilidadefinanceira/estatisticaspix" TargetMode="External"/><Relationship Id="rId2" Type="http://schemas.openxmlformats.org/officeDocument/2006/relationships/hyperlink" Target="https://www.bcb.gov.br/acessoinformacao/ccsestatisticas" TargetMode="External"/><Relationship Id="rId1" Type="http://schemas.openxmlformats.org/officeDocument/2006/relationships/hyperlink" Target="https://www.bcb.gov.br/acessoinformacao/ccsestatisticas" TargetMode="External"/><Relationship Id="rId5" Type="http://schemas.openxmlformats.org/officeDocument/2006/relationships/drawing" Target="../drawings/drawing22.xml"/><Relationship Id="rId4" Type="http://schemas.openxmlformats.org/officeDocument/2006/relationships/hyperlink" Target="https://www.abecs.org.br/graficos/monitor-abecs-grafico"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D5ED0-FFAF-DE43-BD1B-4F127E097C3D}">
  <sheetPr codeName="Sheet2"/>
  <dimension ref="A1:CW130"/>
  <sheetViews>
    <sheetView showGridLines="0" topLeftCell="CP1" zoomScale="109" zoomScaleNormal="100" workbookViewId="0">
      <selection activeCell="BV1" sqref="BV1"/>
    </sheetView>
  </sheetViews>
  <sheetFormatPr baseColWidth="10" defaultColWidth="12.1640625" defaultRowHeight="15" outlineLevelRow="1" outlineLevelCol="2"/>
  <cols>
    <col min="1" max="2" width="12.1640625" style="383" hidden="1" customWidth="1" outlineLevel="2"/>
    <col min="3" max="3" width="12.1640625" style="384" hidden="1" customWidth="1" outlineLevel="2"/>
    <col min="4" max="93" width="12.1640625" style="383" hidden="1" customWidth="1" outlineLevel="2"/>
    <col min="94" max="98" width="12.1640625" style="383" outlineLevel="1" collapsed="1"/>
    <col min="99" max="99" width="12.1640625" style="383" outlineLevel="1"/>
    <col min="100" max="101" width="12.1640625" style="383" outlineLevel="1" collapsed="1"/>
    <col min="102" max="16384" width="12.1640625" style="383" outlineLevel="1"/>
  </cols>
  <sheetData>
    <row r="1" spans="1:93">
      <c r="A1" s="383" t="s">
        <v>0</v>
      </c>
      <c r="B1" s="383" t="s">
        <v>1</v>
      </c>
      <c r="C1" s="384" t="s">
        <v>2</v>
      </c>
      <c r="D1" s="383" t="s">
        <v>3</v>
      </c>
      <c r="E1" s="383" t="s">
        <v>4</v>
      </c>
      <c r="F1" s="383" t="s">
        <v>5</v>
      </c>
      <c r="G1" s="383" t="s">
        <v>6</v>
      </c>
      <c r="H1" s="383" t="s">
        <v>7</v>
      </c>
      <c r="I1" s="383" t="s">
        <v>8</v>
      </c>
      <c r="J1" s="383" t="s">
        <v>9</v>
      </c>
      <c r="K1" s="383" t="s">
        <v>10</v>
      </c>
      <c r="L1" s="383" t="s">
        <v>11</v>
      </c>
      <c r="M1" s="383" t="s">
        <v>12</v>
      </c>
      <c r="N1" s="383" t="s">
        <v>13</v>
      </c>
      <c r="O1" s="383" t="s">
        <v>14</v>
      </c>
      <c r="P1" s="383" t="s">
        <v>15</v>
      </c>
      <c r="Q1" s="383" t="s">
        <v>16</v>
      </c>
      <c r="R1" s="383" t="s">
        <v>17</v>
      </c>
      <c r="S1" s="383" t="s">
        <v>18</v>
      </c>
      <c r="T1" s="383" t="s">
        <v>19</v>
      </c>
      <c r="U1" s="383" t="s">
        <v>20</v>
      </c>
      <c r="V1" s="383" t="s">
        <v>21</v>
      </c>
      <c r="W1" s="383" t="s">
        <v>22</v>
      </c>
      <c r="X1" s="383" t="s">
        <v>23</v>
      </c>
      <c r="Y1" s="383" t="s">
        <v>24</v>
      </c>
      <c r="Z1" s="383" t="s">
        <v>25</v>
      </c>
      <c r="AA1" s="383" t="s">
        <v>26</v>
      </c>
      <c r="AB1" s="383" t="s">
        <v>27</v>
      </c>
      <c r="AC1" s="383" t="s">
        <v>28</v>
      </c>
      <c r="AD1" s="383" t="s">
        <v>29</v>
      </c>
      <c r="AE1" s="383" t="s">
        <v>30</v>
      </c>
      <c r="AF1" s="383" t="s">
        <v>30</v>
      </c>
      <c r="AG1" s="383" t="s">
        <v>31</v>
      </c>
      <c r="AH1" s="383" t="s">
        <v>32</v>
      </c>
      <c r="AI1" s="383" t="s">
        <v>33</v>
      </c>
      <c r="AJ1" s="383" t="s">
        <v>34</v>
      </c>
      <c r="AK1" s="383" t="s">
        <v>35</v>
      </c>
      <c r="AL1" s="383" t="s">
        <v>36</v>
      </c>
      <c r="AM1" s="383" t="s">
        <v>37</v>
      </c>
      <c r="AN1" s="383" t="s">
        <v>38</v>
      </c>
      <c r="AO1" s="383" t="s">
        <v>38</v>
      </c>
      <c r="AP1" s="383" t="s">
        <v>39</v>
      </c>
      <c r="AQ1" s="383" t="s">
        <v>40</v>
      </c>
      <c r="AR1" s="383" t="s">
        <v>41</v>
      </c>
      <c r="AS1" s="383" t="s">
        <v>42</v>
      </c>
      <c r="AT1" s="383" t="s">
        <v>43</v>
      </c>
      <c r="AU1" s="383" t="s">
        <v>44</v>
      </c>
      <c r="AV1" s="383" t="s">
        <v>45</v>
      </c>
      <c r="AW1" s="383" t="s">
        <v>46</v>
      </c>
      <c r="AX1" s="383" t="s">
        <v>47</v>
      </c>
      <c r="AY1" s="383" t="s">
        <v>48</v>
      </c>
      <c r="AZ1" s="383" t="s">
        <v>49</v>
      </c>
      <c r="BA1" s="383" t="s">
        <v>50</v>
      </c>
      <c r="BB1" s="385" t="s">
        <v>51</v>
      </c>
      <c r="BC1" s="385" t="s">
        <v>52</v>
      </c>
      <c r="BD1" s="383" t="s">
        <v>53</v>
      </c>
      <c r="BE1" s="383" t="s">
        <v>54</v>
      </c>
      <c r="BF1" s="383" t="s">
        <v>55</v>
      </c>
      <c r="BG1" s="383" t="s">
        <v>56</v>
      </c>
      <c r="BH1" s="383" t="s">
        <v>57</v>
      </c>
      <c r="BI1" s="383" t="s">
        <v>58</v>
      </c>
      <c r="BL1" s="383" t="s">
        <v>1194</v>
      </c>
      <c r="BM1" s="383" t="s">
        <v>1195</v>
      </c>
      <c r="BQ1" s="383" t="str">
        <f>IF('Summary | Sumário'!$D$6=Names!$B$3,Names!$BB$1,Names!$BC$1)</f>
        <v>Back to summary</v>
      </c>
      <c r="BS1" s="383" t="str">
        <f>IF('Summary | Sumário'!$D$6=Names!$B$3,Names!$G$2,Names!$H$2)</f>
        <v>Operational Data</v>
      </c>
      <c r="BV1" s="383" t="s">
        <v>1196</v>
      </c>
      <c r="BW1" s="383" t="s">
        <v>1197</v>
      </c>
      <c r="BZ1" s="386" t="s">
        <v>59</v>
      </c>
      <c r="CA1" s="383" t="s">
        <v>60</v>
      </c>
      <c r="CB1" s="383" t="s">
        <v>61</v>
      </c>
      <c r="CC1" s="383" t="s">
        <v>62</v>
      </c>
      <c r="CF1" s="383" t="s">
        <v>63</v>
      </c>
      <c r="CG1" s="383" t="s">
        <v>64</v>
      </c>
      <c r="CN1" s="383" t="s">
        <v>65</v>
      </c>
      <c r="CO1" s="383" t="s">
        <v>66</v>
      </c>
    </row>
    <row r="2" spans="1:93" ht="14" customHeight="1">
      <c r="A2" s="383">
        <v>1</v>
      </c>
      <c r="B2" s="383" t="s">
        <v>67</v>
      </c>
      <c r="C2" s="384">
        <v>2019</v>
      </c>
      <c r="D2" s="384">
        <v>2019</v>
      </c>
      <c r="E2" s="384" t="s">
        <v>68</v>
      </c>
      <c r="F2" s="384" t="s">
        <v>69</v>
      </c>
      <c r="G2" s="384" t="s">
        <v>70</v>
      </c>
      <c r="H2" s="384" t="s">
        <v>71</v>
      </c>
      <c r="I2" s="383" t="s">
        <v>72</v>
      </c>
      <c r="J2" s="383" t="s">
        <v>73</v>
      </c>
      <c r="K2" s="383" t="s">
        <v>74</v>
      </c>
      <c r="L2" s="383" t="s">
        <v>75</v>
      </c>
      <c r="M2" s="383" t="s">
        <v>76</v>
      </c>
      <c r="N2" s="383" t="s">
        <v>77</v>
      </c>
      <c r="O2" s="383" t="s">
        <v>78</v>
      </c>
      <c r="P2" s="383" t="s">
        <v>79</v>
      </c>
      <c r="Q2" s="383" t="s">
        <v>80</v>
      </c>
      <c r="R2" s="383" t="s">
        <v>81</v>
      </c>
      <c r="S2" s="383" t="s">
        <v>82</v>
      </c>
      <c r="V2" s="383" t="s">
        <v>83</v>
      </c>
      <c r="W2" s="383" t="s">
        <v>84</v>
      </c>
      <c r="X2" s="383" t="s">
        <v>85</v>
      </c>
      <c r="Y2" s="383" t="s">
        <v>86</v>
      </c>
      <c r="Z2" s="383" t="s">
        <v>87</v>
      </c>
      <c r="AA2" s="383" t="s">
        <v>88</v>
      </c>
      <c r="AB2" s="383" t="s">
        <v>89</v>
      </c>
      <c r="AF2" s="383" t="s">
        <v>30</v>
      </c>
      <c r="AG2" s="383" t="s">
        <v>90</v>
      </c>
      <c r="AL2" s="383" t="s">
        <v>91</v>
      </c>
      <c r="AM2" s="383" t="s">
        <v>92</v>
      </c>
      <c r="AN2" s="383" t="s">
        <v>93</v>
      </c>
      <c r="AO2" s="383" t="s">
        <v>93</v>
      </c>
      <c r="AT2" s="383" t="s">
        <v>94</v>
      </c>
      <c r="AU2" s="383" t="s">
        <v>94</v>
      </c>
      <c r="AV2" s="383" t="s">
        <v>95</v>
      </c>
      <c r="AW2" s="383" t="s">
        <v>95</v>
      </c>
      <c r="AX2" s="383" t="s">
        <v>96</v>
      </c>
      <c r="AY2" s="383" t="s">
        <v>97</v>
      </c>
      <c r="AZ2" s="383" t="s">
        <v>49</v>
      </c>
      <c r="BA2" s="383" t="s">
        <v>98</v>
      </c>
      <c r="BD2" s="383" t="s">
        <v>99</v>
      </c>
      <c r="BE2" s="383" t="s">
        <v>100</v>
      </c>
      <c r="BQ2" s="383" t="str">
        <f>_xlfn.CONCAT("    ",BQ1)</f>
        <v xml:space="preserve">    Back to summary</v>
      </c>
      <c r="BS2" s="383" t="str">
        <f>IF('Summary | Sumário'!$D$6=Names!$B$3,Names!$G$3,Names!$H$3)</f>
        <v>Others</v>
      </c>
      <c r="BV2" s="383" t="s">
        <v>101</v>
      </c>
      <c r="BW2" s="383" t="s">
        <v>102</v>
      </c>
      <c r="BZ2" s="387" t="s">
        <v>103</v>
      </c>
      <c r="CA2" s="382" t="s">
        <v>104</v>
      </c>
      <c r="CB2" s="383" t="s">
        <v>105</v>
      </c>
      <c r="CC2" s="383" t="s">
        <v>106</v>
      </c>
    </row>
    <row r="3" spans="1:93">
      <c r="A3" s="383">
        <v>2</v>
      </c>
      <c r="B3" s="383" t="s">
        <v>107</v>
      </c>
      <c r="C3" s="384">
        <v>2020</v>
      </c>
      <c r="D3" s="384">
        <v>2020</v>
      </c>
      <c r="E3" s="384" t="s">
        <v>108</v>
      </c>
      <c r="F3" s="384" t="s">
        <v>109</v>
      </c>
      <c r="G3" s="384" t="s">
        <v>110</v>
      </c>
      <c r="H3" s="384" t="s">
        <v>111</v>
      </c>
      <c r="I3" s="383" t="s">
        <v>112</v>
      </c>
      <c r="J3" s="383" t="s">
        <v>113</v>
      </c>
      <c r="K3" s="383" t="s">
        <v>114</v>
      </c>
      <c r="L3" s="383" t="s">
        <v>115</v>
      </c>
      <c r="M3" s="383" t="s">
        <v>116</v>
      </c>
      <c r="N3" s="383" t="s">
        <v>117</v>
      </c>
      <c r="O3" s="383" t="s">
        <v>118</v>
      </c>
      <c r="P3" s="383" t="s">
        <v>119</v>
      </c>
      <c r="Q3" s="383" t="s">
        <v>120</v>
      </c>
      <c r="R3" s="383" t="s">
        <v>121</v>
      </c>
      <c r="S3" s="383" t="s">
        <v>122</v>
      </c>
      <c r="V3" s="383" t="s">
        <v>123</v>
      </c>
      <c r="W3" s="383" t="s">
        <v>124</v>
      </c>
      <c r="X3" s="383" t="s">
        <v>125</v>
      </c>
      <c r="Y3" s="383" t="s">
        <v>126</v>
      </c>
      <c r="Z3" s="383" t="s">
        <v>127</v>
      </c>
      <c r="AA3" s="383" t="s">
        <v>128</v>
      </c>
      <c r="AB3" s="383" t="s">
        <v>129</v>
      </c>
      <c r="AC3" s="383" t="s">
        <v>130</v>
      </c>
      <c r="AD3" s="383" t="s">
        <v>131</v>
      </c>
      <c r="AE3" s="383" t="s">
        <v>132</v>
      </c>
      <c r="AF3" s="383" t="s">
        <v>133</v>
      </c>
      <c r="AG3" s="383" t="s">
        <v>134</v>
      </c>
      <c r="AH3" s="383" t="s">
        <v>135</v>
      </c>
      <c r="AI3" s="383" t="s">
        <v>136</v>
      </c>
      <c r="AJ3" s="383" t="s">
        <v>137</v>
      </c>
      <c r="AK3" s="383" t="s">
        <v>138</v>
      </c>
      <c r="AL3" s="383" t="s">
        <v>139</v>
      </c>
      <c r="AM3" s="383" t="s">
        <v>140</v>
      </c>
      <c r="AN3" s="383" t="s">
        <v>141</v>
      </c>
      <c r="AO3" s="383" t="s">
        <v>142</v>
      </c>
      <c r="AP3" s="383" t="s">
        <v>143</v>
      </c>
      <c r="AQ3" s="383" t="s">
        <v>144</v>
      </c>
      <c r="AR3" s="383" t="s">
        <v>145</v>
      </c>
      <c r="AS3" s="383" t="s">
        <v>146</v>
      </c>
      <c r="AT3" s="383" t="s">
        <v>147</v>
      </c>
      <c r="AU3" s="383" t="s">
        <v>148</v>
      </c>
      <c r="AV3" s="383" t="s">
        <v>149</v>
      </c>
      <c r="AW3" s="383" t="s">
        <v>150</v>
      </c>
      <c r="AX3" s="383" t="s">
        <v>151</v>
      </c>
      <c r="AY3" s="383" t="s">
        <v>152</v>
      </c>
      <c r="AZ3" s="383" t="s">
        <v>153</v>
      </c>
      <c r="BA3" s="383" t="s">
        <v>153</v>
      </c>
      <c r="BD3" s="383" t="s">
        <v>154</v>
      </c>
      <c r="BE3" s="383" t="s">
        <v>155</v>
      </c>
      <c r="BF3" s="383" t="s">
        <v>156</v>
      </c>
      <c r="BG3" s="383" t="s">
        <v>157</v>
      </c>
      <c r="BH3" s="383" t="s">
        <v>158</v>
      </c>
      <c r="BI3" s="383" t="s">
        <v>158</v>
      </c>
      <c r="BV3" s="383" t="s">
        <v>159</v>
      </c>
      <c r="BW3" s="383" t="s">
        <v>159</v>
      </c>
      <c r="BZ3" s="386" t="s">
        <v>160</v>
      </c>
      <c r="CA3" s="383" t="s">
        <v>161</v>
      </c>
      <c r="CF3" s="383" t="s">
        <v>162</v>
      </c>
      <c r="CG3" s="383" t="s">
        <v>162</v>
      </c>
      <c r="CN3" s="383" t="s">
        <v>163</v>
      </c>
      <c r="CO3" s="383" t="s">
        <v>164</v>
      </c>
    </row>
    <row r="4" spans="1:93">
      <c r="A4" s="383">
        <v>3</v>
      </c>
      <c r="C4" s="384">
        <v>2021</v>
      </c>
      <c r="D4" s="384">
        <v>2021</v>
      </c>
      <c r="E4" s="384" t="s">
        <v>165</v>
      </c>
      <c r="F4" s="384" t="s">
        <v>166</v>
      </c>
      <c r="G4" s="384"/>
      <c r="H4" s="384"/>
      <c r="I4" s="383" t="s">
        <v>167</v>
      </c>
      <c r="J4" s="383" t="s">
        <v>168</v>
      </c>
      <c r="K4" s="383" t="s">
        <v>169</v>
      </c>
      <c r="L4" s="383" t="s">
        <v>170</v>
      </c>
      <c r="M4" s="383" t="s">
        <v>171</v>
      </c>
      <c r="N4" s="383" t="s">
        <v>172</v>
      </c>
      <c r="O4" s="383" t="s">
        <v>173</v>
      </c>
      <c r="P4" s="383" t="s">
        <v>174</v>
      </c>
      <c r="Q4" s="383" t="s">
        <v>175</v>
      </c>
      <c r="R4" s="383" t="s">
        <v>176</v>
      </c>
      <c r="S4" s="383" t="s">
        <v>177</v>
      </c>
      <c r="V4" s="383" t="s">
        <v>178</v>
      </c>
      <c r="W4" s="383" t="s">
        <v>179</v>
      </c>
      <c r="Z4" s="383" t="s">
        <v>180</v>
      </c>
      <c r="AA4" s="383" t="s">
        <v>181</v>
      </c>
      <c r="AB4" s="383" t="s">
        <v>182</v>
      </c>
      <c r="AC4" s="383" t="s">
        <v>183</v>
      </c>
      <c r="AD4" s="383" t="s">
        <v>184</v>
      </c>
      <c r="AE4" s="383" t="s">
        <v>185</v>
      </c>
      <c r="AF4" s="383" t="s">
        <v>186</v>
      </c>
      <c r="AG4" s="383" t="s">
        <v>187</v>
      </c>
      <c r="AH4" s="383" t="s">
        <v>188</v>
      </c>
      <c r="AI4" s="383" t="s">
        <v>189</v>
      </c>
      <c r="AJ4" s="383" t="s">
        <v>190</v>
      </c>
      <c r="AK4" s="383" t="s">
        <v>191</v>
      </c>
      <c r="AL4" s="383" t="s">
        <v>192</v>
      </c>
      <c r="AM4" s="383" t="s">
        <v>193</v>
      </c>
      <c r="AN4" s="383" t="s">
        <v>194</v>
      </c>
      <c r="AO4" s="383" t="s">
        <v>195</v>
      </c>
      <c r="AP4" s="383" t="s">
        <v>196</v>
      </c>
      <c r="AQ4" s="383" t="s">
        <v>197</v>
      </c>
      <c r="AR4" s="383" t="s">
        <v>198</v>
      </c>
      <c r="AS4" s="383" t="s">
        <v>199</v>
      </c>
      <c r="AT4" s="383" t="s">
        <v>200</v>
      </c>
      <c r="AU4" s="383" t="s">
        <v>201</v>
      </c>
      <c r="AV4" s="383" t="s">
        <v>202</v>
      </c>
      <c r="AW4" s="383" t="s">
        <v>203</v>
      </c>
      <c r="AX4" s="383" t="s">
        <v>204</v>
      </c>
      <c r="AY4" s="383" t="s">
        <v>205</v>
      </c>
      <c r="AZ4" s="383" t="s">
        <v>206</v>
      </c>
      <c r="BA4" s="383" t="s">
        <v>206</v>
      </c>
      <c r="BD4" s="383" t="s">
        <v>207</v>
      </c>
      <c r="BE4" s="383" t="s">
        <v>208</v>
      </c>
      <c r="BF4" s="383" t="s">
        <v>209</v>
      </c>
      <c r="BG4" s="383" t="s">
        <v>210</v>
      </c>
      <c r="BH4" s="383" t="s">
        <v>211</v>
      </c>
      <c r="BI4" s="383" t="s">
        <v>212</v>
      </c>
      <c r="BV4" s="383" t="s">
        <v>213</v>
      </c>
      <c r="BW4" s="383" t="s">
        <v>213</v>
      </c>
      <c r="BZ4" s="383" t="s">
        <v>112</v>
      </c>
      <c r="CA4" s="383" t="s">
        <v>113</v>
      </c>
      <c r="CB4" s="386" t="s">
        <v>214</v>
      </c>
      <c r="CC4" s="386" t="s">
        <v>215</v>
      </c>
      <c r="CF4" s="383" t="s">
        <v>216</v>
      </c>
      <c r="CG4" s="383" t="s">
        <v>217</v>
      </c>
      <c r="CN4" s="383" t="s">
        <v>218</v>
      </c>
      <c r="CO4" s="383" t="s">
        <v>219</v>
      </c>
    </row>
    <row r="5" spans="1:93">
      <c r="A5" s="383">
        <v>4</v>
      </c>
      <c r="C5" s="384">
        <v>2022</v>
      </c>
      <c r="D5" s="384">
        <v>2022</v>
      </c>
      <c r="E5" s="384" t="s">
        <v>220</v>
      </c>
      <c r="F5" s="384" t="s">
        <v>221</v>
      </c>
      <c r="G5" s="384"/>
      <c r="H5" s="384"/>
      <c r="I5" s="383" t="s">
        <v>222</v>
      </c>
      <c r="J5" s="383" t="s">
        <v>222</v>
      </c>
      <c r="K5" s="383" t="s">
        <v>223</v>
      </c>
      <c r="L5" s="383" t="s">
        <v>224</v>
      </c>
      <c r="M5" s="383" t="s">
        <v>225</v>
      </c>
      <c r="N5" s="383" t="s">
        <v>226</v>
      </c>
      <c r="O5" s="383" t="s">
        <v>227</v>
      </c>
      <c r="P5" s="383" t="s">
        <v>228</v>
      </c>
      <c r="Q5" s="383" t="s">
        <v>229</v>
      </c>
      <c r="R5" s="383" t="s">
        <v>230</v>
      </c>
      <c r="S5" s="383" t="s">
        <v>231</v>
      </c>
      <c r="V5" s="383" t="s">
        <v>232</v>
      </c>
      <c r="W5" s="383" t="s">
        <v>233</v>
      </c>
      <c r="Z5" s="383" t="s">
        <v>234</v>
      </c>
      <c r="AA5" s="383" t="s">
        <v>235</v>
      </c>
      <c r="AB5" s="383" t="s">
        <v>236</v>
      </c>
      <c r="AC5" s="383" t="s">
        <v>237</v>
      </c>
      <c r="AD5" s="383" t="s">
        <v>238</v>
      </c>
      <c r="AE5" s="383" t="s">
        <v>239</v>
      </c>
      <c r="AF5" s="383" t="s">
        <v>240</v>
      </c>
      <c r="AG5" s="383" t="s">
        <v>241</v>
      </c>
      <c r="AH5" s="383" t="s">
        <v>242</v>
      </c>
      <c r="AI5" s="383" t="s">
        <v>243</v>
      </c>
      <c r="AJ5" s="383" t="s">
        <v>244</v>
      </c>
      <c r="AK5" s="383" t="s">
        <v>244</v>
      </c>
      <c r="AL5" s="383" t="s">
        <v>245</v>
      </c>
      <c r="AM5" s="383" t="s">
        <v>246</v>
      </c>
      <c r="AN5" s="383" t="s">
        <v>247</v>
      </c>
      <c r="AO5" s="383" t="s">
        <v>248</v>
      </c>
      <c r="AP5" s="383" t="s">
        <v>249</v>
      </c>
      <c r="AQ5" s="383" t="s">
        <v>250</v>
      </c>
      <c r="AR5" s="383" t="s">
        <v>251</v>
      </c>
      <c r="AS5" s="383" t="s">
        <v>252</v>
      </c>
      <c r="AT5" s="383" t="s">
        <v>253</v>
      </c>
      <c r="AU5" s="383" t="s">
        <v>254</v>
      </c>
      <c r="AV5" s="383" t="s">
        <v>255</v>
      </c>
      <c r="AW5" s="383" t="s">
        <v>256</v>
      </c>
      <c r="AX5" s="383" t="s">
        <v>257</v>
      </c>
      <c r="AY5" s="383" t="s">
        <v>168</v>
      </c>
      <c r="AZ5" s="383" t="s">
        <v>258</v>
      </c>
      <c r="BA5" s="383" t="s">
        <v>259</v>
      </c>
      <c r="BF5" s="383" t="s">
        <v>260</v>
      </c>
      <c r="BG5" s="383" t="s">
        <v>261</v>
      </c>
      <c r="BH5" s="383" t="s">
        <v>262</v>
      </c>
      <c r="BI5" s="383" t="s">
        <v>263</v>
      </c>
      <c r="BV5" s="383" t="s">
        <v>264</v>
      </c>
      <c r="BW5" s="383" t="s">
        <v>265</v>
      </c>
      <c r="BZ5" s="383" t="s">
        <v>266</v>
      </c>
      <c r="CA5" s="383" t="s">
        <v>267</v>
      </c>
      <c r="CB5" s="383" t="s">
        <v>268</v>
      </c>
      <c r="CC5" s="383" t="s">
        <v>269</v>
      </c>
      <c r="CD5" s="383" t="s">
        <v>270</v>
      </c>
      <c r="CF5" s="383" t="s">
        <v>271</v>
      </c>
      <c r="CG5" s="383" t="s">
        <v>272</v>
      </c>
      <c r="CN5" s="383" t="s">
        <v>273</v>
      </c>
      <c r="CO5" s="383" t="s">
        <v>274</v>
      </c>
    </row>
    <row r="6" spans="1:93">
      <c r="A6" s="383">
        <v>5</v>
      </c>
      <c r="C6" s="384" t="s">
        <v>165</v>
      </c>
      <c r="D6" s="384" t="s">
        <v>166</v>
      </c>
      <c r="E6" s="384" t="s">
        <v>275</v>
      </c>
      <c r="F6" s="384" t="s">
        <v>276</v>
      </c>
      <c r="G6" s="384"/>
      <c r="H6" s="384"/>
      <c r="I6" s="383" t="s">
        <v>277</v>
      </c>
      <c r="J6" s="383" t="s">
        <v>278</v>
      </c>
      <c r="K6" s="383" t="s">
        <v>279</v>
      </c>
      <c r="L6" s="383" t="s">
        <v>280</v>
      </c>
      <c r="M6" s="383" t="s">
        <v>281</v>
      </c>
      <c r="N6" s="383" t="s">
        <v>282</v>
      </c>
      <c r="O6" s="383" t="s">
        <v>283</v>
      </c>
      <c r="P6" s="383" t="s">
        <v>284</v>
      </c>
      <c r="Q6" s="383" t="s">
        <v>285</v>
      </c>
      <c r="R6" s="383" t="s">
        <v>286</v>
      </c>
      <c r="V6" s="383" t="s">
        <v>287</v>
      </c>
      <c r="W6" s="383" t="s">
        <v>288</v>
      </c>
      <c r="Z6" s="383" t="s">
        <v>289</v>
      </c>
      <c r="AA6" s="383" t="s">
        <v>290</v>
      </c>
      <c r="AB6" s="383" t="s">
        <v>291</v>
      </c>
      <c r="AC6" s="383" t="s">
        <v>292</v>
      </c>
      <c r="AD6" s="383" t="s">
        <v>293</v>
      </c>
      <c r="AE6" s="383" t="s">
        <v>294</v>
      </c>
      <c r="AF6" s="383" t="s">
        <v>295</v>
      </c>
      <c r="AG6" s="383" t="s">
        <v>296</v>
      </c>
      <c r="AH6" s="383" t="s">
        <v>297</v>
      </c>
      <c r="AI6" s="383" t="s">
        <v>298</v>
      </c>
      <c r="AJ6" s="383" t="s">
        <v>299</v>
      </c>
      <c r="AK6" s="383" t="s">
        <v>300</v>
      </c>
      <c r="AL6" s="383" t="s">
        <v>118</v>
      </c>
      <c r="AM6" s="383" t="s">
        <v>127</v>
      </c>
      <c r="AN6" s="383" t="s">
        <v>301</v>
      </c>
      <c r="AO6" s="383" t="s">
        <v>301</v>
      </c>
      <c r="AP6" s="383" t="s">
        <v>260</v>
      </c>
      <c r="AQ6" s="383" t="s">
        <v>261</v>
      </c>
      <c r="AR6" s="383" t="s">
        <v>76</v>
      </c>
      <c r="AS6" s="383" t="s">
        <v>300</v>
      </c>
      <c r="AT6" s="383" t="s">
        <v>302</v>
      </c>
      <c r="AU6" s="383" t="s">
        <v>303</v>
      </c>
      <c r="AV6" s="383" t="s">
        <v>304</v>
      </c>
      <c r="AW6" s="383" t="s">
        <v>305</v>
      </c>
      <c r="AX6" s="383" t="s">
        <v>306</v>
      </c>
      <c r="AY6" s="383" t="s">
        <v>307</v>
      </c>
      <c r="AZ6" s="383" t="s">
        <v>308</v>
      </c>
      <c r="BA6" s="383" t="s">
        <v>309</v>
      </c>
      <c r="BF6" s="383" t="s">
        <v>310</v>
      </c>
      <c r="BG6" s="383" t="s">
        <v>311</v>
      </c>
      <c r="BH6" s="383" t="s">
        <v>312</v>
      </c>
      <c r="BI6" s="383" t="s">
        <v>312</v>
      </c>
      <c r="BV6" s="383" t="s">
        <v>313</v>
      </c>
      <c r="BW6" s="383" t="s">
        <v>314</v>
      </c>
      <c r="BZ6" s="383" t="s">
        <v>315</v>
      </c>
      <c r="CA6" s="383" t="s">
        <v>316</v>
      </c>
      <c r="CB6" s="383" t="s">
        <v>317</v>
      </c>
      <c r="CC6" s="383" t="s">
        <v>318</v>
      </c>
      <c r="CD6" s="383" t="s">
        <v>270</v>
      </c>
      <c r="CF6" s="383" t="s">
        <v>319</v>
      </c>
      <c r="CG6" s="383" t="s">
        <v>320</v>
      </c>
      <c r="CN6" s="383" t="s">
        <v>321</v>
      </c>
      <c r="CO6" s="383" t="s">
        <v>322</v>
      </c>
    </row>
    <row r="7" spans="1:93">
      <c r="A7" s="383">
        <v>6</v>
      </c>
      <c r="C7" s="384" t="s">
        <v>220</v>
      </c>
      <c r="D7" s="384" t="s">
        <v>221</v>
      </c>
      <c r="E7" s="384" t="s">
        <v>323</v>
      </c>
      <c r="F7" s="384" t="s">
        <v>324</v>
      </c>
      <c r="G7" s="384"/>
      <c r="H7" s="384"/>
      <c r="I7" s="383" t="s">
        <v>325</v>
      </c>
      <c r="J7" s="383" t="s">
        <v>31</v>
      </c>
      <c r="K7" s="383" t="s">
        <v>326</v>
      </c>
      <c r="L7" s="383" t="s">
        <v>327</v>
      </c>
      <c r="M7" s="383" t="s">
        <v>328</v>
      </c>
      <c r="N7" s="383" t="s">
        <v>329</v>
      </c>
      <c r="O7" s="383" t="s">
        <v>330</v>
      </c>
      <c r="Q7" s="383" t="s">
        <v>331</v>
      </c>
      <c r="R7" s="383" t="s">
        <v>331</v>
      </c>
      <c r="V7" s="383" t="s">
        <v>332</v>
      </c>
      <c r="W7" s="383" t="s">
        <v>333</v>
      </c>
      <c r="Z7" s="383" t="s">
        <v>334</v>
      </c>
      <c r="AA7" s="383" t="s">
        <v>335</v>
      </c>
      <c r="AB7" s="383" t="s">
        <v>336</v>
      </c>
      <c r="AC7" s="383" t="s">
        <v>337</v>
      </c>
      <c r="AD7" s="383" t="s">
        <v>338</v>
      </c>
      <c r="AE7" s="383" t="s">
        <v>143</v>
      </c>
      <c r="AF7" s="383" t="s">
        <v>339</v>
      </c>
      <c r="AG7" s="383" t="s">
        <v>340</v>
      </c>
      <c r="AH7" s="383" t="s">
        <v>341</v>
      </c>
      <c r="AI7" s="383" t="s">
        <v>342</v>
      </c>
      <c r="AJ7" s="383" t="s">
        <v>343</v>
      </c>
      <c r="AK7" s="383" t="s">
        <v>344</v>
      </c>
      <c r="AL7" s="383" t="s">
        <v>345</v>
      </c>
      <c r="AM7" s="383" t="s">
        <v>346</v>
      </c>
      <c r="AP7" s="383" t="s">
        <v>310</v>
      </c>
      <c r="AQ7" s="383" t="s">
        <v>311</v>
      </c>
      <c r="AR7" s="383" t="s">
        <v>347</v>
      </c>
      <c r="AS7" s="383" t="s">
        <v>348</v>
      </c>
      <c r="AT7" s="383" t="s">
        <v>349</v>
      </c>
      <c r="AU7" s="383" t="s">
        <v>349</v>
      </c>
      <c r="AV7" s="383" t="s">
        <v>350</v>
      </c>
      <c r="AW7" s="383" t="s">
        <v>351</v>
      </c>
      <c r="AZ7" s="383" t="s">
        <v>352</v>
      </c>
      <c r="BA7" s="383" t="s">
        <v>353</v>
      </c>
      <c r="BF7" s="383" t="s">
        <v>354</v>
      </c>
      <c r="BG7" s="383" t="s">
        <v>355</v>
      </c>
      <c r="BH7" s="383" t="s">
        <v>356</v>
      </c>
      <c r="BI7" s="383" t="s">
        <v>357</v>
      </c>
      <c r="BV7" s="383" t="s">
        <v>358</v>
      </c>
      <c r="BW7" s="383" t="s">
        <v>359</v>
      </c>
      <c r="BZ7" s="383" t="s">
        <v>360</v>
      </c>
      <c r="CA7" s="383" t="s">
        <v>361</v>
      </c>
      <c r="CF7" s="383" t="s">
        <v>362</v>
      </c>
      <c r="CG7" s="383" t="s">
        <v>363</v>
      </c>
      <c r="CN7" s="383" t="s">
        <v>364</v>
      </c>
      <c r="CO7" s="383" t="s">
        <v>365</v>
      </c>
    </row>
    <row r="8" spans="1:93">
      <c r="A8" s="383">
        <v>7</v>
      </c>
      <c r="C8" s="384" t="s">
        <v>275</v>
      </c>
      <c r="D8" s="384" t="s">
        <v>276</v>
      </c>
      <c r="E8" s="384" t="s">
        <v>366</v>
      </c>
      <c r="F8" s="384" t="s">
        <v>367</v>
      </c>
      <c r="G8" s="384"/>
      <c r="H8" s="384"/>
      <c r="I8" s="383" t="s">
        <v>132</v>
      </c>
      <c r="J8" s="383" t="s">
        <v>368</v>
      </c>
      <c r="K8" s="383" t="s">
        <v>369</v>
      </c>
      <c r="L8" s="383" t="s">
        <v>370</v>
      </c>
      <c r="M8" s="383" t="s">
        <v>371</v>
      </c>
      <c r="N8" s="383" t="s">
        <v>372</v>
      </c>
      <c r="O8" s="383" t="s">
        <v>373</v>
      </c>
      <c r="Q8" s="383" t="s">
        <v>331</v>
      </c>
      <c r="R8" s="383" t="s">
        <v>331</v>
      </c>
      <c r="V8" s="383" t="s">
        <v>374</v>
      </c>
      <c r="W8" s="383" t="s">
        <v>375</v>
      </c>
      <c r="Z8" s="383" t="s">
        <v>376</v>
      </c>
      <c r="AA8" s="383" t="s">
        <v>377</v>
      </c>
      <c r="AB8" s="383" t="s">
        <v>378</v>
      </c>
      <c r="AC8" s="383" t="s">
        <v>379</v>
      </c>
      <c r="AD8" s="383" t="s">
        <v>111</v>
      </c>
      <c r="AE8" s="383" t="s">
        <v>380</v>
      </c>
      <c r="AF8" s="383" t="s">
        <v>381</v>
      </c>
      <c r="AG8" s="383" t="s">
        <v>382</v>
      </c>
      <c r="AH8" s="383" t="s">
        <v>383</v>
      </c>
      <c r="AI8" s="383" t="s">
        <v>384</v>
      </c>
      <c r="AJ8" s="383" t="s">
        <v>385</v>
      </c>
      <c r="AK8" s="383" t="s">
        <v>386</v>
      </c>
      <c r="AL8" s="383" t="s">
        <v>387</v>
      </c>
      <c r="AM8" s="383" t="s">
        <v>388</v>
      </c>
      <c r="AN8" s="383" t="s">
        <v>339</v>
      </c>
      <c r="AO8" s="383" t="s">
        <v>340</v>
      </c>
      <c r="AP8" s="383" t="s">
        <v>354</v>
      </c>
      <c r="AQ8" s="383" t="s">
        <v>355</v>
      </c>
      <c r="AR8" s="383" t="s">
        <v>130</v>
      </c>
      <c r="AS8" s="383" t="s">
        <v>131</v>
      </c>
      <c r="AT8" s="383" t="s">
        <v>389</v>
      </c>
      <c r="AU8" s="383" t="s">
        <v>390</v>
      </c>
      <c r="AV8" s="383" t="s">
        <v>391</v>
      </c>
      <c r="AW8" s="383" t="s">
        <v>391</v>
      </c>
      <c r="AX8" s="383" t="s">
        <v>392</v>
      </c>
      <c r="AY8" s="383" t="s">
        <v>393</v>
      </c>
      <c r="AZ8" s="383" t="s">
        <v>394</v>
      </c>
      <c r="BA8" s="383" t="s">
        <v>395</v>
      </c>
      <c r="BF8" s="383" t="s">
        <v>396</v>
      </c>
      <c r="BG8" s="383" t="s">
        <v>397</v>
      </c>
      <c r="BH8" s="383" t="s">
        <v>398</v>
      </c>
      <c r="BI8" s="383" t="s">
        <v>399</v>
      </c>
      <c r="BV8" s="383" t="s">
        <v>400</v>
      </c>
      <c r="BW8" s="383" t="s">
        <v>400</v>
      </c>
      <c r="BZ8" s="383" t="s">
        <v>93</v>
      </c>
      <c r="CA8" s="383" t="s">
        <v>93</v>
      </c>
      <c r="CF8" s="383" t="s">
        <v>401</v>
      </c>
      <c r="CG8" s="383" t="s">
        <v>402</v>
      </c>
      <c r="CN8" s="383" t="s">
        <v>403</v>
      </c>
      <c r="CO8" s="383" t="s">
        <v>404</v>
      </c>
    </row>
    <row r="9" spans="1:93">
      <c r="A9" s="383">
        <v>8</v>
      </c>
      <c r="C9" s="384" t="s">
        <v>323</v>
      </c>
      <c r="D9" s="384" t="s">
        <v>324</v>
      </c>
      <c r="E9" s="384" t="s">
        <v>405</v>
      </c>
      <c r="F9" s="384" t="s">
        <v>406</v>
      </c>
      <c r="G9" s="384"/>
      <c r="H9" s="384"/>
      <c r="I9" s="383" t="s">
        <v>407</v>
      </c>
      <c r="J9" s="383" t="s">
        <v>407</v>
      </c>
      <c r="K9" s="383" t="s">
        <v>408</v>
      </c>
      <c r="L9" s="383" t="s">
        <v>409</v>
      </c>
      <c r="M9" s="383" t="s">
        <v>343</v>
      </c>
      <c r="N9" s="383" t="s">
        <v>344</v>
      </c>
      <c r="O9" s="383" t="s">
        <v>410</v>
      </c>
      <c r="Q9" s="383" t="s">
        <v>411</v>
      </c>
      <c r="R9" s="383" t="s">
        <v>412</v>
      </c>
      <c r="V9" s="383" t="s">
        <v>413</v>
      </c>
      <c r="W9" s="383" t="s">
        <v>414</v>
      </c>
      <c r="Z9" s="383" t="s">
        <v>415</v>
      </c>
      <c r="AA9" s="383" t="s">
        <v>416</v>
      </c>
      <c r="AB9" s="383" t="s">
        <v>417</v>
      </c>
      <c r="AC9" s="383" t="s">
        <v>418</v>
      </c>
      <c r="AD9" s="383" t="s">
        <v>419</v>
      </c>
      <c r="AE9" s="383" t="s">
        <v>420</v>
      </c>
      <c r="AF9" s="383" t="s">
        <v>421</v>
      </c>
      <c r="AG9" s="383" t="s">
        <v>422</v>
      </c>
      <c r="AH9" s="383" t="s">
        <v>423</v>
      </c>
      <c r="AI9" s="383" t="s">
        <v>424</v>
      </c>
      <c r="AJ9" s="383" t="s">
        <v>425</v>
      </c>
      <c r="AK9" s="383" t="s">
        <v>426</v>
      </c>
      <c r="AL9" s="383" t="s">
        <v>427</v>
      </c>
      <c r="AM9" s="383" t="s">
        <v>428</v>
      </c>
      <c r="AN9" s="383" t="s">
        <v>295</v>
      </c>
      <c r="AO9" s="383" t="s">
        <v>296</v>
      </c>
      <c r="AP9" s="383" t="s">
        <v>429</v>
      </c>
      <c r="AQ9" s="383" t="s">
        <v>430</v>
      </c>
      <c r="AR9" s="383" t="s">
        <v>343</v>
      </c>
      <c r="AS9" s="383" t="s">
        <v>344</v>
      </c>
      <c r="AT9" s="383" t="s">
        <v>431</v>
      </c>
      <c r="AU9" s="383" t="s">
        <v>432</v>
      </c>
      <c r="AV9" s="383" t="s">
        <v>433</v>
      </c>
      <c r="AW9" s="383" t="s">
        <v>433</v>
      </c>
      <c r="AX9" s="383" t="s">
        <v>434</v>
      </c>
      <c r="AY9" s="383" t="s">
        <v>363</v>
      </c>
      <c r="AZ9" s="383" t="s">
        <v>435</v>
      </c>
      <c r="BA9" s="383" t="s">
        <v>436</v>
      </c>
      <c r="BF9" s="383" t="s">
        <v>225</v>
      </c>
      <c r="BG9" s="383" t="s">
        <v>437</v>
      </c>
      <c r="BH9" s="383" t="s">
        <v>438</v>
      </c>
      <c r="BI9" s="383" t="s">
        <v>439</v>
      </c>
      <c r="BV9" s="383" t="s">
        <v>301</v>
      </c>
      <c r="BW9" s="383" t="s">
        <v>301</v>
      </c>
      <c r="BZ9" s="383" t="s">
        <v>295</v>
      </c>
      <c r="CA9" s="383" t="s">
        <v>296</v>
      </c>
      <c r="CB9" s="386" t="s">
        <v>440</v>
      </c>
      <c r="CC9" s="386" t="s">
        <v>440</v>
      </c>
      <c r="CF9" s="383" t="s">
        <v>441</v>
      </c>
      <c r="CG9" s="383" t="s">
        <v>442</v>
      </c>
    </row>
    <row r="10" spans="1:93">
      <c r="A10" s="383">
        <v>9</v>
      </c>
      <c r="C10" s="384" t="s">
        <v>366</v>
      </c>
      <c r="D10" s="384" t="s">
        <v>367</v>
      </c>
      <c r="E10" s="384" t="s">
        <v>443</v>
      </c>
      <c r="F10" s="384" t="s">
        <v>444</v>
      </c>
      <c r="G10" s="384"/>
      <c r="H10" s="384"/>
      <c r="I10" s="383" t="s">
        <v>294</v>
      </c>
      <c r="J10" s="383" t="s">
        <v>445</v>
      </c>
      <c r="K10" s="383" t="s">
        <v>446</v>
      </c>
      <c r="L10" s="383" t="s">
        <v>447</v>
      </c>
      <c r="M10" s="383" t="s">
        <v>448</v>
      </c>
      <c r="N10" s="383" t="s">
        <v>449</v>
      </c>
      <c r="O10" s="383" t="s">
        <v>450</v>
      </c>
      <c r="P10" s="383" t="s">
        <v>451</v>
      </c>
      <c r="Q10" s="383" t="s">
        <v>452</v>
      </c>
      <c r="R10" s="383" t="s">
        <v>453</v>
      </c>
      <c r="V10" s="383" t="s">
        <v>454</v>
      </c>
      <c r="W10" s="383" t="s">
        <v>455</v>
      </c>
      <c r="Z10" s="383" t="s">
        <v>456</v>
      </c>
      <c r="AA10" s="383" t="s">
        <v>457</v>
      </c>
      <c r="AB10" s="383" t="s">
        <v>458</v>
      </c>
      <c r="AC10" s="383" t="s">
        <v>350</v>
      </c>
      <c r="AD10" s="383" t="s">
        <v>459</v>
      </c>
      <c r="AE10" s="383" t="s">
        <v>460</v>
      </c>
      <c r="AF10" s="383" t="s">
        <v>461</v>
      </c>
      <c r="AG10" s="383" t="s">
        <v>461</v>
      </c>
      <c r="AH10" s="383" t="s">
        <v>462</v>
      </c>
      <c r="AI10" s="383" t="s">
        <v>463</v>
      </c>
      <c r="AJ10" s="383" t="s">
        <v>454</v>
      </c>
      <c r="AK10" s="383" t="s">
        <v>455</v>
      </c>
      <c r="AN10" s="383" t="s">
        <v>266</v>
      </c>
      <c r="AO10" s="383" t="s">
        <v>267</v>
      </c>
      <c r="AP10" s="383" t="s">
        <v>464</v>
      </c>
      <c r="AQ10" s="383" t="s">
        <v>465</v>
      </c>
      <c r="AR10" s="383" t="s">
        <v>448</v>
      </c>
      <c r="AS10" s="383" t="s">
        <v>449</v>
      </c>
      <c r="AT10" s="383" t="s">
        <v>466</v>
      </c>
      <c r="AU10" s="383" t="s">
        <v>467</v>
      </c>
      <c r="AX10" s="383" t="s">
        <v>319</v>
      </c>
      <c r="AY10" s="383" t="s">
        <v>320</v>
      </c>
      <c r="AZ10" s="383" t="s">
        <v>468</v>
      </c>
      <c r="BA10" s="383" t="s">
        <v>469</v>
      </c>
      <c r="BF10" s="383" t="s">
        <v>371</v>
      </c>
      <c r="BG10" s="383" t="s">
        <v>372</v>
      </c>
      <c r="BH10" s="383" t="s">
        <v>470</v>
      </c>
      <c r="BI10" s="383" t="s">
        <v>471</v>
      </c>
      <c r="BZ10" s="383" t="s">
        <v>472</v>
      </c>
      <c r="CA10" s="383" t="s">
        <v>473</v>
      </c>
      <c r="CB10" s="383" t="s">
        <v>474</v>
      </c>
      <c r="CC10" s="383" t="s">
        <v>474</v>
      </c>
      <c r="CF10" s="383" t="s">
        <v>475</v>
      </c>
      <c r="CG10" s="383" t="s">
        <v>476</v>
      </c>
      <c r="CN10" s="383" t="s">
        <v>477</v>
      </c>
      <c r="CO10" s="383" t="s">
        <v>477</v>
      </c>
    </row>
    <row r="11" spans="1:93">
      <c r="A11" s="383">
        <v>10</v>
      </c>
      <c r="C11" s="384" t="s">
        <v>405</v>
      </c>
      <c r="D11" s="384" t="s">
        <v>406</v>
      </c>
      <c r="E11" s="384" t="s">
        <v>478</v>
      </c>
      <c r="F11" s="384" t="s">
        <v>479</v>
      </c>
      <c r="G11" s="384"/>
      <c r="H11" s="384"/>
      <c r="I11" s="383" t="s">
        <v>480</v>
      </c>
      <c r="J11" s="383" t="s">
        <v>481</v>
      </c>
      <c r="K11" s="383" t="s">
        <v>482</v>
      </c>
      <c r="L11" s="383" t="s">
        <v>483</v>
      </c>
      <c r="M11" s="383" t="s">
        <v>484</v>
      </c>
      <c r="N11" s="383" t="s">
        <v>485</v>
      </c>
      <c r="O11" s="383" t="s">
        <v>486</v>
      </c>
      <c r="P11" s="383" t="s">
        <v>487</v>
      </c>
      <c r="Q11" s="383" t="s">
        <v>488</v>
      </c>
      <c r="V11" s="383" t="s">
        <v>410</v>
      </c>
      <c r="W11" s="383" t="s">
        <v>489</v>
      </c>
      <c r="Z11" s="383" t="s">
        <v>490</v>
      </c>
      <c r="AA11" s="383" t="s">
        <v>491</v>
      </c>
      <c r="AB11" s="383" t="s">
        <v>492</v>
      </c>
      <c r="AC11" s="383" t="s">
        <v>493</v>
      </c>
      <c r="AD11" s="383" t="s">
        <v>493</v>
      </c>
      <c r="AE11" s="383" t="s">
        <v>494</v>
      </c>
      <c r="AF11" s="383" t="s">
        <v>495</v>
      </c>
      <c r="AG11" s="383" t="s">
        <v>495</v>
      </c>
      <c r="AH11" s="383" t="s">
        <v>496</v>
      </c>
      <c r="AI11" s="383" t="s">
        <v>497</v>
      </c>
      <c r="AJ11" s="383" t="s">
        <v>498</v>
      </c>
      <c r="AK11" s="383" t="s">
        <v>499</v>
      </c>
      <c r="AL11" s="383" t="s">
        <v>500</v>
      </c>
      <c r="AM11" s="383" t="s">
        <v>500</v>
      </c>
      <c r="AN11" s="383" t="s">
        <v>501</v>
      </c>
      <c r="AO11" s="383" t="s">
        <v>502</v>
      </c>
      <c r="AP11" s="383" t="s">
        <v>503</v>
      </c>
      <c r="AQ11" s="383" t="s">
        <v>504</v>
      </c>
      <c r="AR11" s="383" t="s">
        <v>505</v>
      </c>
      <c r="AS11" s="383" t="s">
        <v>506</v>
      </c>
      <c r="AX11" s="383" t="s">
        <v>401</v>
      </c>
      <c r="AY11" s="383" t="s">
        <v>402</v>
      </c>
      <c r="BF11" s="383" t="s">
        <v>343</v>
      </c>
      <c r="BG11" s="383" t="s">
        <v>344</v>
      </c>
      <c r="BV11" s="383" t="s">
        <v>112</v>
      </c>
      <c r="BW11" s="383" t="s">
        <v>113</v>
      </c>
      <c r="BZ11" s="383" t="s">
        <v>72</v>
      </c>
      <c r="CA11" s="383" t="s">
        <v>73</v>
      </c>
      <c r="CB11" s="383" t="s">
        <v>507</v>
      </c>
      <c r="CC11" s="383" t="s">
        <v>508</v>
      </c>
      <c r="CD11" s="383" t="s">
        <v>509</v>
      </c>
      <c r="CF11" s="383" t="s">
        <v>510</v>
      </c>
      <c r="CG11" s="383" t="s">
        <v>510</v>
      </c>
      <c r="CN11" s="383" t="s">
        <v>511</v>
      </c>
      <c r="CO11" s="383" t="s">
        <v>512</v>
      </c>
    </row>
    <row r="12" spans="1:93">
      <c r="A12" s="383">
        <v>11</v>
      </c>
      <c r="C12" s="384" t="s">
        <v>443</v>
      </c>
      <c r="D12" s="384" t="s">
        <v>444</v>
      </c>
      <c r="E12" s="384" t="s">
        <v>513</v>
      </c>
      <c r="F12" s="384" t="s">
        <v>514</v>
      </c>
      <c r="G12" s="384"/>
      <c r="H12" s="384"/>
      <c r="I12" s="383" t="s">
        <v>515</v>
      </c>
      <c r="J12" s="383" t="s">
        <v>515</v>
      </c>
      <c r="K12" s="383" t="s">
        <v>516</v>
      </c>
      <c r="L12" s="383" t="s">
        <v>517</v>
      </c>
      <c r="M12" s="383" t="s">
        <v>518</v>
      </c>
      <c r="N12" s="383" t="s">
        <v>519</v>
      </c>
      <c r="O12" s="383" t="s">
        <v>118</v>
      </c>
      <c r="Q12" s="383" t="s">
        <v>520</v>
      </c>
      <c r="V12" s="383" t="s">
        <v>521</v>
      </c>
      <c r="W12" s="383" t="s">
        <v>522</v>
      </c>
      <c r="Z12" s="383" t="s">
        <v>127</v>
      </c>
      <c r="AA12" s="383" t="s">
        <v>116</v>
      </c>
      <c r="AB12" s="383" t="s">
        <v>523</v>
      </c>
      <c r="AC12" s="383" t="s">
        <v>328</v>
      </c>
      <c r="AD12" s="383" t="s">
        <v>329</v>
      </c>
      <c r="AF12" s="383" t="s">
        <v>93</v>
      </c>
      <c r="AG12" s="383" t="s">
        <v>93</v>
      </c>
      <c r="AH12" s="383" t="s">
        <v>524</v>
      </c>
      <c r="AI12" s="383" t="s">
        <v>525</v>
      </c>
      <c r="AJ12" s="383" t="s">
        <v>486</v>
      </c>
      <c r="AK12" s="383" t="s">
        <v>490</v>
      </c>
      <c r="AL12" s="383" t="s">
        <v>139</v>
      </c>
      <c r="AM12" s="383" t="s">
        <v>140</v>
      </c>
      <c r="AN12" s="383" t="s">
        <v>526</v>
      </c>
      <c r="AO12" s="383" t="s">
        <v>527</v>
      </c>
      <c r="AP12" s="383" t="s">
        <v>528</v>
      </c>
      <c r="AQ12" s="383" t="s">
        <v>529</v>
      </c>
      <c r="AR12" s="383" t="s">
        <v>530</v>
      </c>
      <c r="AS12" s="383" t="s">
        <v>465</v>
      </c>
      <c r="AT12" s="383" t="s">
        <v>531</v>
      </c>
      <c r="AU12" s="383" t="s">
        <v>532</v>
      </c>
      <c r="AX12" s="383" t="s">
        <v>533</v>
      </c>
      <c r="AY12" s="383" t="s">
        <v>534</v>
      </c>
      <c r="BF12" s="383" t="s">
        <v>448</v>
      </c>
      <c r="BG12" s="383" t="s">
        <v>449</v>
      </c>
      <c r="BV12" s="383" t="s">
        <v>535</v>
      </c>
      <c r="BW12" s="383" t="s">
        <v>536</v>
      </c>
      <c r="BZ12" s="383" t="s">
        <v>537</v>
      </c>
      <c r="CA12" s="383" t="s">
        <v>538</v>
      </c>
      <c r="CB12" s="383" t="s">
        <v>539</v>
      </c>
      <c r="CC12" s="383" t="s">
        <v>540</v>
      </c>
      <c r="CD12" s="383" t="s">
        <v>509</v>
      </c>
      <c r="CN12" s="383" t="s">
        <v>541</v>
      </c>
      <c r="CO12" s="383" t="s">
        <v>542</v>
      </c>
    </row>
    <row r="13" spans="1:93">
      <c r="A13" s="383">
        <v>12</v>
      </c>
      <c r="C13" s="384" t="s">
        <v>478</v>
      </c>
      <c r="D13" s="384" t="s">
        <v>479</v>
      </c>
      <c r="E13" s="384" t="s">
        <v>543</v>
      </c>
      <c r="F13" s="383" t="s">
        <v>544</v>
      </c>
      <c r="G13" s="384"/>
      <c r="H13" s="384"/>
      <c r="I13" s="383" t="s">
        <v>545</v>
      </c>
      <c r="J13" s="383" t="s">
        <v>545</v>
      </c>
      <c r="K13" s="383" t="s">
        <v>546</v>
      </c>
      <c r="L13" s="383" t="s">
        <v>547</v>
      </c>
      <c r="M13" s="383" t="s">
        <v>192</v>
      </c>
      <c r="N13" s="383" t="s">
        <v>548</v>
      </c>
      <c r="O13" s="383" t="s">
        <v>549</v>
      </c>
      <c r="V13" s="383" t="s">
        <v>550</v>
      </c>
      <c r="W13" s="383" t="s">
        <v>551</v>
      </c>
      <c r="Z13" s="383" t="s">
        <v>552</v>
      </c>
      <c r="AA13" s="383" t="s">
        <v>553</v>
      </c>
      <c r="AB13" s="383" t="s">
        <v>554</v>
      </c>
      <c r="AC13" s="383" t="s">
        <v>371</v>
      </c>
      <c r="AD13" s="383" t="s">
        <v>372</v>
      </c>
      <c r="AH13" s="383" t="s">
        <v>555</v>
      </c>
      <c r="AI13" s="383" t="s">
        <v>556</v>
      </c>
      <c r="AJ13" s="383" t="s">
        <v>326</v>
      </c>
      <c r="AK13" s="383" t="s">
        <v>327</v>
      </c>
      <c r="AL13" s="383" t="s">
        <v>192</v>
      </c>
      <c r="AM13" s="383" t="s">
        <v>193</v>
      </c>
      <c r="AN13" s="383" t="s">
        <v>557</v>
      </c>
      <c r="AO13" s="383" t="s">
        <v>558</v>
      </c>
      <c r="AP13" s="383" t="s">
        <v>339</v>
      </c>
      <c r="AQ13" s="383" t="s">
        <v>340</v>
      </c>
      <c r="AR13" s="383" t="s">
        <v>503</v>
      </c>
      <c r="AS13" s="383" t="s">
        <v>504</v>
      </c>
      <c r="AT13" s="383" t="s">
        <v>559</v>
      </c>
      <c r="AU13" s="383" t="s">
        <v>560</v>
      </c>
      <c r="BF13" s="383" t="s">
        <v>561</v>
      </c>
      <c r="BG13" s="383" t="s">
        <v>562</v>
      </c>
      <c r="BV13" s="383" t="s">
        <v>563</v>
      </c>
      <c r="BW13" s="383" t="s">
        <v>564</v>
      </c>
      <c r="BZ13" s="383" t="s">
        <v>565</v>
      </c>
      <c r="CA13" s="383" t="s">
        <v>566</v>
      </c>
      <c r="CN13" s="383" t="s">
        <v>567</v>
      </c>
      <c r="CO13" s="383" t="s">
        <v>568</v>
      </c>
    </row>
    <row r="14" spans="1:93">
      <c r="A14" s="383">
        <v>13</v>
      </c>
      <c r="C14" s="384" t="s">
        <v>513</v>
      </c>
      <c r="D14" s="384" t="s">
        <v>514</v>
      </c>
      <c r="E14" s="384" t="s">
        <v>569</v>
      </c>
      <c r="F14" s="384" t="s">
        <v>570</v>
      </c>
      <c r="G14" s="384"/>
      <c r="H14" s="384"/>
      <c r="I14" s="383" t="s">
        <v>571</v>
      </c>
      <c r="J14" s="383" t="s">
        <v>571</v>
      </c>
      <c r="K14" s="383" t="s">
        <v>572</v>
      </c>
      <c r="L14" s="383" t="s">
        <v>573</v>
      </c>
      <c r="M14" s="383" t="s">
        <v>260</v>
      </c>
      <c r="N14" s="383" t="s">
        <v>261</v>
      </c>
      <c r="O14" s="383" t="s">
        <v>486</v>
      </c>
      <c r="V14" s="383" t="s">
        <v>574</v>
      </c>
      <c r="W14" s="383" t="s">
        <v>574</v>
      </c>
      <c r="Z14" s="383" t="s">
        <v>490</v>
      </c>
      <c r="AA14" s="383" t="s">
        <v>416</v>
      </c>
      <c r="AB14" s="383" t="s">
        <v>417</v>
      </c>
      <c r="AF14" s="383" t="s">
        <v>575</v>
      </c>
      <c r="AG14" s="383" t="s">
        <v>576</v>
      </c>
      <c r="AH14" s="383" t="s">
        <v>577</v>
      </c>
      <c r="AI14" s="383" t="s">
        <v>578</v>
      </c>
      <c r="AJ14" s="383" t="s">
        <v>579</v>
      </c>
      <c r="AK14" s="383" t="s">
        <v>580</v>
      </c>
      <c r="AL14" s="383" t="s">
        <v>245</v>
      </c>
      <c r="AM14" s="383" t="s">
        <v>246</v>
      </c>
      <c r="AN14" s="383" t="s">
        <v>581</v>
      </c>
      <c r="AO14" s="383" t="s">
        <v>582</v>
      </c>
      <c r="AR14" s="383" t="s">
        <v>583</v>
      </c>
      <c r="AS14" s="383" t="s">
        <v>529</v>
      </c>
      <c r="AT14" s="383" t="s">
        <v>584</v>
      </c>
      <c r="AU14" s="383" t="s">
        <v>329</v>
      </c>
      <c r="BF14" s="383" t="s">
        <v>585</v>
      </c>
      <c r="BG14" s="383" t="s">
        <v>296</v>
      </c>
      <c r="BV14" s="383" t="s">
        <v>586</v>
      </c>
      <c r="BW14" s="383" t="s">
        <v>587</v>
      </c>
      <c r="BZ14" s="383" t="s">
        <v>588</v>
      </c>
      <c r="CA14" s="383" t="s">
        <v>589</v>
      </c>
      <c r="CB14" s="383" t="s">
        <v>590</v>
      </c>
      <c r="CC14" s="383" t="s">
        <v>590</v>
      </c>
      <c r="CN14" s="383" t="s">
        <v>591</v>
      </c>
      <c r="CO14" s="383" t="s">
        <v>592</v>
      </c>
    </row>
    <row r="15" spans="1:93" ht="63" customHeight="1">
      <c r="A15" s="383">
        <v>14</v>
      </c>
      <c r="C15" s="384" t="s">
        <v>543</v>
      </c>
      <c r="D15" s="383" t="s">
        <v>544</v>
      </c>
      <c r="E15" s="384" t="s">
        <v>593</v>
      </c>
      <c r="F15" s="384" t="s">
        <v>594</v>
      </c>
      <c r="I15" s="383" t="s">
        <v>595</v>
      </c>
      <c r="J15" s="383" t="s">
        <v>595</v>
      </c>
      <c r="K15" s="383" t="s">
        <v>596</v>
      </c>
      <c r="L15" s="383" t="s">
        <v>597</v>
      </c>
      <c r="M15" s="383" t="s">
        <v>354</v>
      </c>
      <c r="N15" s="383" t="s">
        <v>355</v>
      </c>
      <c r="O15" s="383" t="s">
        <v>598</v>
      </c>
      <c r="V15" s="383" t="s">
        <v>599</v>
      </c>
      <c r="W15" s="383" t="s">
        <v>600</v>
      </c>
      <c r="Z15" s="383" t="s">
        <v>601</v>
      </c>
      <c r="AA15" s="383" t="s">
        <v>602</v>
      </c>
      <c r="AB15" s="383" t="s">
        <v>603</v>
      </c>
      <c r="AC15" s="383" t="s">
        <v>604</v>
      </c>
      <c r="AD15" s="383" t="s">
        <v>605</v>
      </c>
      <c r="AF15" s="383" t="s">
        <v>606</v>
      </c>
      <c r="AG15" s="383" t="s">
        <v>607</v>
      </c>
      <c r="AH15" s="383" t="s">
        <v>608</v>
      </c>
      <c r="AI15" s="383" t="s">
        <v>609</v>
      </c>
      <c r="AL15" s="383" t="s">
        <v>610</v>
      </c>
      <c r="AM15" s="383" t="s">
        <v>127</v>
      </c>
      <c r="AN15" s="383" t="s">
        <v>611</v>
      </c>
      <c r="AO15" s="383" t="s">
        <v>612</v>
      </c>
      <c r="AR15" s="383" t="s">
        <v>358</v>
      </c>
      <c r="AS15" s="383" t="s">
        <v>613</v>
      </c>
      <c r="BV15" s="383" t="s">
        <v>614</v>
      </c>
      <c r="BW15" s="383" t="s">
        <v>615</v>
      </c>
      <c r="BZ15" s="383" t="s">
        <v>616</v>
      </c>
      <c r="CA15" s="383" t="s">
        <v>616</v>
      </c>
      <c r="CB15" s="383" t="s">
        <v>617</v>
      </c>
      <c r="CC15" s="383" t="s">
        <v>618</v>
      </c>
      <c r="CD15" s="382" t="s">
        <v>619</v>
      </c>
      <c r="CN15" s="383" t="s">
        <v>477</v>
      </c>
      <c r="CO15" s="383" t="s">
        <v>477</v>
      </c>
    </row>
    <row r="16" spans="1:93" ht="144">
      <c r="A16" s="383">
        <v>15</v>
      </c>
      <c r="C16" s="384" t="s">
        <v>569</v>
      </c>
      <c r="D16" s="384" t="s">
        <v>570</v>
      </c>
      <c r="E16" s="384" t="s">
        <v>620</v>
      </c>
      <c r="F16" s="384" t="s">
        <v>621</v>
      </c>
      <c r="I16" s="383" t="s">
        <v>622</v>
      </c>
      <c r="J16" s="383" t="s">
        <v>623</v>
      </c>
      <c r="K16" s="383" t="s">
        <v>624</v>
      </c>
      <c r="L16" s="383" t="s">
        <v>625</v>
      </c>
      <c r="M16" s="383" t="s">
        <v>561</v>
      </c>
      <c r="N16" s="383" t="s">
        <v>626</v>
      </c>
      <c r="O16" s="383" t="s">
        <v>598</v>
      </c>
      <c r="R16" s="383" t="s">
        <v>6</v>
      </c>
      <c r="S16" s="383" t="s">
        <v>6</v>
      </c>
      <c r="V16" s="383" t="s">
        <v>627</v>
      </c>
      <c r="W16" s="383" t="s">
        <v>628</v>
      </c>
      <c r="Z16" s="383" t="s">
        <v>601</v>
      </c>
      <c r="AA16" s="383" t="s">
        <v>266</v>
      </c>
      <c r="AB16" s="383" t="s">
        <v>629</v>
      </c>
      <c r="AC16" s="383" t="s">
        <v>630</v>
      </c>
      <c r="AD16" s="383" t="s">
        <v>631</v>
      </c>
      <c r="AH16" s="383" t="s">
        <v>632</v>
      </c>
      <c r="AI16" s="383" t="s">
        <v>633</v>
      </c>
      <c r="AJ16" s="383" t="s">
        <v>634</v>
      </c>
      <c r="AK16" s="383" t="s">
        <v>635</v>
      </c>
      <c r="AL16" s="383" t="s">
        <v>636</v>
      </c>
      <c r="AM16" s="383" t="s">
        <v>346</v>
      </c>
      <c r="AN16" s="383" t="s">
        <v>637</v>
      </c>
      <c r="AO16" s="383" t="s">
        <v>638</v>
      </c>
      <c r="BV16" s="383" t="s">
        <v>639</v>
      </c>
      <c r="BW16" s="383" t="s">
        <v>640</v>
      </c>
      <c r="BZ16" s="383" t="s">
        <v>461</v>
      </c>
      <c r="CA16" s="383" t="s">
        <v>461</v>
      </c>
      <c r="CB16" s="383" t="s">
        <v>641</v>
      </c>
      <c r="CC16" s="383" t="s">
        <v>642</v>
      </c>
      <c r="CD16" s="382" t="s">
        <v>619</v>
      </c>
    </row>
    <row r="17" spans="1:93">
      <c r="A17" s="383">
        <v>16</v>
      </c>
      <c r="C17" s="384" t="s">
        <v>593</v>
      </c>
      <c r="D17" s="384" t="s">
        <v>594</v>
      </c>
      <c r="E17" s="384" t="s">
        <v>643</v>
      </c>
      <c r="F17" s="384" t="s">
        <v>644</v>
      </c>
      <c r="I17" s="383" t="s">
        <v>49</v>
      </c>
      <c r="J17" s="383" t="s">
        <v>50</v>
      </c>
      <c r="K17" s="383" t="s">
        <v>645</v>
      </c>
      <c r="L17" s="383" t="s">
        <v>646</v>
      </c>
      <c r="M17" s="383" t="s">
        <v>310</v>
      </c>
      <c r="N17" s="383" t="s">
        <v>311</v>
      </c>
      <c r="O17" s="383" t="s">
        <v>647</v>
      </c>
      <c r="V17" s="383" t="s">
        <v>648</v>
      </c>
      <c r="W17" s="383" t="s">
        <v>649</v>
      </c>
      <c r="Z17" s="383" t="s">
        <v>650</v>
      </c>
      <c r="AA17" s="383" t="s">
        <v>651</v>
      </c>
      <c r="AB17" s="383" t="s">
        <v>652</v>
      </c>
      <c r="AC17" s="383" t="s">
        <v>653</v>
      </c>
      <c r="AD17" s="383" t="s">
        <v>654</v>
      </c>
      <c r="AH17" s="383" t="s">
        <v>655</v>
      </c>
      <c r="AI17" s="383" t="s">
        <v>656</v>
      </c>
      <c r="AJ17" s="383" t="s">
        <v>190</v>
      </c>
      <c r="AK17" s="383" t="s">
        <v>191</v>
      </c>
      <c r="AL17" s="383" t="s">
        <v>93</v>
      </c>
      <c r="AM17" s="383" t="s">
        <v>388</v>
      </c>
      <c r="AN17" s="383" t="s">
        <v>358</v>
      </c>
      <c r="AO17" s="383" t="s">
        <v>359</v>
      </c>
      <c r="AR17" s="383" t="s">
        <v>657</v>
      </c>
      <c r="AS17" s="383" t="s">
        <v>658</v>
      </c>
      <c r="BF17" s="383" t="s">
        <v>659</v>
      </c>
      <c r="BG17" s="383" t="s">
        <v>660</v>
      </c>
      <c r="BV17" s="383" t="s">
        <v>661</v>
      </c>
      <c r="BW17" s="383" t="s">
        <v>662</v>
      </c>
      <c r="BZ17" s="383" t="s">
        <v>611</v>
      </c>
      <c r="CA17" s="388" t="s">
        <v>663</v>
      </c>
      <c r="CN17" s="383" t="s">
        <v>1188</v>
      </c>
      <c r="CO17" s="383" t="s">
        <v>1188</v>
      </c>
    </row>
    <row r="18" spans="1:93">
      <c r="A18" s="383">
        <v>17</v>
      </c>
      <c r="C18" s="384">
        <v>2023</v>
      </c>
      <c r="D18" s="384">
        <v>2023</v>
      </c>
      <c r="E18" s="384" t="s">
        <v>664</v>
      </c>
      <c r="F18" s="384" t="s">
        <v>665</v>
      </c>
      <c r="I18" s="383" t="s">
        <v>666</v>
      </c>
      <c r="J18" s="383" t="s">
        <v>666</v>
      </c>
      <c r="K18" s="383" t="s">
        <v>128</v>
      </c>
      <c r="L18" s="383" t="s">
        <v>667</v>
      </c>
      <c r="M18" s="383" t="s">
        <v>668</v>
      </c>
      <c r="N18" s="383" t="s">
        <v>669</v>
      </c>
      <c r="O18" s="383" t="s">
        <v>141</v>
      </c>
      <c r="Q18" s="383" t="s">
        <v>670</v>
      </c>
      <c r="R18" s="383" t="s">
        <v>670</v>
      </c>
      <c r="V18" s="383" t="s">
        <v>671</v>
      </c>
      <c r="W18" s="383" t="s">
        <v>672</v>
      </c>
      <c r="Z18" s="383" t="s">
        <v>142</v>
      </c>
      <c r="AA18" s="383" t="s">
        <v>501</v>
      </c>
      <c r="AB18" s="383" t="s">
        <v>673</v>
      </c>
      <c r="AC18" s="383" t="s">
        <v>674</v>
      </c>
      <c r="AD18" s="383" t="s">
        <v>675</v>
      </c>
      <c r="AH18" s="383" t="s">
        <v>676</v>
      </c>
      <c r="AI18" s="383" t="s">
        <v>677</v>
      </c>
      <c r="AJ18" s="383" t="s">
        <v>244</v>
      </c>
      <c r="AK18" s="383" t="s">
        <v>244</v>
      </c>
      <c r="AN18" s="383" t="s">
        <v>678</v>
      </c>
      <c r="AO18" s="383" t="s">
        <v>679</v>
      </c>
      <c r="AR18" s="383" t="s">
        <v>680</v>
      </c>
      <c r="AS18" s="383" t="s">
        <v>681</v>
      </c>
      <c r="BF18" s="383" t="s">
        <v>260</v>
      </c>
      <c r="BG18" s="383" t="s">
        <v>261</v>
      </c>
      <c r="BV18" s="383" t="s">
        <v>682</v>
      </c>
      <c r="BW18" s="383" t="s">
        <v>683</v>
      </c>
      <c r="BZ18" s="386" t="s">
        <v>684</v>
      </c>
      <c r="CA18" s="386" t="s">
        <v>685</v>
      </c>
      <c r="CB18" s="383" t="s">
        <v>686</v>
      </c>
      <c r="CC18" s="383" t="s">
        <v>687</v>
      </c>
      <c r="CN18" s="383" t="s">
        <v>1189</v>
      </c>
      <c r="CO18" s="383" t="s">
        <v>1190</v>
      </c>
    </row>
    <row r="19" spans="1:93">
      <c r="A19" s="383">
        <v>18</v>
      </c>
      <c r="C19" s="384" t="s">
        <v>620</v>
      </c>
      <c r="D19" s="384" t="s">
        <v>621</v>
      </c>
      <c r="E19" s="384" t="s">
        <v>688</v>
      </c>
      <c r="F19" s="384" t="s">
        <v>689</v>
      </c>
      <c r="I19" s="383" t="s">
        <v>690</v>
      </c>
      <c r="J19" s="383" t="s">
        <v>691</v>
      </c>
      <c r="K19" s="383" t="s">
        <v>377</v>
      </c>
      <c r="L19" s="383" t="s">
        <v>378</v>
      </c>
      <c r="M19" s="383" t="s">
        <v>692</v>
      </c>
      <c r="N19" s="383" t="s">
        <v>693</v>
      </c>
      <c r="O19" s="383" t="s">
        <v>694</v>
      </c>
      <c r="Q19" s="383" t="s">
        <v>695</v>
      </c>
      <c r="R19" s="383" t="s">
        <v>670</v>
      </c>
      <c r="Z19" s="383" t="s">
        <v>696</v>
      </c>
      <c r="AC19" s="383" t="s">
        <v>697</v>
      </c>
      <c r="AD19" s="383" t="s">
        <v>698</v>
      </c>
      <c r="AH19" s="383" t="s">
        <v>699</v>
      </c>
      <c r="AI19" s="383" t="s">
        <v>700</v>
      </c>
      <c r="AJ19" s="383" t="s">
        <v>299</v>
      </c>
      <c r="AK19" s="383" t="s">
        <v>300</v>
      </c>
      <c r="AN19" s="383" t="s">
        <v>701</v>
      </c>
      <c r="AO19" s="383" t="s">
        <v>702</v>
      </c>
      <c r="AR19" s="383" t="s">
        <v>703</v>
      </c>
      <c r="AS19" s="383" t="s">
        <v>704</v>
      </c>
      <c r="BF19" s="383" t="s">
        <v>396</v>
      </c>
      <c r="BG19" s="383" t="s">
        <v>397</v>
      </c>
      <c r="BV19" s="383" t="s">
        <v>705</v>
      </c>
      <c r="BW19" s="383" t="s">
        <v>706</v>
      </c>
      <c r="BZ19" s="383" t="s">
        <v>707</v>
      </c>
      <c r="CA19" s="383" t="s">
        <v>708</v>
      </c>
      <c r="CN19" s="383" t="s">
        <v>1191</v>
      </c>
      <c r="CO19" s="383" t="s">
        <v>1192</v>
      </c>
    </row>
    <row r="20" spans="1:93">
      <c r="A20" s="383">
        <v>19</v>
      </c>
      <c r="C20" s="384" t="s">
        <v>643</v>
      </c>
      <c r="D20" s="384" t="s">
        <v>644</v>
      </c>
      <c r="E20" s="384" t="s">
        <v>709</v>
      </c>
      <c r="F20" s="383" t="s">
        <v>710</v>
      </c>
      <c r="I20" s="383" t="s">
        <v>711</v>
      </c>
      <c r="J20" s="383" t="s">
        <v>711</v>
      </c>
      <c r="K20" s="383" t="s">
        <v>712</v>
      </c>
      <c r="L20" s="383" t="s">
        <v>327</v>
      </c>
      <c r="M20" s="383" t="s">
        <v>713</v>
      </c>
      <c r="N20" s="383" t="s">
        <v>714</v>
      </c>
      <c r="O20" s="383" t="s">
        <v>715</v>
      </c>
      <c r="Q20" s="383" t="s">
        <v>716</v>
      </c>
      <c r="R20" s="383" t="s">
        <v>717</v>
      </c>
      <c r="Z20" s="383" t="s">
        <v>718</v>
      </c>
      <c r="AA20" s="383" t="s">
        <v>719</v>
      </c>
      <c r="AB20" s="383" t="s">
        <v>720</v>
      </c>
      <c r="AC20" s="383" t="s">
        <v>721</v>
      </c>
      <c r="AD20" s="383" t="s">
        <v>722</v>
      </c>
      <c r="AH20" s="383" t="s">
        <v>723</v>
      </c>
      <c r="AI20" s="383" t="s">
        <v>724</v>
      </c>
      <c r="AJ20" s="383" t="s">
        <v>343</v>
      </c>
      <c r="AK20" s="383" t="s">
        <v>344</v>
      </c>
      <c r="AN20" s="383" t="s">
        <v>137</v>
      </c>
      <c r="AO20" s="383" t="s">
        <v>138</v>
      </c>
      <c r="AR20" s="383" t="s">
        <v>76</v>
      </c>
      <c r="AS20" s="383" t="s">
        <v>300</v>
      </c>
      <c r="BF20" s="383" t="s">
        <v>299</v>
      </c>
      <c r="BG20" s="383" t="s">
        <v>300</v>
      </c>
      <c r="BV20" s="383" t="s">
        <v>725</v>
      </c>
      <c r="BW20" s="383" t="s">
        <v>726</v>
      </c>
      <c r="BZ20" s="383" t="s">
        <v>727</v>
      </c>
      <c r="CA20" s="383" t="s">
        <v>727</v>
      </c>
      <c r="CB20" s="383" t="s">
        <v>728</v>
      </c>
      <c r="CC20" s="383" t="s">
        <v>729</v>
      </c>
      <c r="CD20" s="383" t="s">
        <v>730</v>
      </c>
      <c r="CN20" s="383" t="s">
        <v>516</v>
      </c>
      <c r="CO20" s="383" t="s">
        <v>517</v>
      </c>
    </row>
    <row r="21" spans="1:93">
      <c r="A21" s="383">
        <v>20</v>
      </c>
      <c r="C21" s="384" t="s">
        <v>664</v>
      </c>
      <c r="D21" s="384" t="s">
        <v>665</v>
      </c>
      <c r="E21" s="384" t="s">
        <v>731</v>
      </c>
      <c r="F21" s="383" t="s">
        <v>732</v>
      </c>
      <c r="G21" s="383" t="s">
        <v>733</v>
      </c>
      <c r="I21" s="383" t="s">
        <v>734</v>
      </c>
      <c r="J21" s="383" t="s">
        <v>735</v>
      </c>
      <c r="K21" s="383" t="s">
        <v>736</v>
      </c>
      <c r="L21" s="383" t="s">
        <v>737</v>
      </c>
      <c r="M21" s="383" t="s">
        <v>738</v>
      </c>
      <c r="N21" s="383" t="s">
        <v>739</v>
      </c>
      <c r="O21" s="383" t="s">
        <v>740</v>
      </c>
      <c r="Q21" s="383" t="s">
        <v>741</v>
      </c>
      <c r="R21" s="383" t="s">
        <v>742</v>
      </c>
      <c r="Z21" s="383" t="s">
        <v>718</v>
      </c>
      <c r="AA21" s="383" t="s">
        <v>743</v>
      </c>
      <c r="AB21" s="383" t="s">
        <v>744</v>
      </c>
      <c r="AC21" s="383" t="s">
        <v>448</v>
      </c>
      <c r="AD21" s="383" t="s">
        <v>449</v>
      </c>
      <c r="AH21" s="383" t="s">
        <v>745</v>
      </c>
      <c r="AI21" s="383" t="s">
        <v>746</v>
      </c>
      <c r="AJ21" s="383" t="s">
        <v>747</v>
      </c>
      <c r="AK21" s="383" t="s">
        <v>748</v>
      </c>
      <c r="AN21" s="383" t="s">
        <v>634</v>
      </c>
      <c r="AO21" s="383" t="s">
        <v>635</v>
      </c>
      <c r="AR21" s="383" t="s">
        <v>347</v>
      </c>
      <c r="AS21" s="383" t="s">
        <v>348</v>
      </c>
      <c r="BF21" s="383" t="s">
        <v>371</v>
      </c>
      <c r="BG21" s="383" t="s">
        <v>372</v>
      </c>
      <c r="BV21" s="383" t="s">
        <v>749</v>
      </c>
      <c r="BW21" s="383" t="s">
        <v>750</v>
      </c>
      <c r="BZ21" s="383" t="s">
        <v>707</v>
      </c>
      <c r="CA21" s="383" t="s">
        <v>708</v>
      </c>
    </row>
    <row r="22" spans="1:93">
      <c r="A22" s="383">
        <v>21</v>
      </c>
      <c r="C22" s="384" t="s">
        <v>688</v>
      </c>
      <c r="D22" s="384" t="s">
        <v>689</v>
      </c>
      <c r="E22" s="383" t="s">
        <v>733</v>
      </c>
      <c r="F22" s="383" t="s">
        <v>751</v>
      </c>
      <c r="G22" s="383" t="s">
        <v>751</v>
      </c>
      <c r="I22" s="383" t="s">
        <v>752</v>
      </c>
      <c r="J22" s="383" t="s">
        <v>753</v>
      </c>
      <c r="K22" s="383" t="s">
        <v>754</v>
      </c>
      <c r="L22" s="383" t="s">
        <v>755</v>
      </c>
      <c r="M22" s="383" t="s">
        <v>756</v>
      </c>
      <c r="N22" s="383" t="s">
        <v>757</v>
      </c>
      <c r="O22" s="383" t="s">
        <v>758</v>
      </c>
      <c r="Q22" s="383" t="s">
        <v>759</v>
      </c>
      <c r="R22" s="383" t="s">
        <v>760</v>
      </c>
      <c r="Z22" s="383" t="s">
        <v>761</v>
      </c>
      <c r="AA22" s="383" t="s">
        <v>736</v>
      </c>
      <c r="AB22" s="383" t="s">
        <v>737</v>
      </c>
      <c r="AH22" s="383" t="s">
        <v>762</v>
      </c>
      <c r="AI22" s="383" t="s">
        <v>763</v>
      </c>
      <c r="AJ22" s="383" t="s">
        <v>764</v>
      </c>
      <c r="AK22" s="383" t="s">
        <v>765</v>
      </c>
      <c r="AN22" s="383" t="s">
        <v>713</v>
      </c>
      <c r="AO22" s="383" t="s">
        <v>714</v>
      </c>
      <c r="AR22" s="383" t="s">
        <v>130</v>
      </c>
      <c r="AS22" s="383" t="s">
        <v>131</v>
      </c>
      <c r="BF22" s="383" t="s">
        <v>343</v>
      </c>
      <c r="BG22" s="383" t="s">
        <v>344</v>
      </c>
      <c r="BZ22" s="386" t="s">
        <v>766</v>
      </c>
      <c r="CA22" s="383" t="s">
        <v>767</v>
      </c>
      <c r="CB22" s="383" t="s">
        <v>768</v>
      </c>
      <c r="CC22" s="383" t="s">
        <v>769</v>
      </c>
      <c r="CD22" s="383" t="s">
        <v>770</v>
      </c>
    </row>
    <row r="23" spans="1:93">
      <c r="A23" s="383">
        <v>22</v>
      </c>
      <c r="C23" s="384">
        <v>2024</v>
      </c>
      <c r="D23" s="384">
        <v>2024</v>
      </c>
      <c r="E23" s="384">
        <v>2025</v>
      </c>
      <c r="F23" s="384">
        <v>2025</v>
      </c>
      <c r="G23" s="383" t="s">
        <v>771</v>
      </c>
      <c r="K23" s="383" t="s">
        <v>772</v>
      </c>
      <c r="L23" s="383" t="s">
        <v>773</v>
      </c>
      <c r="M23" s="383" t="s">
        <v>774</v>
      </c>
      <c r="N23" s="383" t="s">
        <v>775</v>
      </c>
      <c r="O23" s="383" t="s">
        <v>194</v>
      </c>
      <c r="Q23" s="383" t="s">
        <v>776</v>
      </c>
      <c r="R23" s="383" t="s">
        <v>777</v>
      </c>
      <c r="Z23" s="383" t="s">
        <v>195</v>
      </c>
      <c r="AC23" s="383" t="s">
        <v>778</v>
      </c>
      <c r="AD23" s="383" t="s">
        <v>779</v>
      </c>
      <c r="AJ23" s="383" t="s">
        <v>454</v>
      </c>
      <c r="AK23" s="383" t="s">
        <v>455</v>
      </c>
      <c r="AN23" s="383" t="s">
        <v>780</v>
      </c>
      <c r="AO23" s="383" t="s">
        <v>781</v>
      </c>
      <c r="AR23" s="383" t="s">
        <v>343</v>
      </c>
      <c r="AS23" s="383" t="s">
        <v>344</v>
      </c>
      <c r="BF23" s="383" t="s">
        <v>448</v>
      </c>
      <c r="BG23" s="383" t="s">
        <v>449</v>
      </c>
      <c r="BV23" s="383" t="s">
        <v>782</v>
      </c>
      <c r="BW23" s="383" t="s">
        <v>783</v>
      </c>
      <c r="BZ23" s="383" t="s">
        <v>784</v>
      </c>
      <c r="CA23" s="383" t="s">
        <v>785</v>
      </c>
      <c r="CB23" s="383" t="s">
        <v>227</v>
      </c>
      <c r="CC23" s="383" t="s">
        <v>234</v>
      </c>
      <c r="CD23" s="383" t="s">
        <v>786</v>
      </c>
    </row>
    <row r="24" spans="1:93">
      <c r="A24" s="383">
        <v>23</v>
      </c>
      <c r="C24" s="384" t="s">
        <v>709</v>
      </c>
      <c r="D24" s="383" t="s">
        <v>710</v>
      </c>
      <c r="I24" s="383" t="s">
        <v>787</v>
      </c>
      <c r="J24" s="383" t="s">
        <v>788</v>
      </c>
      <c r="K24" s="383" t="s">
        <v>789</v>
      </c>
      <c r="L24" s="1" t="s">
        <v>790</v>
      </c>
      <c r="M24" s="383" t="s">
        <v>791</v>
      </c>
      <c r="N24" s="383" t="s">
        <v>781</v>
      </c>
      <c r="O24" s="383" t="s">
        <v>792</v>
      </c>
      <c r="Z24" s="383" t="s">
        <v>793</v>
      </c>
      <c r="AA24" s="383" t="s">
        <v>794</v>
      </c>
      <c r="AB24" s="383" t="s">
        <v>795</v>
      </c>
      <c r="AC24" s="383" t="s">
        <v>371</v>
      </c>
      <c r="AD24" s="383" t="s">
        <v>131</v>
      </c>
      <c r="AJ24" s="383" t="s">
        <v>498</v>
      </c>
      <c r="AK24" s="383" t="s">
        <v>499</v>
      </c>
      <c r="AN24" s="383" t="s">
        <v>495</v>
      </c>
      <c r="AO24" s="383" t="s">
        <v>495</v>
      </c>
      <c r="AR24" s="383" t="s">
        <v>448</v>
      </c>
      <c r="AS24" s="383" t="s">
        <v>449</v>
      </c>
      <c r="BF24" s="383" t="s">
        <v>561</v>
      </c>
      <c r="BG24" s="383" t="s">
        <v>562</v>
      </c>
      <c r="BV24" s="383" t="s">
        <v>796</v>
      </c>
      <c r="BW24" s="383" t="s">
        <v>797</v>
      </c>
      <c r="BZ24" s="383" t="s">
        <v>116</v>
      </c>
      <c r="CA24" s="383" t="s">
        <v>117</v>
      </c>
      <c r="CB24" s="383" t="s">
        <v>798</v>
      </c>
      <c r="CC24" s="383" t="s">
        <v>180</v>
      </c>
      <c r="CD24" s="383" t="s">
        <v>799</v>
      </c>
    </row>
    <row r="25" spans="1:93">
      <c r="A25" s="383">
        <v>24</v>
      </c>
      <c r="C25" s="384" t="s">
        <v>731</v>
      </c>
      <c r="D25" s="383" t="s">
        <v>732</v>
      </c>
      <c r="I25" s="383" t="s">
        <v>800</v>
      </c>
      <c r="J25" s="383" t="s">
        <v>801</v>
      </c>
      <c r="K25" s="383" t="s">
        <v>802</v>
      </c>
      <c r="L25" s="383" t="s">
        <v>803</v>
      </c>
      <c r="M25" s="383" t="s">
        <v>804</v>
      </c>
      <c r="N25" s="383" t="s">
        <v>805</v>
      </c>
      <c r="O25" s="383" t="s">
        <v>806</v>
      </c>
      <c r="Q25" s="383" t="s">
        <v>807</v>
      </c>
      <c r="R25" s="383" t="s">
        <v>808</v>
      </c>
      <c r="Z25" s="383" t="s">
        <v>809</v>
      </c>
      <c r="AC25" s="383" t="s">
        <v>448</v>
      </c>
      <c r="AD25" s="383" t="s">
        <v>449</v>
      </c>
      <c r="AJ25" s="383" t="s">
        <v>810</v>
      </c>
      <c r="AK25" s="383" t="s">
        <v>811</v>
      </c>
      <c r="AR25" s="383" t="s">
        <v>505</v>
      </c>
      <c r="AS25" s="383" t="s">
        <v>506</v>
      </c>
      <c r="BF25" s="383" t="s">
        <v>812</v>
      </c>
      <c r="BG25" s="383" t="s">
        <v>813</v>
      </c>
      <c r="BV25" s="383" t="s">
        <v>814</v>
      </c>
      <c r="BW25" s="383" t="s">
        <v>814</v>
      </c>
      <c r="BZ25" s="383" t="s">
        <v>299</v>
      </c>
      <c r="CA25" s="383" t="s">
        <v>815</v>
      </c>
      <c r="CB25" s="383" t="s">
        <v>816</v>
      </c>
      <c r="CC25" s="383" t="s">
        <v>289</v>
      </c>
      <c r="CD25" s="383" t="s">
        <v>817</v>
      </c>
    </row>
    <row r="26" spans="1:93">
      <c r="A26" s="383">
        <v>25</v>
      </c>
      <c r="C26" s="384" t="s">
        <v>733</v>
      </c>
      <c r="D26" s="383" t="s">
        <v>751</v>
      </c>
      <c r="E26" s="384" t="s">
        <v>818</v>
      </c>
      <c r="F26" s="383" t="s">
        <v>771</v>
      </c>
      <c r="K26" s="383" t="s">
        <v>819</v>
      </c>
      <c r="L26" s="383" t="s">
        <v>820</v>
      </c>
      <c r="M26" s="383" t="s">
        <v>526</v>
      </c>
      <c r="N26" s="383" t="s">
        <v>821</v>
      </c>
      <c r="O26" s="383" t="s">
        <v>822</v>
      </c>
      <c r="Z26" s="383" t="s">
        <v>823</v>
      </c>
      <c r="AC26" s="383" t="s">
        <v>824</v>
      </c>
      <c r="AD26" s="383" t="s">
        <v>825</v>
      </c>
      <c r="AJ26" s="383" t="s">
        <v>486</v>
      </c>
      <c r="AK26" s="383" t="s">
        <v>490</v>
      </c>
      <c r="AR26" s="383" t="s">
        <v>116</v>
      </c>
      <c r="AS26" s="383" t="s">
        <v>117</v>
      </c>
      <c r="BV26" s="383" t="s">
        <v>826</v>
      </c>
      <c r="BW26" s="383" t="s">
        <v>827</v>
      </c>
      <c r="CB26" s="383" t="s">
        <v>110</v>
      </c>
      <c r="CC26" s="383" t="s">
        <v>111</v>
      </c>
    </row>
    <row r="27" spans="1:93">
      <c r="A27" s="383">
        <v>26</v>
      </c>
      <c r="C27" s="384" t="s">
        <v>818</v>
      </c>
      <c r="D27" s="383" t="s">
        <v>771</v>
      </c>
      <c r="I27" s="383" t="s">
        <v>828</v>
      </c>
      <c r="J27" s="383" t="s">
        <v>829</v>
      </c>
      <c r="K27" s="383" t="s">
        <v>830</v>
      </c>
      <c r="L27" s="383" t="s">
        <v>831</v>
      </c>
      <c r="M27" s="383" t="s">
        <v>832</v>
      </c>
      <c r="N27" s="383" t="s">
        <v>773</v>
      </c>
      <c r="O27" s="383" t="s">
        <v>833</v>
      </c>
      <c r="Z27" s="383" t="s">
        <v>834</v>
      </c>
      <c r="AA27" s="383" t="s">
        <v>835</v>
      </c>
      <c r="AB27" s="383" t="s">
        <v>236</v>
      </c>
      <c r="AJ27" s="383" t="s">
        <v>836</v>
      </c>
      <c r="AK27" s="383" t="s">
        <v>837</v>
      </c>
      <c r="AR27" s="383" t="s">
        <v>464</v>
      </c>
      <c r="AS27" s="383" t="s">
        <v>465</v>
      </c>
      <c r="BF27" s="383" t="s">
        <v>838</v>
      </c>
      <c r="BG27" s="383" t="s">
        <v>839</v>
      </c>
      <c r="BZ27" s="383" t="s">
        <v>840</v>
      </c>
      <c r="CA27" s="383" t="s">
        <v>841</v>
      </c>
    </row>
    <row r="28" spans="1:93">
      <c r="A28" s="383">
        <v>27</v>
      </c>
      <c r="C28" s="384" t="s">
        <v>842</v>
      </c>
      <c r="D28" s="383" t="s">
        <v>843</v>
      </c>
      <c r="K28" s="383" t="s">
        <v>844</v>
      </c>
      <c r="L28" s="383" t="s">
        <v>845</v>
      </c>
      <c r="O28" s="383" t="s">
        <v>846</v>
      </c>
      <c r="Z28" s="383" t="s">
        <v>847</v>
      </c>
      <c r="AA28" s="383" t="s">
        <v>848</v>
      </c>
      <c r="AB28" s="383" t="s">
        <v>849</v>
      </c>
      <c r="AC28" s="383" t="s">
        <v>850</v>
      </c>
      <c r="AD28" s="383" t="s">
        <v>851</v>
      </c>
      <c r="AJ28" s="383" t="s">
        <v>326</v>
      </c>
      <c r="AK28" s="383" t="s">
        <v>327</v>
      </c>
      <c r="AR28" s="383" t="s">
        <v>503</v>
      </c>
      <c r="AS28" s="383" t="s">
        <v>504</v>
      </c>
      <c r="BF28" s="383" t="s">
        <v>310</v>
      </c>
      <c r="BG28" s="383" t="s">
        <v>311</v>
      </c>
      <c r="BV28" s="383" t="s">
        <v>38</v>
      </c>
      <c r="BW28" s="383" t="s">
        <v>38</v>
      </c>
      <c r="BZ28" s="383" t="s">
        <v>526</v>
      </c>
      <c r="CA28" s="383" t="s">
        <v>527</v>
      </c>
    </row>
    <row r="29" spans="1:93">
      <c r="A29" s="383">
        <v>28</v>
      </c>
      <c r="K29" s="383" t="s">
        <v>852</v>
      </c>
      <c r="L29" s="383" t="s">
        <v>853</v>
      </c>
      <c r="M29" s="383" t="s">
        <v>854</v>
      </c>
      <c r="N29" s="383" t="s">
        <v>855</v>
      </c>
      <c r="O29" s="383" t="s">
        <v>856</v>
      </c>
      <c r="Z29" s="383" t="s">
        <v>857</v>
      </c>
      <c r="AA29" s="383" t="s">
        <v>858</v>
      </c>
      <c r="AB29" s="383" t="s">
        <v>744</v>
      </c>
      <c r="AC29" s="383" t="s">
        <v>824</v>
      </c>
      <c r="AD29" s="383" t="s">
        <v>859</v>
      </c>
      <c r="AJ29" s="383" t="s">
        <v>860</v>
      </c>
      <c r="AK29" s="383" t="s">
        <v>861</v>
      </c>
      <c r="AR29" s="383" t="s">
        <v>583</v>
      </c>
      <c r="AS29" s="383" t="s">
        <v>529</v>
      </c>
      <c r="BF29" s="383" t="s">
        <v>396</v>
      </c>
      <c r="BG29" s="383" t="s">
        <v>397</v>
      </c>
      <c r="BV29" s="383" t="s">
        <v>647</v>
      </c>
      <c r="BW29" s="383" t="s">
        <v>601</v>
      </c>
      <c r="CB29" s="383" t="s">
        <v>862</v>
      </c>
      <c r="CC29" s="383" t="s">
        <v>863</v>
      </c>
    </row>
    <row r="30" spans="1:93">
      <c r="A30" s="383">
        <v>29</v>
      </c>
      <c r="I30" s="610" t="s">
        <v>752</v>
      </c>
      <c r="J30" s="610" t="s">
        <v>753</v>
      </c>
      <c r="K30" s="383" t="s">
        <v>591</v>
      </c>
      <c r="L30" s="383" t="s">
        <v>592</v>
      </c>
      <c r="M30" s="383" t="s">
        <v>864</v>
      </c>
      <c r="N30" s="383" t="s">
        <v>865</v>
      </c>
      <c r="O30" s="383" t="s">
        <v>866</v>
      </c>
      <c r="Z30" s="383" t="s">
        <v>867</v>
      </c>
      <c r="AA30" s="383" t="s">
        <v>868</v>
      </c>
      <c r="AB30" s="383" t="s">
        <v>291</v>
      </c>
      <c r="AC30" s="383" t="s">
        <v>869</v>
      </c>
      <c r="AD30" s="383" t="s">
        <v>870</v>
      </c>
      <c r="AR30" s="383" t="s">
        <v>678</v>
      </c>
      <c r="AS30" s="383" t="s">
        <v>871</v>
      </c>
      <c r="BF30" s="383" t="s">
        <v>299</v>
      </c>
      <c r="BG30" s="383" t="s">
        <v>300</v>
      </c>
      <c r="BV30" s="383" t="s">
        <v>758</v>
      </c>
      <c r="BW30" s="383" t="s">
        <v>872</v>
      </c>
      <c r="BZ30" s="383" t="s">
        <v>192</v>
      </c>
      <c r="CA30" s="383" t="s">
        <v>193</v>
      </c>
      <c r="CB30" s="383" t="s">
        <v>873</v>
      </c>
      <c r="CC30" s="383" t="s">
        <v>874</v>
      </c>
    </row>
    <row r="31" spans="1:93">
      <c r="A31" s="383">
        <v>30</v>
      </c>
      <c r="I31" s="383" t="s">
        <v>72</v>
      </c>
      <c r="J31" s="383" t="s">
        <v>73</v>
      </c>
      <c r="K31" s="383" t="s">
        <v>875</v>
      </c>
      <c r="L31" s="383" t="s">
        <v>876</v>
      </c>
      <c r="M31" s="383" t="s">
        <v>877</v>
      </c>
      <c r="N31" s="383" t="s">
        <v>878</v>
      </c>
      <c r="O31" s="383" t="s">
        <v>76</v>
      </c>
      <c r="Z31" s="383" t="s">
        <v>879</v>
      </c>
      <c r="AA31" s="383" t="s">
        <v>110</v>
      </c>
      <c r="AB31" s="383" t="s">
        <v>111</v>
      </c>
      <c r="AC31" s="383" t="s">
        <v>244</v>
      </c>
      <c r="AD31" s="383" t="s">
        <v>244</v>
      </c>
      <c r="AJ31" s="383" t="s">
        <v>880</v>
      </c>
      <c r="AK31" s="383" t="s">
        <v>881</v>
      </c>
      <c r="BF31" s="383" t="s">
        <v>371</v>
      </c>
      <c r="BG31" s="383" t="s">
        <v>372</v>
      </c>
      <c r="BV31" s="383" t="s">
        <v>882</v>
      </c>
      <c r="BW31" s="383" t="s">
        <v>883</v>
      </c>
      <c r="BZ31" s="383" t="s">
        <v>804</v>
      </c>
      <c r="CA31" s="383" t="s">
        <v>805</v>
      </c>
    </row>
    <row r="32" spans="1:93">
      <c r="A32" s="383">
        <v>31</v>
      </c>
      <c r="I32" s="383" t="s">
        <v>112</v>
      </c>
      <c r="J32" s="383" t="s">
        <v>113</v>
      </c>
      <c r="K32" s="383" t="s">
        <v>884</v>
      </c>
      <c r="L32" s="383" t="s">
        <v>885</v>
      </c>
      <c r="O32" s="383" t="s">
        <v>76</v>
      </c>
      <c r="Z32" s="383" t="s">
        <v>879</v>
      </c>
      <c r="AC32" s="383" t="s">
        <v>299</v>
      </c>
      <c r="AD32" s="383" t="s">
        <v>300</v>
      </c>
      <c r="AJ32" s="383" t="s">
        <v>886</v>
      </c>
      <c r="AK32" s="383" t="s">
        <v>887</v>
      </c>
      <c r="AR32" s="383" t="s">
        <v>888</v>
      </c>
      <c r="AS32" s="383" t="s">
        <v>888</v>
      </c>
      <c r="BF32" s="383" t="s">
        <v>343</v>
      </c>
      <c r="BG32" s="383" t="s">
        <v>344</v>
      </c>
    </row>
    <row r="33" spans="1:79">
      <c r="A33" s="383">
        <v>32</v>
      </c>
      <c r="I33" s="383" t="s">
        <v>222</v>
      </c>
      <c r="J33" s="383" t="s">
        <v>222</v>
      </c>
      <c r="K33" s="383" t="s">
        <v>889</v>
      </c>
      <c r="L33" s="383" t="s">
        <v>890</v>
      </c>
      <c r="O33" s="383" t="s">
        <v>891</v>
      </c>
      <c r="Z33" s="383" t="s">
        <v>127</v>
      </c>
      <c r="AA33" s="383" t="s">
        <v>892</v>
      </c>
      <c r="AB33" s="383" t="s">
        <v>893</v>
      </c>
      <c r="AC33" s="383" t="s">
        <v>343</v>
      </c>
      <c r="AD33" s="383" t="s">
        <v>344</v>
      </c>
      <c r="AJ33" s="383" t="s">
        <v>894</v>
      </c>
      <c r="AK33" s="383" t="s">
        <v>895</v>
      </c>
      <c r="BF33" s="383" t="s">
        <v>448</v>
      </c>
      <c r="BG33" s="383" t="s">
        <v>449</v>
      </c>
      <c r="BV33" s="383" t="s">
        <v>896</v>
      </c>
      <c r="BW33" s="383" t="s">
        <v>897</v>
      </c>
      <c r="BZ33" s="383" t="s">
        <v>898</v>
      </c>
      <c r="CA33" s="383" t="s">
        <v>899</v>
      </c>
    </row>
    <row r="34" spans="1:79">
      <c r="A34" s="383">
        <v>33</v>
      </c>
      <c r="I34" s="383" t="s">
        <v>900</v>
      </c>
      <c r="J34" s="383" t="s">
        <v>901</v>
      </c>
      <c r="K34" s="383" t="s">
        <v>902</v>
      </c>
      <c r="L34" s="383" t="s">
        <v>903</v>
      </c>
      <c r="O34" s="383" t="s">
        <v>798</v>
      </c>
      <c r="Z34" s="383" t="s">
        <v>180</v>
      </c>
      <c r="AA34" s="383" t="s">
        <v>904</v>
      </c>
      <c r="AB34" s="383" t="s">
        <v>905</v>
      </c>
      <c r="AC34" s="383" t="s">
        <v>824</v>
      </c>
      <c r="AD34" s="383" t="s">
        <v>859</v>
      </c>
      <c r="AJ34" s="383" t="s">
        <v>192</v>
      </c>
      <c r="AK34" s="383" t="s">
        <v>193</v>
      </c>
      <c r="BF34" s="383" t="s">
        <v>561</v>
      </c>
      <c r="BG34" s="383" t="s">
        <v>562</v>
      </c>
      <c r="BV34" s="383" t="s">
        <v>670</v>
      </c>
      <c r="BW34" s="383" t="s">
        <v>670</v>
      </c>
      <c r="BZ34" s="383" t="s">
        <v>561</v>
      </c>
      <c r="CA34" s="383" t="s">
        <v>626</v>
      </c>
    </row>
    <row r="35" spans="1:79">
      <c r="A35" s="383">
        <v>34</v>
      </c>
      <c r="I35" s="383" t="s">
        <v>906</v>
      </c>
      <c r="J35" s="383" t="s">
        <v>907</v>
      </c>
      <c r="K35" s="383" t="s">
        <v>908</v>
      </c>
      <c r="L35" s="383" t="s">
        <v>909</v>
      </c>
      <c r="O35" s="383" t="s">
        <v>227</v>
      </c>
      <c r="Z35" s="383" t="s">
        <v>234</v>
      </c>
      <c r="AA35" s="383" t="s">
        <v>910</v>
      </c>
      <c r="AC35" s="383" t="s">
        <v>611</v>
      </c>
      <c r="AD35" s="383" t="s">
        <v>911</v>
      </c>
      <c r="AJ35" s="383" t="s">
        <v>912</v>
      </c>
      <c r="AK35" s="383" t="s">
        <v>913</v>
      </c>
      <c r="BF35" s="383" t="s">
        <v>914</v>
      </c>
      <c r="BG35" s="383" t="s">
        <v>915</v>
      </c>
      <c r="BV35" s="383" t="s">
        <v>916</v>
      </c>
      <c r="BW35" s="383" t="s">
        <v>917</v>
      </c>
      <c r="BZ35" s="383" t="s">
        <v>918</v>
      </c>
      <c r="CA35" s="383" t="s">
        <v>919</v>
      </c>
    </row>
    <row r="36" spans="1:79">
      <c r="A36" s="383">
        <v>35</v>
      </c>
      <c r="I36" s="383" t="s">
        <v>277</v>
      </c>
      <c r="J36" s="383" t="s">
        <v>920</v>
      </c>
      <c r="K36" s="383" t="s">
        <v>364</v>
      </c>
      <c r="L36" s="383" t="s">
        <v>365</v>
      </c>
      <c r="O36" s="383" t="s">
        <v>283</v>
      </c>
      <c r="Z36" s="383" t="s">
        <v>289</v>
      </c>
      <c r="AA36" s="383" t="s">
        <v>921</v>
      </c>
      <c r="AJ36" s="383" t="s">
        <v>922</v>
      </c>
      <c r="AK36" s="383" t="s">
        <v>923</v>
      </c>
      <c r="BV36" s="383" t="s">
        <v>924</v>
      </c>
      <c r="BW36" s="383" t="s">
        <v>925</v>
      </c>
      <c r="BZ36" s="383" t="s">
        <v>713</v>
      </c>
      <c r="CA36" s="383" t="s">
        <v>781</v>
      </c>
    </row>
    <row r="37" spans="1:79">
      <c r="A37" s="383">
        <v>36</v>
      </c>
      <c r="I37" s="383" t="s">
        <v>926</v>
      </c>
      <c r="J37" s="383" t="s">
        <v>927</v>
      </c>
      <c r="K37" s="383" t="s">
        <v>928</v>
      </c>
      <c r="L37" s="383" t="s">
        <v>929</v>
      </c>
      <c r="O37" s="383" t="s">
        <v>768</v>
      </c>
      <c r="Z37" s="383" t="s">
        <v>334</v>
      </c>
      <c r="AA37" s="383" t="s">
        <v>930</v>
      </c>
      <c r="AJ37" s="383" t="s">
        <v>931</v>
      </c>
      <c r="AK37" s="383" t="s">
        <v>932</v>
      </c>
      <c r="BF37" s="383" t="s">
        <v>933</v>
      </c>
      <c r="BG37" s="383" t="s">
        <v>934</v>
      </c>
      <c r="BV37" s="383" t="s">
        <v>935</v>
      </c>
      <c r="BW37" s="383" t="s">
        <v>936</v>
      </c>
    </row>
    <row r="38" spans="1:79">
      <c r="A38" s="383">
        <v>37</v>
      </c>
      <c r="I38" s="383" t="s">
        <v>325</v>
      </c>
      <c r="J38" s="383" t="s">
        <v>31</v>
      </c>
      <c r="K38" s="383" t="s">
        <v>937</v>
      </c>
      <c r="L38" s="383" t="s">
        <v>938</v>
      </c>
      <c r="O38" s="383" t="s">
        <v>373</v>
      </c>
      <c r="Z38" s="383" t="s">
        <v>376</v>
      </c>
      <c r="AC38" s="383" t="s">
        <v>939</v>
      </c>
      <c r="AD38" s="383" t="s">
        <v>940</v>
      </c>
      <c r="BV38" s="383" t="s">
        <v>477</v>
      </c>
      <c r="BW38" s="383" t="s">
        <v>477</v>
      </c>
      <c r="BZ38" s="383" t="s">
        <v>772</v>
      </c>
      <c r="CA38" s="383" t="s">
        <v>775</v>
      </c>
    </row>
    <row r="39" spans="1:79">
      <c r="A39" s="383">
        <v>38</v>
      </c>
      <c r="I39" s="383" t="s">
        <v>38</v>
      </c>
      <c r="J39" s="383" t="s">
        <v>38</v>
      </c>
      <c r="O39" s="383" t="s">
        <v>454</v>
      </c>
      <c r="Z39" s="383" t="s">
        <v>455</v>
      </c>
      <c r="AC39" s="383" t="s">
        <v>941</v>
      </c>
      <c r="AD39" s="383" t="s">
        <v>942</v>
      </c>
      <c r="BV39" s="383" t="s">
        <v>716</v>
      </c>
      <c r="BW39" s="383" t="s">
        <v>943</v>
      </c>
      <c r="BZ39" s="386" t="s">
        <v>780</v>
      </c>
      <c r="CA39" s="383" t="s">
        <v>944</v>
      </c>
    </row>
    <row r="40" spans="1:79">
      <c r="A40" s="383">
        <v>39</v>
      </c>
      <c r="I40" s="383" t="s">
        <v>945</v>
      </c>
      <c r="J40" s="383" t="s">
        <v>946</v>
      </c>
      <c r="O40" s="383" t="s">
        <v>947</v>
      </c>
      <c r="Z40" s="383" t="s">
        <v>948</v>
      </c>
      <c r="AC40" s="383" t="s">
        <v>949</v>
      </c>
      <c r="AD40" s="383" t="s">
        <v>950</v>
      </c>
      <c r="AJ40" s="383" t="s">
        <v>951</v>
      </c>
      <c r="AK40" s="383" t="s">
        <v>952</v>
      </c>
      <c r="BF40" s="383" t="s">
        <v>953</v>
      </c>
      <c r="BG40" s="383" t="s">
        <v>954</v>
      </c>
      <c r="BV40" s="383" t="s">
        <v>411</v>
      </c>
      <c r="BW40" s="383" t="s">
        <v>955</v>
      </c>
    </row>
    <row r="41" spans="1:79">
      <c r="A41" s="383">
        <v>40</v>
      </c>
      <c r="I41" s="383" t="s">
        <v>956</v>
      </c>
      <c r="J41" s="383" t="s">
        <v>956</v>
      </c>
      <c r="O41" s="383" t="s">
        <v>957</v>
      </c>
      <c r="Z41" s="383" t="s">
        <v>111</v>
      </c>
      <c r="AJ41" s="383" t="s">
        <v>958</v>
      </c>
      <c r="AK41" s="383" t="s">
        <v>959</v>
      </c>
      <c r="BF41" s="383" t="s">
        <v>960</v>
      </c>
      <c r="BG41" s="383" t="s">
        <v>961</v>
      </c>
      <c r="BV41" s="383" t="s">
        <v>163</v>
      </c>
      <c r="BW41" s="383" t="s">
        <v>164</v>
      </c>
      <c r="BZ41" s="383" t="s">
        <v>962</v>
      </c>
      <c r="CA41" s="383" t="s">
        <v>963</v>
      </c>
    </row>
    <row r="42" spans="1:79">
      <c r="A42" s="383">
        <v>41</v>
      </c>
      <c r="I42" s="383" t="s">
        <v>294</v>
      </c>
      <c r="J42" s="383" t="s">
        <v>445</v>
      </c>
      <c r="O42" s="383" t="s">
        <v>116</v>
      </c>
      <c r="Z42" s="383" t="s">
        <v>117</v>
      </c>
      <c r="AC42" s="383" t="s">
        <v>964</v>
      </c>
      <c r="AD42" s="383" t="s">
        <v>965</v>
      </c>
      <c r="AJ42" s="383" t="s">
        <v>966</v>
      </c>
      <c r="AK42" s="383" t="s">
        <v>967</v>
      </c>
      <c r="BF42" s="383" t="s">
        <v>968</v>
      </c>
      <c r="BG42" s="383" t="s">
        <v>969</v>
      </c>
      <c r="BV42" s="383" t="s">
        <v>477</v>
      </c>
      <c r="BW42" s="383" t="s">
        <v>477</v>
      </c>
      <c r="BZ42" s="383" t="s">
        <v>74</v>
      </c>
      <c r="CA42" s="383" t="s">
        <v>75</v>
      </c>
    </row>
    <row r="43" spans="1:79">
      <c r="I43" s="383" t="s">
        <v>480</v>
      </c>
      <c r="J43" s="383" t="s">
        <v>481</v>
      </c>
      <c r="K43" s="383" t="s">
        <v>970</v>
      </c>
      <c r="L43" s="383" t="s">
        <v>971</v>
      </c>
      <c r="O43" s="383" t="s">
        <v>972</v>
      </c>
      <c r="Z43" s="383" t="s">
        <v>973</v>
      </c>
      <c r="AJ43" s="383" t="s">
        <v>974</v>
      </c>
      <c r="AK43" s="383" t="s">
        <v>975</v>
      </c>
      <c r="BF43" s="383" t="s">
        <v>976</v>
      </c>
      <c r="BG43" s="383" t="s">
        <v>977</v>
      </c>
      <c r="BZ43" s="383" t="s">
        <v>978</v>
      </c>
      <c r="CA43" s="383" t="s">
        <v>979</v>
      </c>
    </row>
    <row r="44" spans="1:79">
      <c r="I44" s="383" t="s">
        <v>515</v>
      </c>
      <c r="J44" s="383" t="s">
        <v>515</v>
      </c>
      <c r="K44" s="383" t="s">
        <v>980</v>
      </c>
      <c r="L44" s="383" t="s">
        <v>981</v>
      </c>
      <c r="M44" s="717" t="s">
        <v>982</v>
      </c>
      <c r="N44" s="717" t="s">
        <v>983</v>
      </c>
      <c r="O44" s="383" t="s">
        <v>225</v>
      </c>
      <c r="Z44" s="383" t="s">
        <v>437</v>
      </c>
      <c r="AJ44" s="383" t="s">
        <v>984</v>
      </c>
      <c r="AK44" s="383" t="s">
        <v>985</v>
      </c>
      <c r="BF44" s="383" t="s">
        <v>986</v>
      </c>
      <c r="BG44" s="383" t="s">
        <v>987</v>
      </c>
      <c r="BZ44" s="383" t="s">
        <v>572</v>
      </c>
      <c r="CA44" s="383" t="s">
        <v>573</v>
      </c>
    </row>
    <row r="45" spans="1:79">
      <c r="I45" s="383" t="s">
        <v>988</v>
      </c>
      <c r="J45" s="383" t="s">
        <v>989</v>
      </c>
      <c r="M45" s="383" t="s">
        <v>908</v>
      </c>
      <c r="N45" s="383" t="s">
        <v>990</v>
      </c>
      <c r="O45" s="383" t="s">
        <v>410</v>
      </c>
      <c r="Z45" s="383" t="s">
        <v>991</v>
      </c>
      <c r="AJ45" s="383" t="s">
        <v>958</v>
      </c>
      <c r="AK45" s="383" t="s">
        <v>959</v>
      </c>
      <c r="BF45" s="383" t="s">
        <v>992</v>
      </c>
      <c r="BG45" s="383" t="s">
        <v>993</v>
      </c>
      <c r="BZ45" s="383" t="s">
        <v>596</v>
      </c>
      <c r="CA45" s="383" t="s">
        <v>597</v>
      </c>
    </row>
    <row r="46" spans="1:79">
      <c r="I46" s="383" t="s">
        <v>994</v>
      </c>
      <c r="J46" s="383" t="s">
        <v>994</v>
      </c>
      <c r="M46" s="383" t="s">
        <v>995</v>
      </c>
      <c r="N46" s="383" t="s">
        <v>996</v>
      </c>
      <c r="AJ46" s="383" t="s">
        <v>966</v>
      </c>
      <c r="AK46" s="383" t="s">
        <v>967</v>
      </c>
      <c r="BF46" s="383" t="s">
        <v>997</v>
      </c>
      <c r="BG46" s="383" t="s">
        <v>998</v>
      </c>
    </row>
    <row r="47" spans="1:79">
      <c r="O47" s="383" t="s">
        <v>999</v>
      </c>
      <c r="Z47" s="383" t="s">
        <v>1000</v>
      </c>
      <c r="AJ47" s="383" t="s">
        <v>1001</v>
      </c>
      <c r="AK47" s="383" t="s">
        <v>1002</v>
      </c>
      <c r="BZ47" s="383" t="s">
        <v>928</v>
      </c>
      <c r="CA47" s="383" t="s">
        <v>929</v>
      </c>
    </row>
    <row r="48" spans="1:79">
      <c r="I48" s="383" t="s">
        <v>1003</v>
      </c>
      <c r="J48" s="383" t="s">
        <v>1004</v>
      </c>
      <c r="O48" s="383" t="s">
        <v>856</v>
      </c>
      <c r="Z48" s="383" t="s">
        <v>857</v>
      </c>
      <c r="AJ48" s="383" t="s">
        <v>1005</v>
      </c>
      <c r="AK48" s="383" t="s">
        <v>1006</v>
      </c>
      <c r="BF48" s="383" t="s">
        <v>1007</v>
      </c>
      <c r="BG48" s="383" t="s">
        <v>1008</v>
      </c>
      <c r="BZ48" s="383" t="s">
        <v>416</v>
      </c>
      <c r="CA48" s="383" t="s">
        <v>417</v>
      </c>
    </row>
    <row r="49" spans="9:79">
      <c r="I49" s="383" t="s">
        <v>70</v>
      </c>
      <c r="J49" s="383" t="s">
        <v>71</v>
      </c>
      <c r="AJ49" s="383" t="s">
        <v>1009</v>
      </c>
      <c r="AK49" s="383" t="s">
        <v>887</v>
      </c>
      <c r="BZ49" s="383" t="s">
        <v>830</v>
      </c>
      <c r="CA49" s="383" t="s">
        <v>831</v>
      </c>
    </row>
    <row r="50" spans="9:79">
      <c r="I50" s="383" t="s">
        <v>110</v>
      </c>
      <c r="J50" s="383" t="s">
        <v>111</v>
      </c>
      <c r="O50" s="383" t="s">
        <v>116</v>
      </c>
      <c r="Z50" s="383" t="s">
        <v>117</v>
      </c>
      <c r="AJ50" s="383" t="s">
        <v>1010</v>
      </c>
      <c r="AK50" s="383" t="s">
        <v>1011</v>
      </c>
      <c r="BF50" s="383" t="s">
        <v>1012</v>
      </c>
      <c r="BG50" s="383" t="s">
        <v>1013</v>
      </c>
      <c r="BZ50" s="383" t="s">
        <v>852</v>
      </c>
      <c r="CA50" s="383" t="s">
        <v>853</v>
      </c>
    </row>
    <row r="51" spans="9:79">
      <c r="I51" s="383" t="str">
        <f>IF('Summary | Sumário'!D6=Names!B3,Names!I48,Names!J48)</f>
        <v>Discontinued Data</v>
      </c>
      <c r="O51" s="383" t="s">
        <v>835</v>
      </c>
      <c r="Z51" s="383" t="s">
        <v>236</v>
      </c>
      <c r="AJ51" s="383" t="s">
        <v>1014</v>
      </c>
      <c r="AK51" s="383" t="s">
        <v>1015</v>
      </c>
      <c r="BF51" s="383" t="s">
        <v>1016</v>
      </c>
      <c r="BG51" s="383" t="s">
        <v>1017</v>
      </c>
      <c r="BZ51" s="383" t="s">
        <v>844</v>
      </c>
      <c r="CA51" s="383" t="s">
        <v>1018</v>
      </c>
    </row>
    <row r="52" spans="9:79">
      <c r="I52" s="383" t="str">
        <f>IF('Summary | Sumário'!D7=Names!B4,Names!I49,Names!J49)</f>
        <v>Operational Data</v>
      </c>
      <c r="O52" s="383" t="s">
        <v>1019</v>
      </c>
      <c r="Z52" s="383" t="s">
        <v>849</v>
      </c>
      <c r="AJ52" s="383" t="s">
        <v>1020</v>
      </c>
      <c r="AK52" s="383" t="s">
        <v>1021</v>
      </c>
      <c r="BF52" s="383" t="s">
        <v>1022</v>
      </c>
      <c r="BG52" s="383" t="s">
        <v>1023</v>
      </c>
    </row>
    <row r="53" spans="9:79">
      <c r="I53" s="383" t="str">
        <f>IF('Summary | Sumário'!D8=Names!B5,Names!I50,Names!J50)</f>
        <v>Others</v>
      </c>
      <c r="O53" s="383" t="s">
        <v>1024</v>
      </c>
      <c r="Z53" s="383" t="s">
        <v>744</v>
      </c>
      <c r="BF53" s="383" t="s">
        <v>1025</v>
      </c>
      <c r="BG53" s="383" t="s">
        <v>1026</v>
      </c>
      <c r="BZ53" s="383" t="s">
        <v>101</v>
      </c>
      <c r="CA53" s="383" t="s">
        <v>1027</v>
      </c>
    </row>
    <row r="54" spans="9:79">
      <c r="O54" s="383" t="s">
        <v>1028</v>
      </c>
      <c r="Z54" s="383" t="s">
        <v>291</v>
      </c>
    </row>
    <row r="55" spans="9:79">
      <c r="O55" s="383" t="s">
        <v>957</v>
      </c>
      <c r="Z55" s="383" t="s">
        <v>111</v>
      </c>
      <c r="AJ55" s="383" t="s">
        <v>1007</v>
      </c>
      <c r="AK55" s="383" t="s">
        <v>1029</v>
      </c>
      <c r="BF55" s="383" t="s">
        <v>1030</v>
      </c>
      <c r="BG55" s="383" t="s">
        <v>1031</v>
      </c>
      <c r="BZ55" s="383" t="s">
        <v>1032</v>
      </c>
      <c r="CA55" s="383" t="s">
        <v>1032</v>
      </c>
    </row>
    <row r="56" spans="9:79">
      <c r="O56" s="383" t="s">
        <v>171</v>
      </c>
      <c r="Z56" s="383" t="s">
        <v>973</v>
      </c>
      <c r="BF56" s="383" t="s">
        <v>1033</v>
      </c>
      <c r="BG56" s="383" t="s">
        <v>1034</v>
      </c>
      <c r="BZ56" s="383" t="s">
        <v>1035</v>
      </c>
      <c r="CA56" s="383" t="s">
        <v>1036</v>
      </c>
    </row>
    <row r="57" spans="9:79">
      <c r="O57" s="383" t="s">
        <v>1037</v>
      </c>
      <c r="Z57" s="383" t="s">
        <v>1038</v>
      </c>
      <c r="AJ57" s="383" t="s">
        <v>1039</v>
      </c>
      <c r="AK57" s="383" t="s">
        <v>1040</v>
      </c>
      <c r="BZ57" s="383" t="s">
        <v>1041</v>
      </c>
      <c r="CA57" s="383" t="s">
        <v>1041</v>
      </c>
    </row>
    <row r="58" spans="9:79">
      <c r="O58" s="383" t="s">
        <v>1042</v>
      </c>
      <c r="Z58" s="383" t="s">
        <v>1043</v>
      </c>
      <c r="BF58" s="383" t="s">
        <v>1044</v>
      </c>
      <c r="BG58" s="383" t="s">
        <v>1045</v>
      </c>
      <c r="BZ58" s="383" t="s">
        <v>1046</v>
      </c>
      <c r="CA58" s="383" t="s">
        <v>1047</v>
      </c>
    </row>
    <row r="59" spans="9:79">
      <c r="O59" s="383" t="s">
        <v>1048</v>
      </c>
      <c r="Z59" s="383" t="s">
        <v>1049</v>
      </c>
      <c r="BF59" s="383" t="s">
        <v>1050</v>
      </c>
      <c r="BG59" s="383" t="s">
        <v>1051</v>
      </c>
    </row>
    <row r="60" spans="9:79">
      <c r="O60" s="383" t="s">
        <v>1052</v>
      </c>
      <c r="Z60" s="383" t="s">
        <v>1053</v>
      </c>
      <c r="BZ60" s="383" t="s">
        <v>1054</v>
      </c>
      <c r="CA60" s="383" t="s">
        <v>1055</v>
      </c>
    </row>
    <row r="61" spans="9:79">
      <c r="O61" s="383" t="s">
        <v>1056</v>
      </c>
      <c r="Z61" s="383" t="s">
        <v>1057</v>
      </c>
      <c r="BF61" s="383" t="s">
        <v>1058</v>
      </c>
      <c r="BG61" s="383" t="s">
        <v>1059</v>
      </c>
    </row>
    <row r="62" spans="9:79">
      <c r="O62" s="383" t="s">
        <v>1060</v>
      </c>
      <c r="Z62" s="383" t="s">
        <v>1061</v>
      </c>
    </row>
    <row r="63" spans="9:79">
      <c r="O63" s="383" t="s">
        <v>1062</v>
      </c>
      <c r="Z63" s="383" t="s">
        <v>1063</v>
      </c>
      <c r="BZ63" s="383" t="s">
        <v>118</v>
      </c>
      <c r="CA63" s="383" t="s">
        <v>127</v>
      </c>
    </row>
    <row r="64" spans="9:79">
      <c r="O64" s="383" t="s">
        <v>1064</v>
      </c>
      <c r="Z64" s="383" t="s">
        <v>1065</v>
      </c>
      <c r="BF64" s="383" t="s">
        <v>1066</v>
      </c>
      <c r="BG64" s="383" t="s">
        <v>1067</v>
      </c>
      <c r="BZ64" s="383" t="s">
        <v>1068</v>
      </c>
      <c r="CA64" s="383" t="s">
        <v>1069</v>
      </c>
    </row>
    <row r="65" spans="15:59">
      <c r="O65" s="383" t="s">
        <v>1070</v>
      </c>
      <c r="Z65" s="383" t="s">
        <v>1071</v>
      </c>
      <c r="BF65" s="383" t="s">
        <v>772</v>
      </c>
      <c r="BG65" s="383" t="s">
        <v>773</v>
      </c>
    </row>
    <row r="66" spans="15:59">
      <c r="O66" s="383" t="s">
        <v>1072</v>
      </c>
      <c r="Z66" s="383" t="s">
        <v>1073</v>
      </c>
      <c r="BF66" s="383" t="s">
        <v>1074</v>
      </c>
      <c r="BG66" s="383" t="s">
        <v>1075</v>
      </c>
    </row>
    <row r="67" spans="15:59">
      <c r="O67" s="383" t="s">
        <v>1076</v>
      </c>
      <c r="Z67" s="383" t="s">
        <v>1077</v>
      </c>
    </row>
    <row r="68" spans="15:59">
      <c r="O68" s="383" t="s">
        <v>1078</v>
      </c>
      <c r="Z68" s="383" t="s">
        <v>1079</v>
      </c>
      <c r="BF68" s="383" t="s">
        <v>713</v>
      </c>
      <c r="BG68" s="383" t="s">
        <v>714</v>
      </c>
    </row>
    <row r="69" spans="15:59">
      <c r="O69" s="383" t="s">
        <v>1080</v>
      </c>
      <c r="Z69" s="383" t="s">
        <v>1081</v>
      </c>
      <c r="BF69" s="383" t="s">
        <v>1082</v>
      </c>
      <c r="BG69" s="383" t="s">
        <v>1083</v>
      </c>
    </row>
    <row r="70" spans="15:59">
      <c r="O70" s="383" t="s">
        <v>1080</v>
      </c>
      <c r="Z70" s="383" t="s">
        <v>1081</v>
      </c>
    </row>
    <row r="71" spans="15:59">
      <c r="O71" s="383" t="s">
        <v>1084</v>
      </c>
      <c r="Z71" s="383" t="s">
        <v>1085</v>
      </c>
      <c r="BF71" s="383" t="s">
        <v>1086</v>
      </c>
      <c r="BG71" s="383" t="s">
        <v>1087</v>
      </c>
    </row>
    <row r="72" spans="15:59">
      <c r="O72" s="383" t="s">
        <v>173</v>
      </c>
      <c r="Z72" s="383" t="s">
        <v>180</v>
      </c>
      <c r="BF72" s="383" t="s">
        <v>1088</v>
      </c>
      <c r="BG72" s="383" t="s">
        <v>1089</v>
      </c>
    </row>
    <row r="73" spans="15:59">
      <c r="O73" s="383" t="s">
        <v>1090</v>
      </c>
      <c r="Z73" s="383" t="s">
        <v>1091</v>
      </c>
    </row>
    <row r="74" spans="15:59">
      <c r="O74" s="383" t="s">
        <v>1092</v>
      </c>
      <c r="Z74" s="383" t="s">
        <v>1093</v>
      </c>
      <c r="BF74" s="383" t="s">
        <v>1094</v>
      </c>
      <c r="BG74" s="383" t="s">
        <v>1095</v>
      </c>
    </row>
    <row r="75" spans="15:59">
      <c r="O75" s="383" t="s">
        <v>227</v>
      </c>
      <c r="Z75" s="383" t="s">
        <v>234</v>
      </c>
    </row>
    <row r="76" spans="15:59">
      <c r="O76" s="383" t="s">
        <v>1096</v>
      </c>
      <c r="Z76" s="383" t="s">
        <v>1097</v>
      </c>
      <c r="BF76" s="383" t="s">
        <v>772</v>
      </c>
      <c r="BG76" s="383" t="s">
        <v>1098</v>
      </c>
    </row>
    <row r="77" spans="15:59">
      <c r="O77" s="383" t="s">
        <v>283</v>
      </c>
      <c r="Z77" s="383" t="s">
        <v>289</v>
      </c>
    </row>
    <row r="78" spans="15:59">
      <c r="O78" s="383" t="s">
        <v>768</v>
      </c>
      <c r="Z78" s="383" t="s">
        <v>334</v>
      </c>
      <c r="BF78" s="383" t="s">
        <v>1099</v>
      </c>
      <c r="BG78" s="383" t="s">
        <v>1100</v>
      </c>
    </row>
    <row r="79" spans="15:59">
      <c r="O79" s="383" t="s">
        <v>373</v>
      </c>
      <c r="Z79" s="383" t="s">
        <v>376</v>
      </c>
    </row>
    <row r="80" spans="15:59">
      <c r="O80" s="383" t="s">
        <v>410</v>
      </c>
      <c r="Z80" s="383" t="s">
        <v>415</v>
      </c>
    </row>
    <row r="81" spans="15:59">
      <c r="O81" s="383" t="s">
        <v>454</v>
      </c>
      <c r="Z81" s="383" t="s">
        <v>1101</v>
      </c>
      <c r="BF81" s="383" t="s">
        <v>1102</v>
      </c>
      <c r="BG81" s="383" t="s">
        <v>1103</v>
      </c>
    </row>
    <row r="82" spans="15:59">
      <c r="O82" s="383" t="s">
        <v>1104</v>
      </c>
      <c r="Z82" s="383" t="s">
        <v>1105</v>
      </c>
      <c r="BF82" s="383" t="s">
        <v>1106</v>
      </c>
      <c r="BG82" s="383" t="s">
        <v>1087</v>
      </c>
    </row>
    <row r="83" spans="15:59">
      <c r="O83" s="383" t="s">
        <v>1107</v>
      </c>
      <c r="Z83" s="383" t="s">
        <v>1108</v>
      </c>
    </row>
    <row r="84" spans="15:59">
      <c r="O84" s="383" t="s">
        <v>1109</v>
      </c>
      <c r="Z84" s="383" t="s">
        <v>1110</v>
      </c>
      <c r="BF84" s="383" t="s">
        <v>1111</v>
      </c>
      <c r="BG84" s="383" t="s">
        <v>1112</v>
      </c>
    </row>
    <row r="85" spans="15:59">
      <c r="O85" s="383" t="s">
        <v>1113</v>
      </c>
      <c r="Z85" s="383" t="s">
        <v>1114</v>
      </c>
    </row>
    <row r="86" spans="15:59">
      <c r="O86" s="383" t="s">
        <v>1115</v>
      </c>
      <c r="Z86" s="383" t="s">
        <v>1116</v>
      </c>
    </row>
    <row r="87" spans="15:59">
      <c r="O87" s="383" t="s">
        <v>1117</v>
      </c>
      <c r="Z87" s="383" t="s">
        <v>1118</v>
      </c>
    </row>
    <row r="88" spans="15:59">
      <c r="O88" s="383" t="s">
        <v>1119</v>
      </c>
      <c r="Z88" s="383" t="s">
        <v>1120</v>
      </c>
    </row>
    <row r="89" spans="15:59">
      <c r="O89" s="383" t="s">
        <v>1121</v>
      </c>
      <c r="Z89" s="383" t="s">
        <v>1122</v>
      </c>
    </row>
    <row r="90" spans="15:59">
      <c r="O90" s="383" t="s">
        <v>1123</v>
      </c>
      <c r="Z90" s="383" t="s">
        <v>1124</v>
      </c>
    </row>
    <row r="91" spans="15:59">
      <c r="O91" s="383" t="s">
        <v>1125</v>
      </c>
      <c r="Z91" s="383" t="s">
        <v>1126</v>
      </c>
    </row>
    <row r="92" spans="15:59">
      <c r="O92" s="383" t="s">
        <v>1127</v>
      </c>
      <c r="Z92" s="383" t="s">
        <v>1128</v>
      </c>
    </row>
    <row r="93" spans="15:59">
      <c r="O93" s="383" t="s">
        <v>173</v>
      </c>
      <c r="Z93" s="383" t="s">
        <v>180</v>
      </c>
    </row>
    <row r="94" spans="15:59">
      <c r="O94" s="383" t="s">
        <v>227</v>
      </c>
      <c r="Z94" s="383" t="s">
        <v>234</v>
      </c>
    </row>
    <row r="95" spans="15:59">
      <c r="O95" s="383" t="s">
        <v>283</v>
      </c>
      <c r="Z95" s="383" t="s">
        <v>289</v>
      </c>
    </row>
    <row r="96" spans="15:59">
      <c r="O96" s="383" t="s">
        <v>1129</v>
      </c>
      <c r="Z96" s="383" t="s">
        <v>1130</v>
      </c>
    </row>
    <row r="97" spans="15:26">
      <c r="O97" s="383" t="s">
        <v>330</v>
      </c>
      <c r="Z97" s="383" t="s">
        <v>334</v>
      </c>
    </row>
    <row r="98" spans="15:26">
      <c r="O98" s="383" t="s">
        <v>1131</v>
      </c>
      <c r="Z98" s="383" t="s">
        <v>1132</v>
      </c>
    </row>
    <row r="99" spans="15:26">
      <c r="O99" s="383" t="s">
        <v>373</v>
      </c>
      <c r="Z99" s="383" t="s">
        <v>376</v>
      </c>
    </row>
    <row r="100" spans="15:26">
      <c r="O100" s="383" t="s">
        <v>410</v>
      </c>
      <c r="Z100" s="383" t="s">
        <v>415</v>
      </c>
    </row>
    <row r="102" spans="15:26">
      <c r="O102" s="383" t="s">
        <v>1133</v>
      </c>
      <c r="Z102" s="383" t="s">
        <v>1134</v>
      </c>
    </row>
    <row r="103" spans="15:26">
      <c r="O103" s="383" t="s">
        <v>1135</v>
      </c>
      <c r="Z103" s="383" t="s">
        <v>1136</v>
      </c>
    </row>
    <row r="104" spans="15:26">
      <c r="O104" s="383" t="s">
        <v>1137</v>
      </c>
      <c r="Z104" s="383" t="s">
        <v>1138</v>
      </c>
    </row>
    <row r="106" spans="15:26">
      <c r="O106" s="383" t="s">
        <v>1139</v>
      </c>
      <c r="Z106" s="383" t="s">
        <v>883</v>
      </c>
    </row>
    <row r="107" spans="15:26">
      <c r="O107" s="383" t="s">
        <v>1140</v>
      </c>
      <c r="Z107" s="383" t="s">
        <v>1141</v>
      </c>
    </row>
    <row r="108" spans="15:26">
      <c r="O108" s="383" t="s">
        <v>1142</v>
      </c>
      <c r="Z108" s="383" t="s">
        <v>1143</v>
      </c>
    </row>
    <row r="109" spans="15:26">
      <c r="O109" s="383" t="s">
        <v>1144</v>
      </c>
      <c r="Z109" s="383" t="s">
        <v>1145</v>
      </c>
    </row>
    <row r="112" spans="15:26">
      <c r="O112" s="383" t="s">
        <v>1146</v>
      </c>
      <c r="Z112" s="383" t="s">
        <v>1147</v>
      </c>
    </row>
    <row r="113" spans="15:26">
      <c r="O113" s="383" t="s">
        <v>498</v>
      </c>
      <c r="Z113" s="383" t="s">
        <v>1147</v>
      </c>
    </row>
    <row r="116" spans="15:26">
      <c r="O116" s="383" t="s">
        <v>1148</v>
      </c>
      <c r="Z116" s="383" t="s">
        <v>1149</v>
      </c>
    </row>
    <row r="117" spans="15:26">
      <c r="O117" s="383" t="s">
        <v>1007</v>
      </c>
      <c r="Z117" s="383" t="s">
        <v>1029</v>
      </c>
    </row>
    <row r="118" spans="15:26">
      <c r="O118" s="383" t="s">
        <v>1037</v>
      </c>
      <c r="Z118" s="383" t="s">
        <v>1038</v>
      </c>
    </row>
    <row r="122" spans="15:26">
      <c r="O122" s="383" t="s">
        <v>1139</v>
      </c>
      <c r="Z122" s="383" t="s">
        <v>883</v>
      </c>
    </row>
    <row r="123" spans="15:26">
      <c r="O123" s="383" t="s">
        <v>1150</v>
      </c>
      <c r="Z123" s="383" t="s">
        <v>1151</v>
      </c>
    </row>
    <row r="124" spans="15:26">
      <c r="O124" s="383" t="s">
        <v>1142</v>
      </c>
      <c r="Z124" s="383" t="s">
        <v>1143</v>
      </c>
    </row>
    <row r="125" spans="15:26">
      <c r="O125" s="383" t="s">
        <v>1144</v>
      </c>
      <c r="Z125" s="383" t="s">
        <v>1145</v>
      </c>
    </row>
    <row r="126" spans="15:26">
      <c r="O126" s="383" t="s">
        <v>694</v>
      </c>
      <c r="Z126" s="383" t="s">
        <v>696</v>
      </c>
    </row>
    <row r="127" spans="15:26">
      <c r="O127" s="383" t="s">
        <v>1152</v>
      </c>
      <c r="Z127" s="383" t="s">
        <v>1153</v>
      </c>
    </row>
    <row r="129" spans="15:26">
      <c r="O129" s="676" t="s">
        <v>1154</v>
      </c>
      <c r="Z129" s="676" t="s">
        <v>1155</v>
      </c>
    </row>
    <row r="130" spans="15:26">
      <c r="O130" s="676" t="s">
        <v>1156</v>
      </c>
      <c r="Z130" s="676" t="s">
        <v>1157</v>
      </c>
    </row>
  </sheetData>
  <sheetProtection algorithmName="SHA-512" hashValue="JXGdOOJFeVYw6aQgNoJOhGdMurgD/eJMfXr8LM4YW+cxh7bm0zTIZIFFYZJzrW+mwVM9iypLfUMHUJlq0wR1+A==" saltValue="tFwVIsmJ7Bl7PaRDRWF9eA==" spinCount="100000" sheet="1" scenarios="1" selectLockedCells="1" selectUnlockedCells="1"/>
  <phoneticPr fontId="6" type="noConversion"/>
  <hyperlinks>
    <hyperlink ref="BB1" location="Summary!A1" display="Back to summary" xr:uid="{01D50603-9891-594D-ACF6-3472A9D2145C}"/>
  </hyperlink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BD92-4370-5547-86EB-6AF7D5DB47F8}">
  <sheetPr codeName="Sheet11">
    <tabColor rgb="FFEC7100"/>
  </sheetPr>
  <dimension ref="B1:AL13"/>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1" customWidth="1"/>
    <col min="10" max="10" width="2.83203125" style="121" customWidth="1"/>
    <col min="11" max="31" width="10.83203125" style="121" customWidth="1"/>
    <col min="32" max="32" width="5.83203125" style="121" customWidth="1"/>
    <col min="33" max="34" width="10.83203125" style="121" customWidth="1"/>
    <col min="35" max="16384" width="10.83203125" style="120"/>
  </cols>
  <sheetData>
    <row r="1" spans="2:38" ht="13" customHeight="1">
      <c r="AI1" s="121"/>
    </row>
    <row r="2" spans="2:38" s="9" customFormat="1" ht="13" customHeight="1">
      <c r="B2" s="255" t="str">
        <f>IF('Summary | Sumário'!D$6=Names!B$3,Names!X1,Names!Y1)</f>
        <v>Expenses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31"/>
    </row>
    <row r="4" spans="2:38" ht="13" customHeight="1">
      <c r="B4" s="3" t="str">
        <f>IF('Summary | Sumário'!D$6=Names!B$3,Names!X2,Names!Y2)</f>
        <v>Total Expenses</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2:38" ht="13" customHeight="1">
      <c r="B5" s="276" t="str">
        <f>IF('Summary | Sumário'!D$6=Names!B$3,Names!M13,Names!N13)</f>
        <v>Impairment losses on financial assets</v>
      </c>
      <c r="C5" s="277">
        <f>'3. IS | DRE'!C14</f>
        <v>-138570</v>
      </c>
      <c r="D5" s="277">
        <f>'3. IS | DRE'!D14</f>
        <v>-213688</v>
      </c>
      <c r="E5" s="277">
        <f>'3. IS | DRE'!E14</f>
        <v>-595581</v>
      </c>
      <c r="F5" s="277">
        <f>'3. IS | DRE'!F14</f>
        <v>-1083237</v>
      </c>
      <c r="G5" s="277">
        <f>'3. IS | DRE'!G14</f>
        <v>-1541584</v>
      </c>
      <c r="H5" s="277">
        <f>'3. IS | DRE'!H14</f>
        <v>-1799452.3359999999</v>
      </c>
      <c r="I5" s="277">
        <f>'3. IS | DRE'!I14</f>
        <v>-2416353</v>
      </c>
      <c r="J5" s="164"/>
      <c r="K5" s="277">
        <f>'3. IS | DRE'!K14</f>
        <v>-106669</v>
      </c>
      <c r="L5" s="277">
        <f>'3. IS | DRE'!L14</f>
        <v>-167441</v>
      </c>
      <c r="M5" s="277">
        <f>'3. IS | DRE'!M14</f>
        <v>-138005</v>
      </c>
      <c r="N5" s="277">
        <f>'3. IS | DRE'!N14</f>
        <v>-183466</v>
      </c>
      <c r="O5" s="277">
        <f>'3. IS | DRE'!O14</f>
        <v>-312946</v>
      </c>
      <c r="P5" s="277">
        <f>'3. IS | DRE'!P14</f>
        <v>-242464</v>
      </c>
      <c r="Q5" s="277">
        <f>'3. IS | DRE'!Q14</f>
        <v>-263113</v>
      </c>
      <c r="R5" s="277">
        <f>'3. IS | DRE'!R14</f>
        <v>-264714</v>
      </c>
      <c r="S5" s="277">
        <f>'3. IS | DRE'!S14</f>
        <v>-350681</v>
      </c>
      <c r="T5" s="277">
        <f>'3. IS | DRE'!T14</f>
        <v>-398560</v>
      </c>
      <c r="U5" s="277">
        <f>'3. IS | DRE'!U14</f>
        <v>-407899</v>
      </c>
      <c r="V5" s="277">
        <f>'3. IS | DRE'!V14</f>
        <v>-384444</v>
      </c>
      <c r="W5" s="277">
        <f>'3. IS | DRE'!W14</f>
        <v>-411048</v>
      </c>
      <c r="X5" s="277">
        <f>'3. IS | DRE'!X14</f>
        <v>-421247.66100000002</v>
      </c>
      <c r="Y5" s="277">
        <f>'3. IS | DRE'!Y14</f>
        <v>-471426.65</v>
      </c>
      <c r="Z5" s="277">
        <f>'3. IS | DRE'!Z14</f>
        <v>-495730.02499999967</v>
      </c>
      <c r="AA5" s="277">
        <f>'3. IS | DRE'!AA14</f>
        <v>-513681.4</v>
      </c>
      <c r="AB5" s="277">
        <f>'3. IS | DRE'!AB14</f>
        <v>-569249</v>
      </c>
      <c r="AC5" s="277">
        <f>'3. IS | DRE'!AC14</f>
        <v>-640796</v>
      </c>
      <c r="AD5" s="277">
        <f>'3. IS | DRE'!AD14</f>
        <v>-692626.60000000009</v>
      </c>
      <c r="AE5" s="277">
        <f>'3. IS | DRE'!AE14</f>
        <v>-781268</v>
      </c>
      <c r="AF5" s="164"/>
      <c r="AG5" s="354">
        <f t="shared" ref="AG5:AG10" si="0">AE5/AD5-1</f>
        <v>0.12797862513510161</v>
      </c>
      <c r="AH5" s="354">
        <f t="shared" ref="AH5:AH10" si="1">AE5/AA5-1</f>
        <v>0.52091938699746576</v>
      </c>
    </row>
    <row r="6" spans="2:38" ht="13" customHeight="1">
      <c r="B6" s="50" t="str">
        <f>IF('Summary | Sumário'!D$6=Names!B$3,Names!BF4,Names!BG4)</f>
        <v>Total operational expenses</v>
      </c>
      <c r="C6" s="164">
        <f>SUM(C7:C9)</f>
        <v>-572970</v>
      </c>
      <c r="D6" s="164">
        <f t="shared" ref="D6:AA6" si="2">SUM(D7:D9)</f>
        <v>-914082</v>
      </c>
      <c r="E6" s="164">
        <f t="shared" si="2"/>
        <v>-1701818.2949999999</v>
      </c>
      <c r="F6" s="164">
        <f t="shared" si="2"/>
        <v>-2392061</v>
      </c>
      <c r="G6" s="164">
        <f>SUM(G7:G9)</f>
        <v>-2412527</v>
      </c>
      <c r="H6" s="164">
        <f>SUM(H7:H9)</f>
        <v>-2915645.6869999999</v>
      </c>
      <c r="I6" s="164">
        <f>SUM(I7:I9)</f>
        <v>-3631664</v>
      </c>
      <c r="J6" s="164"/>
      <c r="K6" s="164">
        <f t="shared" si="2"/>
        <v>-320122.31299999997</v>
      </c>
      <c r="L6" s="164">
        <f t="shared" si="2"/>
        <v>-391145</v>
      </c>
      <c r="M6" s="164">
        <f t="shared" si="2"/>
        <v>-387488.18799999997</v>
      </c>
      <c r="N6" s="164">
        <f t="shared" si="2"/>
        <v>-603062.79399999999</v>
      </c>
      <c r="O6" s="164">
        <f t="shared" si="2"/>
        <v>-558404</v>
      </c>
      <c r="P6" s="164">
        <f t="shared" si="2"/>
        <v>-556595</v>
      </c>
      <c r="Q6" s="164">
        <f t="shared" si="2"/>
        <v>-591798</v>
      </c>
      <c r="R6" s="164">
        <f t="shared" si="2"/>
        <v>-685264</v>
      </c>
      <c r="S6" s="164">
        <f t="shared" si="2"/>
        <v>-595604</v>
      </c>
      <c r="T6" s="164">
        <f t="shared" si="2"/>
        <v>-575247</v>
      </c>
      <c r="U6" s="164">
        <f t="shared" si="2"/>
        <v>-614129</v>
      </c>
      <c r="V6" s="164">
        <f t="shared" si="2"/>
        <v>-627547</v>
      </c>
      <c r="W6" s="164">
        <f t="shared" si="2"/>
        <v>-627607</v>
      </c>
      <c r="X6" s="164">
        <f t="shared" si="2"/>
        <v>-660068.69851999998</v>
      </c>
      <c r="Y6" s="164">
        <f t="shared" si="2"/>
        <v>-787129.60447999998</v>
      </c>
      <c r="Z6" s="164">
        <f t="shared" si="2"/>
        <v>-840840.38400000008</v>
      </c>
      <c r="AA6" s="164">
        <f t="shared" si="2"/>
        <v>-830517.8</v>
      </c>
      <c r="AB6" s="164">
        <f t="shared" ref="AB6:AC6" si="3">SUM(AB7:AB9)</f>
        <v>-873425.6</v>
      </c>
      <c r="AC6" s="164">
        <f t="shared" si="3"/>
        <v>-913115</v>
      </c>
      <c r="AD6" s="164">
        <f t="shared" ref="AD6:AE6" si="4">SUM(AD7:AD9)</f>
        <v>-1014605.6000000001</v>
      </c>
      <c r="AE6" s="164">
        <f t="shared" si="4"/>
        <v>-996042</v>
      </c>
      <c r="AF6" s="164"/>
      <c r="AG6" s="345">
        <f t="shared" si="0"/>
        <v>-1.8296370530578643E-2</v>
      </c>
      <c r="AH6" s="345">
        <f t="shared" si="1"/>
        <v>0.19930241109823288</v>
      </c>
    </row>
    <row r="7" spans="2:38" ht="13" customHeight="1">
      <c r="B7" s="615" t="str">
        <f>IF('Summary | Sumário'!D$6=Names!B$3,Names!BF5,Names!BG5)</f>
        <v>Personnel expenses</v>
      </c>
      <c r="C7" s="159">
        <v>-169198</v>
      </c>
      <c r="D7" s="159">
        <v>-229096</v>
      </c>
      <c r="E7" s="159">
        <v>-443328</v>
      </c>
      <c r="F7" s="159">
        <v>-733605</v>
      </c>
      <c r="G7" s="159">
        <v>-790739</v>
      </c>
      <c r="H7" s="159">
        <v>-937761.13</v>
      </c>
      <c r="I7" s="159">
        <v>-1090333</v>
      </c>
      <c r="J7" s="164"/>
      <c r="K7" s="159">
        <v>-81861</v>
      </c>
      <c r="L7" s="159">
        <v>-93046</v>
      </c>
      <c r="M7" s="159">
        <v>-121250</v>
      </c>
      <c r="N7" s="159">
        <v>-147171</v>
      </c>
      <c r="O7" s="159">
        <v>-145120</v>
      </c>
      <c r="P7" s="159">
        <v>-172466</v>
      </c>
      <c r="Q7" s="159">
        <v>-176232</v>
      </c>
      <c r="R7" s="159">
        <v>-239787</v>
      </c>
      <c r="S7" s="159">
        <v>-172412</v>
      </c>
      <c r="T7" s="159">
        <v>-186249</v>
      </c>
      <c r="U7" s="159">
        <v>-210661</v>
      </c>
      <c r="V7" s="159">
        <v>-221417</v>
      </c>
      <c r="W7" s="159">
        <v>-190463</v>
      </c>
      <c r="X7" s="159">
        <v>-204206.56551999997</v>
      </c>
      <c r="Y7" s="159">
        <v>-258954.60447999998</v>
      </c>
      <c r="Z7" s="159">
        <v>-284136.96000000008</v>
      </c>
      <c r="AA7" s="159">
        <v>-234873.2</v>
      </c>
      <c r="AB7" s="159">
        <v>-256765</v>
      </c>
      <c r="AC7" s="159">
        <v>-285248</v>
      </c>
      <c r="AD7" s="159">
        <v>-313446.80000000005</v>
      </c>
      <c r="AE7" s="159">
        <v>-284777</v>
      </c>
      <c r="AF7" s="164"/>
      <c r="AG7" s="346">
        <f t="shared" si="0"/>
        <v>-9.1466239246979164E-2</v>
      </c>
      <c r="AH7" s="346">
        <f t="shared" si="1"/>
        <v>0.21247123980087967</v>
      </c>
    </row>
    <row r="8" spans="2:38" ht="13" customHeight="1">
      <c r="B8" s="564" t="str">
        <f>IF('Summary | Sumário'!D$6=Names!B$3,Names!BF6,Names!BG6)</f>
        <v>Administrative expenses</v>
      </c>
      <c r="C8" s="164">
        <v>-386309</v>
      </c>
      <c r="D8" s="164">
        <v>-641327</v>
      </c>
      <c r="E8" s="164">
        <v>-1164239.7749999999</v>
      </c>
      <c r="F8" s="164">
        <v>-1494484</v>
      </c>
      <c r="G8" s="164">
        <v>-1461348</v>
      </c>
      <c r="H8" s="164">
        <v>-1769055.128</v>
      </c>
      <c r="I8" s="164">
        <v>-2200604</v>
      </c>
      <c r="J8" s="164"/>
      <c r="K8" s="164">
        <v>-219095.31299999999</v>
      </c>
      <c r="L8" s="164">
        <v>-272761</v>
      </c>
      <c r="M8" s="164">
        <v>-235355.18799999999</v>
      </c>
      <c r="N8" s="164">
        <v>-437028.27399999998</v>
      </c>
      <c r="O8" s="164">
        <v>-376806</v>
      </c>
      <c r="P8" s="164">
        <v>-348618</v>
      </c>
      <c r="Q8" s="164">
        <v>-379946</v>
      </c>
      <c r="R8" s="164">
        <v>-389114</v>
      </c>
      <c r="S8" s="164">
        <v>-385615</v>
      </c>
      <c r="T8" s="164">
        <v>-347868</v>
      </c>
      <c r="U8" s="164">
        <v>-362877</v>
      </c>
      <c r="V8" s="164">
        <v>-364988</v>
      </c>
      <c r="W8" s="164">
        <v>-395244</v>
      </c>
      <c r="X8" s="164">
        <v>-402827.25400000002</v>
      </c>
      <c r="Y8" s="164">
        <v>-474826</v>
      </c>
      <c r="Z8" s="164">
        <v>-496157.87400000007</v>
      </c>
      <c r="AA8" s="164">
        <v>-528199.6</v>
      </c>
      <c r="AB8" s="164">
        <v>-540029.6</v>
      </c>
      <c r="AC8" s="164">
        <v>-543343</v>
      </c>
      <c r="AD8" s="164">
        <v>-589031.80000000005</v>
      </c>
      <c r="AE8" s="164">
        <v>-617898</v>
      </c>
      <c r="AF8" s="164"/>
      <c r="AG8" s="345">
        <f t="shared" si="0"/>
        <v>4.9006182688269062E-2</v>
      </c>
      <c r="AH8" s="345">
        <f t="shared" si="1"/>
        <v>0.16981913655368164</v>
      </c>
    </row>
    <row r="9" spans="2:38" ht="13" customHeight="1">
      <c r="B9" s="615" t="str">
        <f>IF('Summary | Sumário'!D$6=Names!B$3,Names!BF7,Names!BG7)</f>
        <v>Depreciation and amortization</v>
      </c>
      <c r="C9" s="159">
        <v>-17463</v>
      </c>
      <c r="D9" s="159">
        <v>-43659</v>
      </c>
      <c r="E9" s="159">
        <v>-94250.52</v>
      </c>
      <c r="F9" s="159">
        <v>-163972</v>
      </c>
      <c r="G9" s="159">
        <v>-160440</v>
      </c>
      <c r="H9" s="159">
        <v>-208829.429</v>
      </c>
      <c r="I9" s="159">
        <v>-340727</v>
      </c>
      <c r="J9" s="164"/>
      <c r="K9" s="159">
        <v>-19166</v>
      </c>
      <c r="L9" s="159">
        <v>-25338</v>
      </c>
      <c r="M9" s="159">
        <v>-30883</v>
      </c>
      <c r="N9" s="159">
        <v>-18863.520000000004</v>
      </c>
      <c r="O9" s="159">
        <v>-36478</v>
      </c>
      <c r="P9" s="159">
        <v>-35511</v>
      </c>
      <c r="Q9" s="159">
        <v>-35620</v>
      </c>
      <c r="R9" s="159">
        <v>-56363</v>
      </c>
      <c r="S9" s="159">
        <v>-37577</v>
      </c>
      <c r="T9" s="159">
        <v>-41130</v>
      </c>
      <c r="U9" s="159">
        <v>-40591</v>
      </c>
      <c r="V9" s="159">
        <v>-41142</v>
      </c>
      <c r="W9" s="159">
        <v>-41900</v>
      </c>
      <c r="X9" s="159">
        <v>-53034.879000000001</v>
      </c>
      <c r="Y9" s="159">
        <v>-53349</v>
      </c>
      <c r="Z9" s="159">
        <v>-60545.549999999988</v>
      </c>
      <c r="AA9" s="159">
        <v>-67445</v>
      </c>
      <c r="AB9" s="159">
        <v>-76631</v>
      </c>
      <c r="AC9" s="159">
        <v>-84524</v>
      </c>
      <c r="AD9" s="159">
        <v>-112127</v>
      </c>
      <c r="AE9" s="159">
        <v>-93367</v>
      </c>
      <c r="AF9" s="164"/>
      <c r="AG9" s="346">
        <f t="shared" si="0"/>
        <v>-0.16731028209084342</v>
      </c>
      <c r="AH9" s="346">
        <f t="shared" si="1"/>
        <v>0.38434279783527314</v>
      </c>
    </row>
    <row r="10" spans="2:38" ht="13" customHeight="1">
      <c r="B10" s="50" t="str">
        <f>IF('Summary | Sumário'!D$6=Names!B$3,Names!BF13,Names!BG13)</f>
        <v>Tax expenses</v>
      </c>
      <c r="C10" s="164">
        <v>0</v>
      </c>
      <c r="D10" s="164">
        <v>0</v>
      </c>
      <c r="E10" s="164">
        <v>-146721.22500000001</v>
      </c>
      <c r="F10" s="164">
        <v>-248588</v>
      </c>
      <c r="G10" s="164">
        <v>-326584</v>
      </c>
      <c r="H10" s="164">
        <v>-477037.39600000001</v>
      </c>
      <c r="I10" s="164">
        <v>-728734</v>
      </c>
      <c r="J10" s="164"/>
      <c r="K10" s="164">
        <v>-27534.687000000002</v>
      </c>
      <c r="L10" s="164">
        <v>-30373</v>
      </c>
      <c r="M10" s="164">
        <v>-40645.811999999998</v>
      </c>
      <c r="N10" s="164">
        <v>-48167.726000000002</v>
      </c>
      <c r="O10" s="164">
        <v>-56693</v>
      </c>
      <c r="P10" s="164">
        <v>-61600</v>
      </c>
      <c r="Q10" s="164">
        <v>-61544</v>
      </c>
      <c r="R10" s="164">
        <v>-68751</v>
      </c>
      <c r="S10" s="164">
        <v>-68871</v>
      </c>
      <c r="T10" s="164">
        <v>-72463</v>
      </c>
      <c r="U10" s="164">
        <v>-94072</v>
      </c>
      <c r="V10" s="164">
        <v>-91178</v>
      </c>
      <c r="W10" s="164">
        <v>-86331</v>
      </c>
      <c r="X10" s="164">
        <v>-99417.270999999993</v>
      </c>
      <c r="Y10" s="164">
        <v>-123632.909</v>
      </c>
      <c r="Z10" s="164">
        <v>-167656.21600000001</v>
      </c>
      <c r="AA10" s="164">
        <v>-136055</v>
      </c>
      <c r="AB10" s="164">
        <v>-176879.6</v>
      </c>
      <c r="AC10" s="164">
        <v>-190327.6</v>
      </c>
      <c r="AD10" s="164">
        <v>-225471.80000000005</v>
      </c>
      <c r="AE10" s="164">
        <v>-186559</v>
      </c>
      <c r="AF10" s="321"/>
      <c r="AG10" s="345">
        <f t="shared" si="0"/>
        <v>-0.17258388853949824</v>
      </c>
      <c r="AH10" s="345">
        <f t="shared" si="1"/>
        <v>0.37120282238800484</v>
      </c>
      <c r="AJ10" s="170"/>
      <c r="AK10" s="170"/>
    </row>
    <row r="11" spans="2:38" ht="13" customHeight="1">
      <c r="B11" s="162" t="str">
        <f>IF('Summary | Sumário'!D$6=Names!B$3,Names!M19,Names!N19)</f>
        <v>Income from equity interests in associates</v>
      </c>
      <c r="C11" s="159">
        <f>'3. IS | DRE'!C22</f>
        <v>0</v>
      </c>
      <c r="D11" s="159">
        <f>'3. IS | DRE'!D22</f>
        <v>0</v>
      </c>
      <c r="E11" s="159">
        <f>'3. IS | DRE'!E22</f>
        <v>-8764</v>
      </c>
      <c r="F11" s="159">
        <f>'3. IS | DRE'!F22</f>
        <v>-17384</v>
      </c>
      <c r="G11" s="159">
        <f>'3. IS | DRE'!G22</f>
        <v>-32040</v>
      </c>
      <c r="H11" s="159">
        <f>'3. IS | DRE'!H22</f>
        <v>-2480</v>
      </c>
      <c r="I11" s="159">
        <f>'3. IS | DRE'!I22</f>
        <v>0</v>
      </c>
      <c r="J11" s="164"/>
      <c r="K11" s="159">
        <f>'3. IS | DRE'!K22</f>
        <v>0</v>
      </c>
      <c r="L11" s="159">
        <f>'3. IS | DRE'!L22</f>
        <v>3893</v>
      </c>
      <c r="M11" s="159">
        <f>'3. IS | DRE'!M22</f>
        <v>-5454</v>
      </c>
      <c r="N11" s="159">
        <f>'3. IS | DRE'!N22</f>
        <v>-7203</v>
      </c>
      <c r="O11" s="159">
        <f>'3. IS | DRE'!O22</f>
        <v>-5572</v>
      </c>
      <c r="P11" s="159">
        <f>'3. IS | DRE'!P22</f>
        <v>-4490</v>
      </c>
      <c r="Q11" s="159">
        <f>'3. IS | DRE'!Q22</f>
        <v>-3892</v>
      </c>
      <c r="R11" s="159">
        <f>'3. IS | DRE'!R22</f>
        <v>-3430</v>
      </c>
      <c r="S11" s="159">
        <f>'3. IS | DRE'!S22</f>
        <v>-3061</v>
      </c>
      <c r="T11" s="159">
        <f>'3. IS | DRE'!T22</f>
        <v>-23465</v>
      </c>
      <c r="U11" s="159">
        <f>'3. IS | DRE'!U22</f>
        <v>-4070.8986899999982</v>
      </c>
      <c r="V11" s="159">
        <f>'3. IS | DRE'!V22</f>
        <v>-1443.1013100000018</v>
      </c>
      <c r="W11" s="159">
        <f>'3. IS | DRE'!W22</f>
        <v>-2223</v>
      </c>
      <c r="X11" s="159">
        <f>'3. IS | DRE'!X22</f>
        <v>-257.02199999999999</v>
      </c>
      <c r="Y11" s="159">
        <f>'3. IS | DRE'!Y22</f>
        <v>0</v>
      </c>
      <c r="Z11" s="699">
        <f>'3. IS | DRE'!Z22</f>
        <v>0</v>
      </c>
      <c r="AA11" s="159">
        <f>'3. IS | DRE'!AA22</f>
        <v>0</v>
      </c>
      <c r="AB11" s="159">
        <f>'3. IS | DRE'!AB22</f>
        <v>0</v>
      </c>
      <c r="AC11" s="159">
        <f>'3. IS | DRE'!AC22</f>
        <v>0</v>
      </c>
      <c r="AD11" s="159">
        <f>'3. IS | DRE'!AD22</f>
        <v>0</v>
      </c>
      <c r="AE11" s="159">
        <f>'3. IS | DRE'!AE22</f>
        <v>0</v>
      </c>
      <c r="AF11" s="120"/>
      <c r="AG11" s="159">
        <v>0</v>
      </c>
      <c r="AH11" s="159">
        <v>0</v>
      </c>
    </row>
    <row r="12" spans="2:38" ht="13" customHeight="1">
      <c r="B12" s="120" t="str">
        <f>IF('Summary | Sumário'!D$6=Names!B$3,Names!M27,Names!N27)</f>
        <v>Income tax</v>
      </c>
      <c r="C12" s="164">
        <f>'3. IS | DRE'!C25</f>
        <v>29686</v>
      </c>
      <c r="D12" s="164">
        <f>'3. IS | DRE'!D25</f>
        <v>37709</v>
      </c>
      <c r="E12" s="164">
        <f>'3. IS | DRE'!E25</f>
        <v>175993</v>
      </c>
      <c r="F12" s="164">
        <f>'3. IS | DRE'!F25</f>
        <v>164494</v>
      </c>
      <c r="G12" s="164">
        <f>'3. IS | DRE'!G25</f>
        <v>-87581</v>
      </c>
      <c r="H12" s="164">
        <f>'3. IS | DRE'!H25</f>
        <v>-232708.78587989899</v>
      </c>
      <c r="I12" s="164">
        <f>'3. IS | DRE'!I25</f>
        <v>-226866</v>
      </c>
      <c r="J12" s="164"/>
      <c r="K12" s="164">
        <f>'3. IS | DRE'!K25</f>
        <v>34867</v>
      </c>
      <c r="L12" s="164">
        <f>'3. IS | DRE'!L25</f>
        <v>87154</v>
      </c>
      <c r="M12" s="164">
        <f>'3. IS | DRE'!M25</f>
        <v>-568.73549999999886</v>
      </c>
      <c r="N12" s="164">
        <f>'3. IS | DRE'!N25</f>
        <v>54540.735499999995</v>
      </c>
      <c r="O12" s="164">
        <f>'3. IS | DRE'!O25</f>
        <v>71272</v>
      </c>
      <c r="P12" s="164">
        <f>'3. IS | DRE'!P25</f>
        <v>3654</v>
      </c>
      <c r="Q12" s="164">
        <f>'3. IS | DRE'!Q25</f>
        <v>40448</v>
      </c>
      <c r="R12" s="164">
        <f>'3. IS | DRE'!R25</f>
        <v>49120</v>
      </c>
      <c r="S12" s="164">
        <f>'3. IS | DRE'!S25</f>
        <v>18319</v>
      </c>
      <c r="T12" s="164">
        <f>'3. IS | DRE'!T25</f>
        <v>-16127</v>
      </c>
      <c r="U12" s="164">
        <f>'3. IS | DRE'!U25</f>
        <v>-41194</v>
      </c>
      <c r="V12" s="164">
        <f>'3. IS | DRE'!V25</f>
        <v>-48579</v>
      </c>
      <c r="W12" s="164">
        <f>'3. IS | DRE'!W25</f>
        <v>-78512</v>
      </c>
      <c r="X12" s="164">
        <f>'3. IS | DRE'!X25</f>
        <v>-74943.733999999997</v>
      </c>
      <c r="Y12" s="164">
        <f>'3. IS | DRE'!Y25</f>
        <v>-33942</v>
      </c>
      <c r="Z12" s="164">
        <f>'3. IS | DRE'!Z25</f>
        <v>-45311.051879898987</v>
      </c>
      <c r="AA12" s="164">
        <f>'3. IS | DRE'!AA25</f>
        <v>-50759</v>
      </c>
      <c r="AB12" s="164">
        <f>'3. IS | DRE'!AB25</f>
        <v>-51361</v>
      </c>
      <c r="AC12" s="164">
        <f>'3. IS | DRE'!AC25</f>
        <v>-61920</v>
      </c>
      <c r="AD12" s="164">
        <f>'3. IS | DRE'!AD25</f>
        <v>-62826</v>
      </c>
      <c r="AE12" s="164">
        <f>'3. IS | DRE'!AE25</f>
        <v>-59571</v>
      </c>
      <c r="AF12" s="120"/>
      <c r="AG12" s="345">
        <f>AE12/AD12-1</f>
        <v>-5.180976029032569E-2</v>
      </c>
      <c r="AH12" s="345">
        <f>AE12/AA12-1</f>
        <v>0.17360468094328096</v>
      </c>
    </row>
    <row r="13" spans="2:38" ht="13" customHeight="1">
      <c r="B13" s="286" t="str">
        <f>IF('Summary | Sumário'!D$6=Names!B$3,Names!X3,Names!Y3)</f>
        <v>Total expenses</v>
      </c>
      <c r="C13" s="270">
        <f t="shared" ref="C13:G13" si="5">C5+C6+C10+C11+C12</f>
        <v>-681854</v>
      </c>
      <c r="D13" s="270">
        <f t="shared" si="5"/>
        <v>-1090061</v>
      </c>
      <c r="E13" s="270">
        <f t="shared" si="5"/>
        <v>-2276891.52</v>
      </c>
      <c r="F13" s="270">
        <f t="shared" si="5"/>
        <v>-3576776</v>
      </c>
      <c r="G13" s="270">
        <f t="shared" si="5"/>
        <v>-4400316</v>
      </c>
      <c r="H13" s="270">
        <f>H5+H6+H10+H11+H12</f>
        <v>-5427324.2048798986</v>
      </c>
      <c r="I13" s="270">
        <f>I5+I6+I10+I11+I12</f>
        <v>-7003617</v>
      </c>
      <c r="J13" s="214"/>
      <c r="K13" s="270">
        <f t="shared" ref="K13:Z13" si="6">K5+K6+K10+K11+K12</f>
        <v>-419458.99999999994</v>
      </c>
      <c r="L13" s="270">
        <f t="shared" si="6"/>
        <v>-497912</v>
      </c>
      <c r="M13" s="270">
        <f t="shared" si="6"/>
        <v>-572161.73549999995</v>
      </c>
      <c r="N13" s="270">
        <f t="shared" si="6"/>
        <v>-787358.78450000007</v>
      </c>
      <c r="O13" s="270">
        <f t="shared" si="6"/>
        <v>-862343</v>
      </c>
      <c r="P13" s="270">
        <f t="shared" si="6"/>
        <v>-861495</v>
      </c>
      <c r="Q13" s="270">
        <f t="shared" si="6"/>
        <v>-879899</v>
      </c>
      <c r="R13" s="270">
        <f t="shared" si="6"/>
        <v>-973039</v>
      </c>
      <c r="S13" s="270">
        <f t="shared" si="6"/>
        <v>-999898</v>
      </c>
      <c r="T13" s="270">
        <f t="shared" si="6"/>
        <v>-1085862</v>
      </c>
      <c r="U13" s="270">
        <f t="shared" si="6"/>
        <v>-1161364.8986899999</v>
      </c>
      <c r="V13" s="270">
        <f t="shared" si="6"/>
        <v>-1153191.1013100001</v>
      </c>
      <c r="W13" s="270">
        <f t="shared" si="6"/>
        <v>-1205721</v>
      </c>
      <c r="X13" s="270">
        <f t="shared" si="6"/>
        <v>-1255934.3865199999</v>
      </c>
      <c r="Y13" s="270">
        <f t="shared" si="6"/>
        <v>-1416131.1634800001</v>
      </c>
      <c r="Z13" s="270">
        <f t="shared" si="6"/>
        <v>-1549537.6768798986</v>
      </c>
      <c r="AA13" s="270">
        <f>AA5+AA6+AA10+AA11+AA12</f>
        <v>-1531013.2000000002</v>
      </c>
      <c r="AB13" s="270">
        <f>AB5+AB6+AB10+AB11+AB12</f>
        <v>-1670915.2000000002</v>
      </c>
      <c r="AC13" s="270">
        <f>AC5+AC6+AC10+AC11+AC12</f>
        <v>-1806158.6</v>
      </c>
      <c r="AD13" s="270">
        <f>AD5+AD6+AD10+AD11+AD12</f>
        <v>-1995530.0000000002</v>
      </c>
      <c r="AE13" s="270">
        <f>AE5+AE6+AE10+AE11+AE12</f>
        <v>-2023440</v>
      </c>
      <c r="AF13" s="214"/>
      <c r="AG13" s="357">
        <f>AE13/AD13-1</f>
        <v>1.3986259289511915E-2</v>
      </c>
      <c r="AH13" s="357">
        <f>AE13/AA13-1</f>
        <v>0.32163458812765278</v>
      </c>
    </row>
  </sheetData>
  <sheetProtection algorithmName="SHA-512" hashValue="BUWC2g84ZD8z6mu4HcWimJn/LWBBuHsXSRZxwwlMo1SuTeuy8+Apgn5haV60Owky7T2/eb5Vux0E7X35mUaJWw==" saltValue="v2XDXG/Gy8zdePUx/8Jyk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8134-02C1-4344-8523-0BA3F217A95A}">
  <sheetPr codeName="Sheet12">
    <tabColor rgb="FFF7CAB0"/>
  </sheetPr>
  <dimension ref="B1:AL31"/>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1" customWidth="1"/>
    <col min="10" max="10" width="2.83203125" style="121" customWidth="1"/>
    <col min="11" max="31" width="10.83203125" style="121" customWidth="1"/>
    <col min="32" max="32" width="5.83203125" style="121" customWidth="1"/>
    <col min="33" max="34" width="10.83203125" style="121" customWidth="1"/>
    <col min="35" max="16384" width="10.83203125" style="120"/>
  </cols>
  <sheetData>
    <row r="1" spans="2:38" ht="13" customHeight="1">
      <c r="AI1" s="121"/>
    </row>
    <row r="2" spans="2:38" s="9" customFormat="1" ht="13" customHeight="1">
      <c r="B2" s="255" t="str">
        <f>IF('Summary | Sumário'!D$6=Names!B$3,Names!AF1,Names!AG1)</f>
        <v>Financials KPIs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31"/>
    </row>
    <row r="4" spans="2:38" ht="13" customHeight="1">
      <c r="B4" s="258" t="str">
        <f>IF('Summary | Sumário'!D$6=Names!B$3,Names!AF2,Names!AG2)</f>
        <v>Financials KPIs</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row>
    <row r="5" spans="2:38" ht="13" customHeight="1">
      <c r="B5" s="276" t="str">
        <f>IF('Summary | Sumário'!D$6=Names!B$3,Names!O22,Names!Z22)</f>
        <v>NPL 15-90 days (%)</v>
      </c>
      <c r="C5" s="331">
        <f>'9.1 Asset Quality'!C22</f>
        <v>9.5370982442912824E-2</v>
      </c>
      <c r="D5" s="331">
        <f>'9.1 Asset Quality'!D22</f>
        <v>5.0796743357097301E-2</v>
      </c>
      <c r="E5" s="331">
        <f>'9.1 Asset Quality'!E22</f>
        <v>4.3343014837280966E-2</v>
      </c>
      <c r="F5" s="331">
        <f>'9.1 Asset Quality'!F22</f>
        <v>4.4799700344888838E-2</v>
      </c>
      <c r="G5" s="331">
        <f>'9.1 Asset Quality'!G22</f>
        <v>4.1734808783996644E-2</v>
      </c>
      <c r="H5" s="331">
        <f>'9.1 Asset Quality'!H22</f>
        <v>3.9660437991675145E-2</v>
      </c>
      <c r="I5" s="331">
        <f>'9.1 Asset Quality'!I22</f>
        <v>4.0136741538756154E-2</v>
      </c>
      <c r="J5" s="191"/>
      <c r="K5" s="331">
        <f>'9.1 Asset Quality'!K22</f>
        <v>5.8225209943099196E-2</v>
      </c>
      <c r="L5" s="331">
        <f>'9.1 Asset Quality'!L22</f>
        <v>4.9321663959500765E-2</v>
      </c>
      <c r="M5" s="331">
        <f>'9.1 Asset Quality'!M22</f>
        <v>4.3742300141930562E-2</v>
      </c>
      <c r="N5" s="331">
        <f>'9.1 Asset Quality'!N22</f>
        <v>4.3343014837280966E-2</v>
      </c>
      <c r="O5" s="331">
        <f>'9.1 Asset Quality'!O22</f>
        <v>4.5976169196443886E-2</v>
      </c>
      <c r="P5" s="331">
        <f>'9.1 Asset Quality'!P22</f>
        <v>4.6319433620822595E-2</v>
      </c>
      <c r="Q5" s="331">
        <f>'9.1 Asset Quality'!Q22</f>
        <v>4.5256053329574275E-2</v>
      </c>
      <c r="R5" s="331">
        <f>'9.1 Asset Quality'!R22</f>
        <v>4.4799700344888838E-2</v>
      </c>
      <c r="S5" s="331">
        <f>'9.1 Asset Quality'!S22</f>
        <v>4.5822062207017081E-2</v>
      </c>
      <c r="T5" s="331">
        <f>'9.1 Asset Quality'!T22</f>
        <v>4.4189658142513487E-2</v>
      </c>
      <c r="U5" s="331">
        <f>'9.1 Asset Quality'!U22</f>
        <v>4.4552352735865317E-2</v>
      </c>
      <c r="V5" s="331">
        <f>'9.1 Asset Quality'!V22</f>
        <v>4.1734808783996644E-2</v>
      </c>
      <c r="W5" s="331">
        <f>'9.1 Asset Quality'!W22</f>
        <v>4.5923253875511862E-2</v>
      </c>
      <c r="X5" s="331">
        <f>'9.1 Asset Quality'!X22</f>
        <v>4.2510326089897139E-2</v>
      </c>
      <c r="Y5" s="331">
        <f>'9.1 Asset Quality'!Y22</f>
        <v>4.0660487638836278E-2</v>
      </c>
      <c r="Z5" s="331">
        <f>'9.1 Asset Quality'!Z22</f>
        <v>3.9660437991675145E-2</v>
      </c>
      <c r="AA5" s="331">
        <f>'9.1 Asset Quality'!AA22</f>
        <v>4.27586329804229E-2</v>
      </c>
      <c r="AB5" s="331">
        <f>'9.1 Asset Quality'!AB22</f>
        <v>4.0856053728075457E-2</v>
      </c>
      <c r="AC5" s="331">
        <f>'9.1 Asset Quality'!AC22</f>
        <v>4.0506467799850843E-2</v>
      </c>
      <c r="AD5" s="331">
        <f>'9.1 Asset Quality'!AD22</f>
        <v>4.0136741538756154E-2</v>
      </c>
      <c r="AE5" s="331">
        <f>'9.1 Asset Quality'!AE22</f>
        <v>4.5854962355542199E-2</v>
      </c>
      <c r="AF5" s="164"/>
      <c r="AG5" s="618">
        <f t="shared" ref="AG5:AG12" si="0">(AE5-AD5)*100</f>
        <v>0.57182208167860449</v>
      </c>
      <c r="AH5" s="618">
        <f t="shared" ref="AH5:AH12" si="1">(AE5-AA5)*100</f>
        <v>0.30963293751192988</v>
      </c>
    </row>
    <row r="6" spans="2:38" ht="13" customHeight="1">
      <c r="B6" s="50" t="str">
        <f>IF('Summary | Sumário'!D$6=Names!B$3,Names!O17,Names!Z17)</f>
        <v>NPL &gt; 90 days (%)</v>
      </c>
      <c r="C6" s="191">
        <f>'9.1 Asset Quality'!C27</f>
        <v>4.613178731386007E-2</v>
      </c>
      <c r="D6" s="191">
        <f>'9.1 Asset Quality'!D27</f>
        <v>3.0609729310091011E-2</v>
      </c>
      <c r="E6" s="191">
        <f>'9.1 Asset Quality'!E27</f>
        <v>3.0200147176854177E-2</v>
      </c>
      <c r="F6" s="191">
        <f>'9.1 Asset Quality'!F27</f>
        <v>4.4035058258035567E-2</v>
      </c>
      <c r="G6" s="191">
        <f>'9.1 Asset Quality'!G27</f>
        <v>4.7856496246126444E-2</v>
      </c>
      <c r="H6" s="191">
        <f>'9.1 Asset Quality'!H27</f>
        <v>4.8799437543959982E-2</v>
      </c>
      <c r="I6" s="191">
        <f>'9.1 Asset Quality'!I27</f>
        <v>4.6958359058369141E-2</v>
      </c>
      <c r="J6" s="191"/>
      <c r="K6" s="191">
        <f>'9.1 Asset Quality'!K27</f>
        <v>2.7749145598771716E-2</v>
      </c>
      <c r="L6" s="191">
        <f>'9.1 Asset Quality'!L27</f>
        <v>2.9991526230106761E-2</v>
      </c>
      <c r="M6" s="191">
        <f>'9.1 Asset Quality'!M27</f>
        <v>3.0402834963976985E-2</v>
      </c>
      <c r="N6" s="191">
        <f>'9.1 Asset Quality'!N27</f>
        <v>3.0200147176854177E-2</v>
      </c>
      <c r="O6" s="191">
        <f>'9.1 Asset Quality'!O27</f>
        <v>3.4936998834306461E-2</v>
      </c>
      <c r="P6" s="191">
        <f>'9.1 Asset Quality'!P27</f>
        <v>3.8745027931325456E-2</v>
      </c>
      <c r="Q6" s="191">
        <f>'9.1 Asset Quality'!Q27</f>
        <v>3.9935733007072323E-2</v>
      </c>
      <c r="R6" s="191">
        <f>'9.1 Asset Quality'!R27</f>
        <v>4.4035058258035567E-2</v>
      </c>
      <c r="S6" s="191">
        <f>'9.1 Asset Quality'!S27</f>
        <v>4.6662962679196812E-2</v>
      </c>
      <c r="T6" s="191">
        <f>'9.1 Asset Quality'!T27</f>
        <v>4.9425852547570676E-2</v>
      </c>
      <c r="U6" s="191">
        <f>'9.1 Asset Quality'!U27</f>
        <v>4.897935840718845E-2</v>
      </c>
      <c r="V6" s="191">
        <f>'9.1 Asset Quality'!V27</f>
        <v>4.7856496246126444E-2</v>
      </c>
      <c r="W6" s="191">
        <f>'9.1 Asset Quality'!W27</f>
        <v>5.0319540600866214E-2</v>
      </c>
      <c r="X6" s="191">
        <f>'9.1 Asset Quality'!X27</f>
        <v>5.0439663352820033E-2</v>
      </c>
      <c r="Y6" s="191">
        <f>'9.1 Asset Quality'!Y27</f>
        <v>5.1018439999266599E-2</v>
      </c>
      <c r="Z6" s="191">
        <f>'9.1 Asset Quality'!Z27</f>
        <v>4.8799437543959982E-2</v>
      </c>
      <c r="AA6" s="191">
        <f>'9.1 Asset Quality'!AA27</f>
        <v>4.638002809709578E-2</v>
      </c>
      <c r="AB6" s="191">
        <f>'9.1 Asset Quality'!AB27</f>
        <v>4.5774257349360532E-2</v>
      </c>
      <c r="AC6" s="191">
        <f>'9.1 Asset Quality'!AC27</f>
        <v>4.5249910785309821E-2</v>
      </c>
      <c r="AD6" s="191">
        <f>'9.1 Asset Quality'!AD27</f>
        <v>4.6958359058369141E-2</v>
      </c>
      <c r="AE6" s="191">
        <f>'9.1 Asset Quality'!AE27</f>
        <v>5.1099706461844467E-2</v>
      </c>
      <c r="AG6" s="363">
        <f t="shared" si="0"/>
        <v>0.41413474034753261</v>
      </c>
      <c r="AH6" s="363">
        <f t="shared" si="1"/>
        <v>0.47196783647486873</v>
      </c>
    </row>
    <row r="7" spans="2:38" ht="13" customHeight="1">
      <c r="B7" s="52" t="str">
        <f>IF('Summary | Sumário'!D$6=Names!B$3,Names!O126,Names!Z126)</f>
        <v>Coverage ratio (%)</v>
      </c>
      <c r="C7" s="336">
        <f>'9.1 Asset Quality'!C34</f>
        <v>1.2955774675319989</v>
      </c>
      <c r="D7" s="336">
        <f>'9.1 Asset Quality'!D34</f>
        <v>1.2362993155399116</v>
      </c>
      <c r="E7" s="336">
        <f>'9.1 Asset Quality'!E34</f>
        <v>1.3695865756226624</v>
      </c>
      <c r="F7" s="336">
        <f>'9.1 Asset Quality'!F34</f>
        <v>1.3483872650445294</v>
      </c>
      <c r="G7" s="336">
        <f>'9.1 Asset Quality'!G34</f>
        <v>1.343397801947867</v>
      </c>
      <c r="H7" s="336">
        <f>'9.1 Asset Quality'!H34</f>
        <v>1.3625649121395018</v>
      </c>
      <c r="I7" s="336">
        <f>'9.1 Asset Quality'!I34</f>
        <v>1.4144886243011037</v>
      </c>
      <c r="J7" s="337"/>
      <c r="K7" s="336">
        <f>'9.1 Asset Quality'!K34</f>
        <v>1.1778723729850911</v>
      </c>
      <c r="L7" s="336">
        <f>'9.1 Asset Quality'!L34</f>
        <v>1.2955774675319989</v>
      </c>
      <c r="M7" s="336">
        <f>'9.1 Asset Quality'!M34</f>
        <v>1.2362993155399116</v>
      </c>
      <c r="N7" s="336">
        <f>'9.1 Asset Quality'!N34</f>
        <v>1.3695865756226624</v>
      </c>
      <c r="O7" s="336">
        <f>'9.1 Asset Quality'!O34</f>
        <v>1.3153093610626549</v>
      </c>
      <c r="P7" s="336">
        <f>'9.1 Asset Quality'!P34</f>
        <v>1.3402206202440683</v>
      </c>
      <c r="Q7" s="336">
        <f>'9.1 Asset Quality'!Q34</f>
        <v>1.4508092842877671</v>
      </c>
      <c r="R7" s="336">
        <f>'9.1 Asset Quality'!R34</f>
        <v>1.3483872650445294</v>
      </c>
      <c r="S7" s="336">
        <f>'9.1 Asset Quality'!S34</f>
        <v>1.3416430321424944</v>
      </c>
      <c r="T7" s="336">
        <f>'9.1 Asset Quality'!T34</f>
        <v>1.3296856642590198</v>
      </c>
      <c r="U7" s="336">
        <f>'9.1 Asset Quality'!U34</f>
        <v>1.3188960574080884</v>
      </c>
      <c r="V7" s="336">
        <f>'9.1 Asset Quality'!V34</f>
        <v>1.343397801947867</v>
      </c>
      <c r="W7" s="336">
        <f>'9.1 Asset Quality'!W34</f>
        <v>1.325796015185797</v>
      </c>
      <c r="X7" s="336">
        <f>'9.1 Asset Quality'!X34</f>
        <v>1.3017531336546826</v>
      </c>
      <c r="Y7" s="336">
        <f>'9.1 Asset Quality'!Y34</f>
        <v>1.2953231740838689</v>
      </c>
      <c r="Z7" s="336">
        <f>'9.1 Asset Quality'!Z34</f>
        <v>1.3625649121395018</v>
      </c>
      <c r="AA7" s="336">
        <f>'9.1 Asset Quality'!AA34</f>
        <v>1.4254534411552315</v>
      </c>
      <c r="AB7" s="336">
        <f>'9.1 Asset Quality'!AB34</f>
        <v>1.4339593935505011</v>
      </c>
      <c r="AC7" s="336">
        <f>'9.1 Asset Quality'!AC34</f>
        <v>1.4631857564609239</v>
      </c>
      <c r="AD7" s="336">
        <f>'9.1 Asset Quality'!AD34</f>
        <v>1.4144886243011037</v>
      </c>
      <c r="AE7" s="336">
        <f>'9.1 Asset Quality'!AE34</f>
        <v>1.3739412613488764</v>
      </c>
      <c r="AG7" s="362">
        <f t="shared" si="0"/>
        <v>-4.0547362952227273</v>
      </c>
      <c r="AH7" s="362">
        <f t="shared" si="1"/>
        <v>-5.1512179806355141</v>
      </c>
      <c r="AI7" s="195"/>
    </row>
    <row r="8" spans="2:38" ht="13" customHeight="1">
      <c r="B8" s="50" t="str">
        <f>IF('Summary | Sumário'!D$6=Names!B$3,Names!R5,Names!S5)</f>
        <v>All-in cost of risk (%)</v>
      </c>
      <c r="C8" s="616">
        <f>'9.1 Asset Quality'!C43</f>
        <v>2.9005395627358637E-2</v>
      </c>
      <c r="D8" s="616">
        <f>'9.1 Asset Quality'!D43</f>
        <v>3.1500109268915409E-2</v>
      </c>
      <c r="E8" s="616">
        <f>'9.1 Asset Quality'!E43</f>
        <v>4.2473822514589699E-2</v>
      </c>
      <c r="F8" s="616">
        <f>'9.1 Asset Quality'!F43</f>
        <v>4.6317183838668459E-2</v>
      </c>
      <c r="G8" s="616">
        <f>'9.1 Asset Quality'!G43</f>
        <v>5.0763660863218409E-2</v>
      </c>
      <c r="H8" s="616">
        <f>'9.1 Asset Quality'!H43</f>
        <v>4.6974431184395926E-2</v>
      </c>
      <c r="I8" s="616">
        <f>'9.1 Asset Quality'!I43</f>
        <v>4.8953797731420758E-2</v>
      </c>
      <c r="J8" s="337"/>
      <c r="K8" s="616">
        <f>'9.1 Asset Quality'!K43</f>
        <v>3.6294785137454662E-2</v>
      </c>
      <c r="L8" s="616">
        <f>'9.1 Asset Quality'!L43</f>
        <v>5.1689493991981396E-2</v>
      </c>
      <c r="M8" s="616">
        <f>'9.1 Asset Quality'!M43</f>
        <v>3.5989203377592288E-2</v>
      </c>
      <c r="N8" s="616">
        <f>'9.1 Asset Quality'!N43</f>
        <v>4.1029523187723967E-2</v>
      </c>
      <c r="O8" s="616">
        <f>'9.1 Asset Quality'!O43</f>
        <v>6.3011912919397436E-2</v>
      </c>
      <c r="P8" s="616">
        <f>'9.1 Asset Quality'!P43</f>
        <v>4.5258610425504199E-2</v>
      </c>
      <c r="Q8" s="616">
        <f>'9.1 Asset Quality'!Q43</f>
        <v>4.4313443197696145E-2</v>
      </c>
      <c r="R8" s="616">
        <f>'9.1 Asset Quality'!R43</f>
        <v>4.0230685016000328E-2</v>
      </c>
      <c r="S8" s="616">
        <f>'9.1 Asset Quality'!S43</f>
        <v>5.0543650227926271E-2</v>
      </c>
      <c r="T8" s="616">
        <f>'9.1 Asset Quality'!T43</f>
        <v>5.5909005204313231E-2</v>
      </c>
      <c r="U8" s="616">
        <f>'9.1 Asset Quality'!U43</f>
        <v>5.5000173940667627E-2</v>
      </c>
      <c r="V8" s="616">
        <f>'9.1 Asset Quality'!V43</f>
        <v>4.8432678565455717E-2</v>
      </c>
      <c r="W8" s="616">
        <f>'9.1 Asset Quality'!W43</f>
        <v>4.8569182560775234E-2</v>
      </c>
      <c r="X8" s="616">
        <f>'9.1 Asset Quality'!X43</f>
        <v>4.6726508416808088E-2</v>
      </c>
      <c r="Y8" s="616">
        <f>'9.1 Asset Quality'!Y43</f>
        <v>4.8574047314921272E-2</v>
      </c>
      <c r="Z8" s="616">
        <f>'9.1 Asset Quality'!Z43</f>
        <v>4.7546725119791959E-2</v>
      </c>
      <c r="AA8" s="616">
        <f>'9.1 Asset Quality'!AA43</f>
        <v>4.6474056852563637E-2</v>
      </c>
      <c r="AB8" s="616">
        <f>'9.1 Asset Quality'!AB43</f>
        <v>4.9775789895540309E-2</v>
      </c>
      <c r="AC8" s="616">
        <f>'9.1 Asset Quality'!AC43</f>
        <v>5.3529851769126745E-2</v>
      </c>
      <c r="AD8" s="616">
        <f>'9.1 Asset Quality'!AD43</f>
        <v>5.2961375647574631E-2</v>
      </c>
      <c r="AE8" s="616">
        <f>'9.1 Asset Quality'!AE43</f>
        <v>5.5671111274528035E-2</v>
      </c>
      <c r="AG8" s="363">
        <f t="shared" si="0"/>
        <v>0.27097356269534034</v>
      </c>
      <c r="AH8" s="363">
        <f t="shared" si="1"/>
        <v>0.91970544219643968</v>
      </c>
    </row>
    <row r="9" spans="2:38" ht="13" customHeight="1">
      <c r="B9" s="52" t="str">
        <f>IF('Summary | Sumário'!D$6=Names!B$3,Names!Q7,Names!R7)</f>
        <v>NIM 2.0 (%)</v>
      </c>
      <c r="C9" s="336">
        <f>'9.2 NIM &amp; Yields'!C9</f>
        <v>6.3020680026689813E-2</v>
      </c>
      <c r="D9" s="336">
        <f>'9.2 NIM &amp; Yields'!D9</f>
        <v>5.5495979335055338E-2</v>
      </c>
      <c r="E9" s="336">
        <f>'9.2 NIM &amp; Yields'!E9</f>
        <v>6.8360492746172299E-2</v>
      </c>
      <c r="F9" s="336">
        <f>'9.2 NIM &amp; Yields'!F9</f>
        <v>7.267746383265955E-2</v>
      </c>
      <c r="G9" s="336">
        <f>'9.2 NIM &amp; Yields'!G9</f>
        <v>7.7824527213777778E-2</v>
      </c>
      <c r="H9" s="336">
        <f>'9.2 NIM &amp; Yields'!H9</f>
        <v>8.2436165002568437E-2</v>
      </c>
      <c r="I9" s="336">
        <f>'9.2 NIM &amp; Yields'!I9</f>
        <v>9.0232223754691906E-2</v>
      </c>
      <c r="J9" s="337"/>
      <c r="K9" s="336">
        <f>'9.2 NIM &amp; Yields'!K9</f>
        <v>6.8733691830851179E-2</v>
      </c>
      <c r="L9" s="336">
        <f>'9.2 NIM &amp; Yields'!L9</f>
        <v>5.7239372741286251E-2</v>
      </c>
      <c r="M9" s="336">
        <f>'9.2 NIM &amp; Yields'!M9</f>
        <v>6.7054588581747704E-2</v>
      </c>
      <c r="N9" s="336">
        <f>'9.2 NIM &amp; Yields'!N9</f>
        <v>7.5645922678885091E-2</v>
      </c>
      <c r="O9" s="336">
        <f>'9.2 NIM &amp; Yields'!O9</f>
        <v>7.4233407062940196E-2</v>
      </c>
      <c r="P9" s="336">
        <f>'9.2 NIM &amp; Yields'!P9</f>
        <v>7.5588216731602362E-2</v>
      </c>
      <c r="Q9" s="336">
        <f>'9.2 NIM &amp; Yields'!Q9</f>
        <v>7.0166279314210447E-2</v>
      </c>
      <c r="R9" s="336">
        <f>'9.2 NIM &amp; Yields'!R9</f>
        <v>7.8094470161594251E-2</v>
      </c>
      <c r="S9" s="336">
        <f>'9.2 NIM &amp; Yields'!S9</f>
        <v>7.7923974174730459E-2</v>
      </c>
      <c r="T9" s="336">
        <f>'9.2 NIM &amp; Yields'!T9</f>
        <v>8.5539472440613981E-2</v>
      </c>
      <c r="U9" s="336">
        <f>'9.2 NIM &amp; Yields'!U9</f>
        <v>8.1482839464113735E-2</v>
      </c>
      <c r="V9" s="336">
        <f>'9.2 NIM &amp; Yields'!V9</f>
        <v>7.8697434892860935E-2</v>
      </c>
      <c r="W9" s="336">
        <f>'9.2 NIM &amp; Yields'!W9</f>
        <v>8.2180472229888515E-2</v>
      </c>
      <c r="X9" s="336">
        <f>'9.2 NIM &amp; Yields'!X9</f>
        <v>8.2371027681412398E-2</v>
      </c>
      <c r="Y9" s="336">
        <f>'9.2 NIM &amp; Yields'!Y9</f>
        <v>8.6757681580365315E-2</v>
      </c>
      <c r="Z9" s="336">
        <f>'9.2 NIM &amp; Yields'!Z9</f>
        <v>8.7425087440085245E-2</v>
      </c>
      <c r="AA9" s="336">
        <f>'9.2 NIM &amp; Yields'!AA9</f>
        <v>8.8434242308333022E-2</v>
      </c>
      <c r="AB9" s="336">
        <f>'9.2 NIM &amp; Yields'!AB9</f>
        <v>9.0695418380868989E-2</v>
      </c>
      <c r="AC9" s="336">
        <f>'9.2 NIM &amp; Yields'!AC9</f>
        <v>9.279500492766278E-2</v>
      </c>
      <c r="AD9" s="336">
        <f>'9.2 NIM &amp; Yields'!AD9</f>
        <v>9.5655044278617249E-2</v>
      </c>
      <c r="AE9" s="336">
        <f>'9.2 NIM &amp; Yields'!AE9</f>
        <v>9.5391516057075132E-2</v>
      </c>
      <c r="AG9" s="362">
        <f t="shared" si="0"/>
        <v>-2.6352822154211697E-2</v>
      </c>
      <c r="AH9" s="362">
        <f t="shared" si="1"/>
        <v>0.69572737487421099</v>
      </c>
    </row>
    <row r="10" spans="2:38" ht="13" customHeight="1">
      <c r="B10" s="50" t="str">
        <f>IF('Summary | Sumário'!D$6=Names!B$3,Names!Q10,Names!R10)</f>
        <v>Risk-adjusted NIM 2.0 (%)</v>
      </c>
      <c r="C10" s="616">
        <f>'9.2 NIM &amp; Yields'!C18</f>
        <v>4.8257574316724908E-2</v>
      </c>
      <c r="D10" s="616">
        <f>'9.2 NIM &amp; Yields'!D18</f>
        <v>3.9323698139541174E-2</v>
      </c>
      <c r="E10" s="616">
        <f>'9.2 NIM &amp; Yields'!E18</f>
        <v>4.3136944003390354E-2</v>
      </c>
      <c r="F10" s="616">
        <f>'9.2 NIM &amp; Yields'!F18</f>
        <v>4.034885798859994E-2</v>
      </c>
      <c r="G10" s="616">
        <f>'9.2 NIM &amp; Yields'!G18</f>
        <v>4.1433737564831138E-2</v>
      </c>
      <c r="H10" s="616">
        <f>'9.2 NIM &amp; Yields'!H18</f>
        <v>4.9151794487335095E-2</v>
      </c>
      <c r="I10" s="616">
        <f>'9.2 NIM &amp; Yields'!I18</f>
        <v>5.5479403412517378E-2</v>
      </c>
      <c r="J10" s="337"/>
      <c r="K10" s="616">
        <f>'9.2 NIM &amp; Yields'!K18</f>
        <v>4.4085605491636447E-2</v>
      </c>
      <c r="L10" s="616">
        <f>'9.2 NIM &amp; Yields'!L18</f>
        <v>2.6220915320290392E-2</v>
      </c>
      <c r="M10" s="616">
        <f>'9.2 NIM &amp; Yields'!M18</f>
        <v>4.6633875087625939E-2</v>
      </c>
      <c r="N10" s="616">
        <f>'9.2 NIM &amp; Yields'!N18</f>
        <v>5.061860921319894E-2</v>
      </c>
      <c r="O10" s="616">
        <f>'9.2 NIM &amp; Yields'!O18</f>
        <v>3.2782259071434061E-2</v>
      </c>
      <c r="P10" s="616">
        <f>'9.2 NIM &amp; Yields'!P18</f>
        <v>4.4347422960658245E-2</v>
      </c>
      <c r="Q10" s="616">
        <f>'9.2 NIM &amp; Yields'!Q18</f>
        <v>3.8700640351518531E-2</v>
      </c>
      <c r="R10" s="616">
        <f>'9.2 NIM &amp; Yields'!R18</f>
        <v>4.8620585417595272E-2</v>
      </c>
      <c r="S10" s="616">
        <f>'9.2 NIM &amp; Yields'!S18</f>
        <v>4.0309153521016335E-2</v>
      </c>
      <c r="T10" s="616">
        <f>'9.2 NIM &amp; Yields'!T18</f>
        <v>4.4378043460152256E-2</v>
      </c>
      <c r="U10" s="616">
        <f>'9.2 NIM &amp; Yields'!U18</f>
        <v>4.2159442262429708E-2</v>
      </c>
      <c r="V10" s="616">
        <f>'9.2 NIM &amp; Yields'!V18</f>
        <v>4.4962357215369848E-2</v>
      </c>
      <c r="W10" s="616">
        <f>'9.2 NIM &amp; Yields'!W18</f>
        <v>4.8142369184789452E-2</v>
      </c>
      <c r="X10" s="616">
        <f>'9.2 NIM &amp; Yields'!X18</f>
        <v>4.9066733389372438E-2</v>
      </c>
      <c r="Y10" s="616">
        <f>'9.2 NIM &amp; Yields'!Y18</f>
        <v>5.163089103848454E-2</v>
      </c>
      <c r="Z10" s="616">
        <f>'9.2 NIM &amp; Yields'!Z18</f>
        <v>5.2977147751792485E-2</v>
      </c>
      <c r="AA10" s="616">
        <f>'9.2 NIM &amp; Yields'!AA18</f>
        <v>5.5095613637360492E-2</v>
      </c>
      <c r="AB10" s="616">
        <f>'9.2 NIM &amp; Yields'!AB18</f>
        <v>5.5562359322360734E-2</v>
      </c>
      <c r="AC10" s="616">
        <f>'9.2 NIM &amp; Yields'!AC18</f>
        <v>5.615052487716235E-2</v>
      </c>
      <c r="AD10" s="616">
        <f>'9.2 NIM &amp; Yields'!AD18</f>
        <v>5.9232693748222001E-2</v>
      </c>
      <c r="AE10" s="616">
        <f>'9.2 NIM &amp; Yields'!AE18</f>
        <v>5.578671256730286E-2</v>
      </c>
      <c r="AG10" s="363">
        <f t="shared" si="0"/>
        <v>-0.34459811809191415</v>
      </c>
      <c r="AH10" s="363">
        <f t="shared" si="1"/>
        <v>6.9109892994236727E-2</v>
      </c>
    </row>
    <row r="11" spans="2:38" ht="13" customHeight="1">
      <c r="B11" s="52" t="str">
        <f>IF('Summary | Sumário'!D$6=Names!B$3,Names!AC35,Names!AD35)</f>
        <v>Fee income ratio (%)</v>
      </c>
      <c r="C11" s="336">
        <f>'9.3 Fee Income Ratio'!C9</f>
        <v>0.169464548300088</v>
      </c>
      <c r="D11" s="336">
        <f>'9.3 Fee Income Ratio'!D9</f>
        <v>0.27496915480968737</v>
      </c>
      <c r="E11" s="336">
        <f>'9.3 Fee Income Ratio'!E9</f>
        <v>0.27350841969732093</v>
      </c>
      <c r="F11" s="336">
        <f>'9.3 Fee Income Ratio'!F9</f>
        <v>0.31647034296011883</v>
      </c>
      <c r="G11" s="336">
        <f>'9.3 Fee Income Ratio'!G9</f>
        <v>0.30631390459180918</v>
      </c>
      <c r="H11" s="336">
        <f>'9.3 Fee Income Ratio'!H9</f>
        <v>0.30365163699821585</v>
      </c>
      <c r="I11" s="336">
        <f>'9.3 Fee Income Ratio'!I9</f>
        <v>0.25320017836103542</v>
      </c>
      <c r="J11" s="337"/>
      <c r="K11" s="336">
        <f>'9.3 Fee Income Ratio'!K9</f>
        <v>0.28627311957648288</v>
      </c>
      <c r="L11" s="336">
        <f>'9.3 Fee Income Ratio'!L9</f>
        <v>0.33894838694026419</v>
      </c>
      <c r="M11" s="336">
        <f>'9.3 Fee Income Ratio'!M9</f>
        <v>0.25283842037330045</v>
      </c>
      <c r="N11" s="336">
        <f>'9.3 Fee Income Ratio'!N9</f>
        <v>0.24154313643237449</v>
      </c>
      <c r="O11" s="336">
        <f>'9.3 Fee Income Ratio'!O9</f>
        <v>0.32761861439090412</v>
      </c>
      <c r="P11" s="336">
        <f>'9.3 Fee Income Ratio'!P9</f>
        <v>0.33108697296749373</v>
      </c>
      <c r="Q11" s="336">
        <f>'9.3 Fee Income Ratio'!Q9</f>
        <v>0.30998227130596889</v>
      </c>
      <c r="R11" s="336">
        <f>'9.3 Fee Income Ratio'!R9</f>
        <v>0.29990645568074864</v>
      </c>
      <c r="S11" s="336">
        <f>'9.3 Fee Income Ratio'!S9</f>
        <v>0.29062483665150585</v>
      </c>
      <c r="T11" s="336">
        <f>'9.3 Fee Income Ratio'!T9</f>
        <v>0.27978998881772194</v>
      </c>
      <c r="U11" s="336">
        <f>'9.3 Fee Income Ratio'!U9</f>
        <v>0.33210664465640283</v>
      </c>
      <c r="V11" s="336">
        <f>'9.3 Fee Income Ratio'!V9</f>
        <v>0.31692388438004793</v>
      </c>
      <c r="W11" s="336">
        <f>'9.3 Fee Income Ratio'!W9</f>
        <v>0.29160324697136625</v>
      </c>
      <c r="X11" s="336">
        <f>'9.3 Fee Income Ratio'!X9</f>
        <v>0.29536908683149532</v>
      </c>
      <c r="Y11" s="336">
        <f>'9.3 Fee Income Ratio'!Y9</f>
        <v>0.3053397223912393</v>
      </c>
      <c r="Z11" s="336">
        <f>'9.3 Fee Income Ratio'!Z9</f>
        <v>0.31790826711817477</v>
      </c>
      <c r="AA11" s="336">
        <f>'9.3 Fee Income Ratio'!AA9</f>
        <v>0.25857357469205999</v>
      </c>
      <c r="AB11" s="336">
        <f>'9.3 Fee Income Ratio'!AB9</f>
        <v>0.26637715952174512</v>
      </c>
      <c r="AC11" s="336">
        <f>'9.3 Fee Income Ratio'!AC9</f>
        <v>0.24950605041985716</v>
      </c>
      <c r="AD11" s="336">
        <f>'9.3 Fee Income Ratio'!AD9</f>
        <v>0.24140543531908565</v>
      </c>
      <c r="AE11" s="336">
        <f>'9.3 Fee Income Ratio'!AE9</f>
        <v>0.22910281783557224</v>
      </c>
      <c r="AG11" s="362">
        <f t="shared" si="0"/>
        <v>-1.2302617483513412</v>
      </c>
      <c r="AH11" s="362">
        <f t="shared" si="1"/>
        <v>-2.9470756856487759</v>
      </c>
    </row>
    <row r="12" spans="2:38" ht="13" customHeight="1">
      <c r="B12" s="688" t="str">
        <f>'9.4 Efficiency | Eficiência'!B15</f>
        <v>Efficiency ratio (%)</v>
      </c>
      <c r="C12" s="692">
        <f>'9.4 Efficiency | Eficiência'!C15</f>
        <v>0.80448043413149117</v>
      </c>
      <c r="D12" s="692">
        <f>'9.4 Efficiency | Eficiência'!D15</f>
        <v>0.90379777979974207</v>
      </c>
      <c r="E12" s="692">
        <f>'9.4 Efficiency | Eficiência'!E15</f>
        <v>0.82011360010696199</v>
      </c>
      <c r="F12" s="692">
        <f>'9.4 Efficiency | Eficiência'!F15</f>
        <v>0.72178098742996</v>
      </c>
      <c r="G12" s="692">
        <f>'9.4 Efficiency | Eficiência'!G15</f>
        <v>0.54312186300614262</v>
      </c>
      <c r="H12" s="692">
        <f>'9.4 Efficiency | Eficiência'!H15</f>
        <v>0.48611114007835399</v>
      </c>
      <c r="I12" s="692">
        <f>'9.4 Efficiency | Eficiência'!I15</f>
        <v>0.46412975160370901</v>
      </c>
      <c r="J12" s="194"/>
      <c r="K12" s="692">
        <f>'9.4 Efficiency | Eficiência'!K15</f>
        <v>0.8224467649408943</v>
      </c>
      <c r="L12" s="692">
        <f>'9.4 Efficiency | Eficiência'!L15</f>
        <v>0.8949860183046211</v>
      </c>
      <c r="M12" s="692">
        <f>'9.4 Efficiency | Eficiência'!M15</f>
        <v>0.68477256272790943</v>
      </c>
      <c r="N12" s="692">
        <f>'9.4 Efficiency | Eficiência'!N15</f>
        <v>0.88300737159708231</v>
      </c>
      <c r="O12" s="692">
        <f>'9.4 Efficiency | Eficiência'!O15</f>
        <v>0.71882577509772227</v>
      </c>
      <c r="P12" s="692">
        <f>'9.4 Efficiency | Eficiência'!P15</f>
        <v>0.68258662740128873</v>
      </c>
      <c r="Q12" s="692">
        <f>'9.4 Efficiency | Eficiência'!Q15</f>
        <v>0.75028956831525417</v>
      </c>
      <c r="R12" s="692">
        <f>'9.4 Efficiency | Eficiência'!R15</f>
        <v>0.73439393175827561</v>
      </c>
      <c r="S12" s="692">
        <f>'9.4 Efficiency | Eficiência'!S15</f>
        <v>0.62351037661067732</v>
      </c>
      <c r="T12" s="692">
        <f>'9.4 Efficiency | Eficiência'!T15</f>
        <v>0.53383674950420901</v>
      </c>
      <c r="U12" s="692">
        <f>'9.4 Efficiency | Eficiência'!U15</f>
        <v>0.51720803695273643</v>
      </c>
      <c r="V12" s="692">
        <f>'9.4 Efficiency | Eficiência'!V15</f>
        <v>0.51364353479126668</v>
      </c>
      <c r="W12" s="692">
        <f>'9.4 Efficiency | Eficiência'!W15</f>
        <v>0.47740995408553893</v>
      </c>
      <c r="X12" s="692">
        <f>'9.4 Efficiency | Eficiência'!X15</f>
        <v>0.47563347568986319</v>
      </c>
      <c r="Y12" s="692">
        <f>'9.4 Efficiency | Eficiência'!Y15</f>
        <v>0.50398313974470588</v>
      </c>
      <c r="Z12" s="692">
        <f>'9.4 Efficiency | Eficiência'!Z15</f>
        <v>0.48499584933379458</v>
      </c>
      <c r="AA12" s="692">
        <f>'9.4 Efficiency | Eficiência'!AA15</f>
        <v>0.48281649047197628</v>
      </c>
      <c r="AB12" s="692">
        <f>'9.4 Efficiency | Eficiência'!AB15</f>
        <v>0.47147874699369585</v>
      </c>
      <c r="AC12" s="692">
        <f>'9.4 Efficiency | Eficiência'!AC15</f>
        <v>0.45172619796749802</v>
      </c>
      <c r="AD12" s="692">
        <f>'9.4 Efficiency | Eficiência'!AD15</f>
        <v>0.45485613628967569</v>
      </c>
      <c r="AE12" s="692">
        <f>'9.4 Efficiency | Eficiência'!AE15</f>
        <v>0.43769752684958957</v>
      </c>
      <c r="AF12" s="194"/>
      <c r="AG12" s="691">
        <f t="shared" si="0"/>
        <v>-1.7158609440086126</v>
      </c>
      <c r="AH12" s="691">
        <f t="shared" si="1"/>
        <v>-4.5118963622386712</v>
      </c>
    </row>
    <row r="13" spans="2:38" ht="13" customHeight="1">
      <c r="B13" s="52" t="str">
        <f>IF('Summary | Sumário'!D$6=Names!B$3,Names!AP13,Names!AQ13)</f>
        <v>Cost-to-serve (R$)</v>
      </c>
      <c r="C13" s="619">
        <f>'9.5 CTS | Custo de servir '!C13</f>
        <v>20.917134022985081</v>
      </c>
      <c r="D13" s="619">
        <f>'9.5 CTS | Custo de servir '!D13</f>
        <v>20.21863899270841</v>
      </c>
      <c r="E13" s="619">
        <f>'9.5 CTS | Custo de servir '!E13</f>
        <v>20.146619776144078</v>
      </c>
      <c r="F13" s="619">
        <f>'9.5 CTS | Custo de servir '!F13</f>
        <v>18.620419643425254</v>
      </c>
      <c r="G13" s="619">
        <f>'9.5 CTS | Custo de servir '!G13</f>
        <v>13.869977063425322</v>
      </c>
      <c r="H13" s="619">
        <f>'9.5 CTS | Custo de servir '!H13</f>
        <v>13.145217057243375</v>
      </c>
      <c r="I13" s="619">
        <f>'9.5 CTS | Custo de servir '!I13</f>
        <v>13.289295150563458</v>
      </c>
      <c r="J13" s="617"/>
      <c r="K13" s="619">
        <f>'9.5 CTS | Custo de servir '!K13</f>
        <v>18.745383180514356</v>
      </c>
      <c r="L13" s="619">
        <f>'9.5 CTS | Custo de servir '!L13</f>
        <v>19.761349166461045</v>
      </c>
      <c r="M13" s="619">
        <f>'9.5 CTS | Custo de servir '!M13</f>
        <v>17.187979013081847</v>
      </c>
      <c r="N13" s="619">
        <f>'9.5 CTS | Custo de servir '!N13</f>
        <v>23.941350909457267</v>
      </c>
      <c r="O13" s="619">
        <f>'9.5 CTS | Custo de servir '!O13</f>
        <v>19.888575977297553</v>
      </c>
      <c r="P13" s="619">
        <f>'9.5 CTS | Custo de servir '!P13</f>
        <v>18.006116537985346</v>
      </c>
      <c r="Q13" s="619">
        <f>'9.5 CTS | Custo de servir '!Q13</f>
        <v>17.640218187999785</v>
      </c>
      <c r="R13" s="619">
        <f>'9.5 CTS | Custo de servir '!R13</f>
        <v>18.851561313419559</v>
      </c>
      <c r="S13" s="619">
        <f>'9.5 CTS | Custo de servir '!S13</f>
        <v>15.198842445968298</v>
      </c>
      <c r="T13" s="619">
        <f>'9.5 CTS | Custo de servir '!T13</f>
        <v>13.67902630506528</v>
      </c>
      <c r="U13" s="619">
        <f>'9.5 CTS | Custo de servir '!U13</f>
        <v>13.661825890331194</v>
      </c>
      <c r="V13" s="619">
        <f>'9.5 CTS | Custo de servir '!V13</f>
        <v>13.123678045308578</v>
      </c>
      <c r="W13" s="619">
        <f>'9.5 CTS | Custo de servir '!W13</f>
        <v>12.371846564635158</v>
      </c>
      <c r="X13" s="619">
        <f>'9.5 CTS | Custo de servir '!X13</f>
        <v>12.286397015579938</v>
      </c>
      <c r="Y13" s="619">
        <f>'9.5 CTS | Custo de servir '!Y13</f>
        <v>13.830950210724284</v>
      </c>
      <c r="Z13" s="619">
        <f>'9.5 CTS | Custo de servir '!Z13</f>
        <v>13.978975088428397</v>
      </c>
      <c r="AA13" s="619">
        <f>'9.5 CTS | Custo de servir '!AA13</f>
        <v>13.138845255832354</v>
      </c>
      <c r="AB13" s="619">
        <f>'9.5 CTS | Custo de servir '!AB13</f>
        <v>13.147140123242322</v>
      </c>
      <c r="AC13" s="619">
        <f>'9.5 CTS | Custo de servir '!AC13</f>
        <v>13.052704930319202</v>
      </c>
      <c r="AD13" s="619">
        <f>'9.5 CTS | Custo de servir '!AD13</f>
        <v>13.829302599792996</v>
      </c>
      <c r="AE13" s="619">
        <f>'9.5 CTS | Custo de servir '!AE13</f>
        <v>13.073021598752886</v>
      </c>
      <c r="AG13" s="336">
        <f>AE13/AD13-1</f>
        <v>-5.4686850300855405E-2</v>
      </c>
      <c r="AH13" s="336">
        <f>AE13/AA13-1</f>
        <v>-5.0098510027164478E-3</v>
      </c>
    </row>
    <row r="14" spans="2:38" ht="13" customHeight="1">
      <c r="B14" s="688" t="str">
        <f>IF('Summary | Sumário'!D$6=Names!B$3,Names!AR15,Names!AS15)</f>
        <v>Gross ARPAC (R$)</v>
      </c>
      <c r="C14" s="689">
        <f>'9.6 ARPAC'!C16</f>
        <v>37.439906636795584</v>
      </c>
      <c r="D14" s="689">
        <f>'9.6 ARPAC'!D16</f>
        <v>29.358654512771416</v>
      </c>
      <c r="E14" s="689">
        <f>'9.6 ARPAC'!E16</f>
        <v>36.896683850892749</v>
      </c>
      <c r="F14" s="689">
        <f>'9.6 ARPAC'!F16</f>
        <v>46.598265964707203</v>
      </c>
      <c r="G14" s="689">
        <f>'9.6 ARPAC'!G16</f>
        <v>46.446138281704023</v>
      </c>
      <c r="H14" s="689">
        <f>'9.6 ARPAC'!H16</f>
        <v>46.627143767512422</v>
      </c>
      <c r="I14" s="689">
        <f>'9.6 ARPAC'!I16</f>
        <v>54.885175685110994</v>
      </c>
      <c r="J14" s="617"/>
      <c r="K14" s="689">
        <f>'9.6 ARPAC'!K16</f>
        <v>43.102752969930648</v>
      </c>
      <c r="L14" s="689">
        <f>'9.6 ARPAC'!L16</f>
        <v>32.116674790571992</v>
      </c>
      <c r="M14" s="689">
        <f>'9.6 ARPAC'!M16</f>
        <v>37.142020815254909</v>
      </c>
      <c r="N14" s="689">
        <f>'9.6 ARPAC'!N16</f>
        <v>43.653785357728026</v>
      </c>
      <c r="O14" s="689">
        <f>'9.6 ARPAC'!O16</f>
        <v>45.637615645372989</v>
      </c>
      <c r="P14" s="689">
        <f>'9.6 ARPAC'!P16</f>
        <v>47.27263716487105</v>
      </c>
      <c r="Q14" s="689">
        <f>'9.6 ARPAC'!Q16</f>
        <v>45.898270026182757</v>
      </c>
      <c r="R14" s="689">
        <f>'9.6 ARPAC'!R16</f>
        <v>46.871338638732432</v>
      </c>
      <c r="S14" s="689">
        <f>'9.6 ARPAC'!S16</f>
        <v>45.928754143736498</v>
      </c>
      <c r="T14" s="689">
        <f>'9.6 ARPAC'!T16</f>
        <v>46.097358198258931</v>
      </c>
      <c r="U14" s="689">
        <f>'9.6 ARPAC'!U16</f>
        <v>47.683229324275089</v>
      </c>
      <c r="V14" s="689">
        <f>'9.6 ARPAC'!V16</f>
        <v>45.943985472726851</v>
      </c>
      <c r="W14" s="689">
        <f>'9.6 ARPAC'!W16</f>
        <v>45.155471724025865</v>
      </c>
      <c r="X14" s="689">
        <f>'9.6 ARPAC'!X16</f>
        <v>44.744988009538986</v>
      </c>
      <c r="Y14" s="689">
        <f>'9.6 ARPAC'!Y16</f>
        <v>47.164658772595494</v>
      </c>
      <c r="Z14" s="689">
        <f>'9.6 ARPAC'!Z16</f>
        <v>49.265202333247132</v>
      </c>
      <c r="AA14" s="689">
        <f>'9.6 ARPAC'!AA16</f>
        <v>50.018736493520954</v>
      </c>
      <c r="AB14" s="689">
        <f>'9.6 ARPAC'!AB16</f>
        <v>53.691072576799762</v>
      </c>
      <c r="AC14" s="689">
        <f>'9.6 ARPAC'!AC16</f>
        <v>56.844732598911676</v>
      </c>
      <c r="AD14" s="689">
        <f>'9.6 ARPAC'!AD16</f>
        <v>58.522364619681532</v>
      </c>
      <c r="AE14" s="689">
        <f>'9.6 ARPAC'!AE16</f>
        <v>57.04311561908338</v>
      </c>
      <c r="AG14" s="690">
        <f>AE14/AD14-1</f>
        <v>-2.5276644411266092E-2</v>
      </c>
      <c r="AH14" s="690">
        <f>AE14/AA14-1</f>
        <v>0.14043495733788292</v>
      </c>
    </row>
    <row r="15" spans="2:38" ht="13" customHeight="1">
      <c r="B15" s="52" t="str">
        <f>IF('Summary | Sumário'!D$6=Names!B$3,Names!AR30,Names!AS30)</f>
        <v>Net ARPAC (R$)</v>
      </c>
      <c r="C15" s="619">
        <f>'9.6 ARPAC'!C31</f>
        <v>28.068065362420551</v>
      </c>
      <c r="D15" s="619">
        <f>'9.6 ARPAC'!D31</f>
        <v>25.281336702420809</v>
      </c>
      <c r="E15" s="619">
        <f>'9.6 ARPAC'!E31</f>
        <v>30.465638946764312</v>
      </c>
      <c r="F15" s="619">
        <f>'9.6 ARPAC'!F31</f>
        <v>31.241092843481812</v>
      </c>
      <c r="G15" s="619">
        <f>'9.6 ARPAC'!G31</f>
        <v>29.845051007254341</v>
      </c>
      <c r="H15" s="619">
        <f>'9.6 ARPAC'!H31</f>
        <v>31.696587177552658</v>
      </c>
      <c r="I15" s="619">
        <f>'9.6 ARPAC'!I31</f>
        <v>33.01316195933628</v>
      </c>
      <c r="J15" s="617"/>
      <c r="K15" s="619">
        <f>'9.6 ARPAC'!K31</f>
        <v>37.909147191536221</v>
      </c>
      <c r="L15" s="619">
        <f>'9.6 ARPAC'!L31</f>
        <v>27.758613865728016</v>
      </c>
      <c r="M15" s="619">
        <f>'9.6 ARPAC'!M31</f>
        <v>30.994658079423658</v>
      </c>
      <c r="N15" s="619">
        <f>'9.6 ARPAC'!N31</f>
        <v>33.616337321773372</v>
      </c>
      <c r="O15" s="619">
        <f>'9.6 ARPAC'!O31</f>
        <v>33.64290282015957</v>
      </c>
      <c r="P15" s="619">
        <f>'9.6 ARPAC'!P31</f>
        <v>32.22833665742624</v>
      </c>
      <c r="Q15" s="619">
        <f>'9.6 ARPAC'!Q31</f>
        <v>28.619322819900649</v>
      </c>
      <c r="R15" s="619">
        <f>'9.6 ARPAC'!R31</f>
        <v>30.603069331861221</v>
      </c>
      <c r="S15" s="619">
        <f>'9.6 ARPAC'!S31</f>
        <v>28.760735743563668</v>
      </c>
      <c r="T15" s="619">
        <f>'9.6 ARPAC'!T31</f>
        <v>29.637117497266114</v>
      </c>
      <c r="U15" s="619">
        <f>'9.6 ARPAC'!U31</f>
        <v>30.545065612319828</v>
      </c>
      <c r="V15" s="619">
        <f>'9.6 ARPAC'!V31</f>
        <v>30.213523142505508</v>
      </c>
      <c r="W15" s="619">
        <f>'9.6 ARPAC'!W31</f>
        <v>30.129505520395423</v>
      </c>
      <c r="X15" s="619">
        <f>'9.6 ARPAC'!X31</f>
        <v>30.36316098666606</v>
      </c>
      <c r="Y15" s="619">
        <f>'9.6 ARPAC'!Y31</f>
        <v>32.481723260924625</v>
      </c>
      <c r="Z15" s="619">
        <f>'9.6 ARPAC'!Z31</f>
        <v>33.618866356163508</v>
      </c>
      <c r="AA15" s="619">
        <f>'9.6 ARPAC'!AA31</f>
        <v>31.366563916929024</v>
      </c>
      <c r="AB15" s="619">
        <f>'9.6 ARPAC'!AB31</f>
        <v>32.257105727634944</v>
      </c>
      <c r="AC15" s="619">
        <f>'9.6 ARPAC'!AC31</f>
        <v>33.204743930606213</v>
      </c>
      <c r="AD15" s="619">
        <f>'9.6 ARPAC'!AD31</f>
        <v>35.073061856462132</v>
      </c>
      <c r="AE15" s="619">
        <f>'9.6 ARPAC'!AE31</f>
        <v>34.054992759019548</v>
      </c>
      <c r="AG15" s="336">
        <f>AE15/AD15-1</f>
        <v>-2.9027094971322165E-2</v>
      </c>
      <c r="AH15" s="336">
        <f>AE15/AA15-1</f>
        <v>8.571002068350686E-2</v>
      </c>
    </row>
    <row r="16" spans="2:38" ht="13" customHeight="1">
      <c r="B16" s="688" t="str">
        <f>IF('Summary | Sumário'!D$6=Names!B$3,Names!AA35,Names!AB18)</f>
        <v>All-in cost of funding % of CDI</v>
      </c>
      <c r="C16" s="692">
        <f>'9.7 Cost of Funding'!C12</f>
        <v>0.61991347389097162</v>
      </c>
      <c r="D16" s="692">
        <f>'9.7 Cost of Funding'!D12</f>
        <v>0.62491773139706708</v>
      </c>
      <c r="E16" s="692">
        <f>'9.7 Cost of Funding'!E12</f>
        <v>0.65239919788810707</v>
      </c>
      <c r="F16" s="692">
        <f>'9.7 Cost of Funding'!F12</f>
        <v>0.57028377900702687</v>
      </c>
      <c r="G16" s="692">
        <f>'9.7 Cost of Funding'!G12</f>
        <v>0.57508774785785755</v>
      </c>
      <c r="H16" s="692">
        <f>'9.7 Cost of Funding'!H12</f>
        <v>0.62028331171498152</v>
      </c>
      <c r="I16" s="692">
        <f>'9.7 Cost of Funding'!I12</f>
        <v>0.65276998369739736</v>
      </c>
      <c r="J16" s="194"/>
      <c r="K16" s="692">
        <f>'9.7 Cost of Funding'!K12</f>
        <v>0.87481223144911713</v>
      </c>
      <c r="L16" s="692">
        <f>'9.7 Cost of Funding'!L12</f>
        <v>0.63596760618684289</v>
      </c>
      <c r="M16" s="692">
        <f>'9.7 Cost of Funding'!M12</f>
        <v>0.58101030381212626</v>
      </c>
      <c r="N16" s="692">
        <f>'9.7 Cost of Funding'!N12</f>
        <v>0.60001469460277557</v>
      </c>
      <c r="O16" s="692">
        <f>'9.7 Cost of Funding'!O12</f>
        <v>0.54888574052893768</v>
      </c>
      <c r="P16" s="692">
        <f>'9.7 Cost of Funding'!P12</f>
        <v>0.57342847772445593</v>
      </c>
      <c r="Q16" s="692">
        <f>'9.7 Cost of Funding'!Q12</f>
        <v>0.59005529184779504</v>
      </c>
      <c r="R16" s="692">
        <f>'9.7 Cost of Funding'!R12</f>
        <v>0.54834646565066081</v>
      </c>
      <c r="S16" s="692">
        <f>'9.7 Cost of Funding'!S12</f>
        <v>0.59697348816995932</v>
      </c>
      <c r="T16" s="692">
        <f>'9.7 Cost of Funding'!T12</f>
        <v>0.5862739307988849</v>
      </c>
      <c r="U16" s="692">
        <f>'9.7 Cost of Funding'!U12</f>
        <v>0.61707902823666128</v>
      </c>
      <c r="V16" s="692">
        <f>'9.7 Cost of Funding'!V12</f>
        <v>0.59171705967014232</v>
      </c>
      <c r="W16" s="692">
        <f>'9.7 Cost of Funding'!W12</f>
        <v>0.61920574215306567</v>
      </c>
      <c r="X16" s="692">
        <f>'9.7 Cost of Funding'!X12</f>
        <v>0.64262556661987569</v>
      </c>
      <c r="Y16" s="692">
        <f>'9.7 Cost of Funding'!Y12</f>
        <v>0.65381139242560993</v>
      </c>
      <c r="Z16" s="692">
        <f>'9.7 Cost of Funding'!Z12</f>
        <v>0.64151962469828561</v>
      </c>
      <c r="AA16" s="692">
        <f>'9.7 Cost of Funding'!AA12</f>
        <v>0.63796352317117477</v>
      </c>
      <c r="AB16" s="692">
        <f>'9.7 Cost of Funding'!AB12</f>
        <v>0.64839876062799318</v>
      </c>
      <c r="AC16" s="692">
        <f>'9.7 Cost of Funding'!AC12</f>
        <v>0.68201992821835933</v>
      </c>
      <c r="AD16" s="692">
        <f>'9.7 Cost of Funding'!AD12</f>
        <v>0.6557185155032148</v>
      </c>
      <c r="AE16" s="692">
        <f>'9.7 Cost of Funding'!AE12</f>
        <v>0.64137308259787518</v>
      </c>
      <c r="AF16" s="194"/>
      <c r="AG16" s="691">
        <f>(AE16-AD16)*100</f>
        <v>-1.4345432905339628</v>
      </c>
      <c r="AH16" s="691">
        <f>(AE16-AA16)*100</f>
        <v>0.34095594267004037</v>
      </c>
    </row>
    <row r="17" spans="2:34" ht="13" customHeight="1">
      <c r="B17" s="52" t="str">
        <f>IF('Summary | Sumário'!D$6=Names!B$3,Names!AF3,Names!AG3)</f>
        <v>Tier I ratio (%)</v>
      </c>
      <c r="C17" s="151">
        <v>0.39400000000000002</v>
      </c>
      <c r="D17" s="151">
        <v>0.31828739525522021</v>
      </c>
      <c r="E17" s="151">
        <f>N17</f>
        <v>0.443</v>
      </c>
      <c r="F17" s="151">
        <f>R17</f>
        <v>0.24099999999999999</v>
      </c>
      <c r="G17" s="151">
        <f>V17</f>
        <v>0.229501027251763</v>
      </c>
      <c r="H17" s="151">
        <f>Z17</f>
        <v>0.15185433284416736</v>
      </c>
      <c r="I17" s="151">
        <f>AD17</f>
        <v>0.1438176009287096</v>
      </c>
      <c r="J17" s="197"/>
      <c r="K17" s="151">
        <v>0.24099999999999999</v>
      </c>
      <c r="L17" s="151">
        <v>0.19600000000000001</v>
      </c>
      <c r="M17" s="151">
        <v>0.49740000000000001</v>
      </c>
      <c r="N17" s="151">
        <v>0.443</v>
      </c>
      <c r="O17" s="151">
        <v>0.35699999999999998</v>
      </c>
      <c r="P17" s="151">
        <v>0.32900000000000001</v>
      </c>
      <c r="Q17" s="151">
        <v>0.29799999999999999</v>
      </c>
      <c r="R17" s="151">
        <v>0.24099999999999999</v>
      </c>
      <c r="S17" s="151">
        <v>0.23</v>
      </c>
      <c r="T17" s="151">
        <f>'9.9 Capital | Basileia'!T23</f>
        <v>0.22800000000000001</v>
      </c>
      <c r="U17" s="151">
        <f>'9.9 Capital | Basileia'!U23</f>
        <v>0.2374</v>
      </c>
      <c r="V17" s="151">
        <f>'9.9 Capital | Basileia'!V23</f>
        <v>0.229501027251763</v>
      </c>
      <c r="W17" s="151">
        <f>'9.9 Capital | Basileia'!W23</f>
        <v>0.20276529979036845</v>
      </c>
      <c r="X17" s="151">
        <f>'9.9 Capital | Basileia'!X23</f>
        <v>0.19289246116070838</v>
      </c>
      <c r="Y17" s="151">
        <f>'9.9 Capital | Basileia'!Y23</f>
        <v>0.17004172684835503</v>
      </c>
      <c r="Z17" s="151">
        <f>'9.9 Capital | Basileia'!Z23</f>
        <v>0.15185433284416736</v>
      </c>
      <c r="AA17" s="151">
        <f>'9.9 Capital | Basileia'!AA23</f>
        <v>0.14699999999999999</v>
      </c>
      <c r="AB17" s="151">
        <f>'9.9 Capital | Basileia'!AB23</f>
        <v>0.15710392717377794</v>
      </c>
      <c r="AC17" s="151">
        <f>'9.9 Capital | Basileia'!AC23</f>
        <v>0.14632349535048683</v>
      </c>
      <c r="AD17" s="151">
        <f>'9.9 Capital | Basileia'!AD23</f>
        <v>0.1438176009287096</v>
      </c>
      <c r="AE17" s="151">
        <f>'9.9 Capital | Basileia'!AE23</f>
        <v>0.13985210718156352</v>
      </c>
      <c r="AG17" s="362">
        <f>(AE17-AD17)*100</f>
        <v>-0.39654937471460816</v>
      </c>
      <c r="AH17" s="362">
        <f>(AE17-AA17)*100</f>
        <v>-0.71478928184364743</v>
      </c>
    </row>
    <row r="18" spans="2:34" ht="13" customHeight="1">
      <c r="B18" s="688" t="str">
        <f>IF('Summary | Sumário'!D$6=Names!B$3,Names!CN15,Names!CO15)</f>
        <v>ROE (%)</v>
      </c>
      <c r="C18" s="692">
        <f>'9.8 ROE &amp; ROTE'!C16</f>
        <v>1.2829502433309343E-2</v>
      </c>
      <c r="D18" s="692">
        <f>'9.8 ROE &amp; ROTE'!D16</f>
        <v>6.5929313072213601E-3</v>
      </c>
      <c r="E18" s="692">
        <f>'9.8 ROE &amp; ROTE'!E16</f>
        <v>-2.4499984502511288E-2</v>
      </c>
      <c r="F18" s="692">
        <f>'9.8 ROE &amp; ROTE'!F16</f>
        <v>-2.2988012896933527E-3</v>
      </c>
      <c r="G18" s="692">
        <f>'9.8 ROE &amp; ROTE'!G16</f>
        <v>4.180572271164542E-2</v>
      </c>
      <c r="H18" s="692">
        <f>'9.8 ROE &amp; ROTE'!H16</f>
        <v>0.11084900487169751</v>
      </c>
      <c r="I18" s="692">
        <f>'9.8 ROE &amp; ROTE'!I16</f>
        <v>0.1376770255325479</v>
      </c>
      <c r="J18" s="194"/>
      <c r="K18" s="692">
        <f>'9.8 ROE &amp; ROTE'!K16</f>
        <v>-1.0695727159522619E-2</v>
      </c>
      <c r="L18" s="692">
        <f>'9.8 ROE &amp; ROTE'!L16</f>
        <v>-1.623743177526633E-2</v>
      </c>
      <c r="M18" s="692">
        <f>'9.8 ROE &amp; ROTE'!M16</f>
        <v>4.6564729195060989E-3</v>
      </c>
      <c r="N18" s="692">
        <f>'9.8 ROE &amp; ROTE'!N16</f>
        <v>-8.2575321316311887E-2</v>
      </c>
      <c r="O18" s="692">
        <f>'9.8 ROE &amp; ROTE'!O16</f>
        <v>4.9651362181186423E-3</v>
      </c>
      <c r="P18" s="692">
        <f>'9.8 ROE &amp; ROTE'!P16</f>
        <v>-1.375351860968195E-2</v>
      </c>
      <c r="Q18" s="692">
        <f>'9.8 ROE &amp; ROTE'!Q16</f>
        <v>-1.7051854146924641E-2</v>
      </c>
      <c r="R18" s="692">
        <f>'9.8 ROE &amp; ROTE'!R16</f>
        <v>1.8372289052940301E-2</v>
      </c>
      <c r="S18" s="692">
        <f>'9.8 ROE &amp; ROTE'!S16</f>
        <v>6.506292220659432E-3</v>
      </c>
      <c r="T18" s="692">
        <f>'9.8 ROE &amp; ROTE'!T16</f>
        <v>2.7395160479617629E-2</v>
      </c>
      <c r="U18" s="692">
        <f>'9.8 ROE &amp; ROTE'!U16</f>
        <v>5.0491675207795732E-2</v>
      </c>
      <c r="V18" s="692">
        <f>'9.8 ROE &amp; ROTE'!V16</f>
        <v>8.194362028479428E-2</v>
      </c>
      <c r="W18" s="692">
        <f>'9.8 ROE &amp; ROTE'!W16</f>
        <v>9.2178380059035961E-2</v>
      </c>
      <c r="X18" s="692">
        <f>'9.8 ROE &amp; ROTE'!X16</f>
        <v>9.8005602972595141E-2</v>
      </c>
      <c r="Y18" s="692">
        <f>'9.8 ROE &amp; ROTE'!Y16</f>
        <v>0.1130724353464666</v>
      </c>
      <c r="Z18" s="692">
        <f>'9.8 ROE &amp; ROTE'!Z16</f>
        <v>0.12506866951180479</v>
      </c>
      <c r="AA18" s="692">
        <f>'9.8 ROE &amp; ROTE'!AA16</f>
        <v>0.12880482403335947</v>
      </c>
      <c r="AB18" s="692">
        <f>'9.8 ROE &amp; ROTE'!AB16</f>
        <v>0.13859393461213435</v>
      </c>
      <c r="AC18" s="692">
        <f>'9.8 ROE &amp; ROTE'!AC16</f>
        <v>0.1418473086925206</v>
      </c>
      <c r="AD18" s="692">
        <f>'9.8 ROE &amp; ROTE'!AD16</f>
        <v>0.15089299406672363</v>
      </c>
      <c r="AE18" s="692">
        <f>'9.8 ROE &amp; ROTE'!AE16</f>
        <v>0.15508841889759542</v>
      </c>
      <c r="AF18" s="194"/>
      <c r="AG18" s="691">
        <f>(AE18-AD18)*100</f>
        <v>0.41954248308717912</v>
      </c>
      <c r="AH18" s="691">
        <f>(AE18-AA18)*100</f>
        <v>2.6283594864235953</v>
      </c>
    </row>
    <row r="19" spans="2:34" ht="13" customHeight="1">
      <c r="B19" s="52" t="s">
        <v>1193</v>
      </c>
      <c r="C19" s="151">
        <f>'9.8 ROE &amp; ROTE'!C25</f>
        <v>1.3318656173908943E-2</v>
      </c>
      <c r="D19" s="151">
        <f>'9.8 ROE &amp; ROTE'!D25</f>
        <v>6.9833483149177788E-3</v>
      </c>
      <c r="E19" s="151">
        <f>'9.8 ROE &amp; ROTE'!E25</f>
        <v>-2.7541253038309288E-2</v>
      </c>
      <c r="F19" s="151">
        <f>'9.8 ROE &amp; ROTE'!F25</f>
        <v>-2.779666726404353E-3</v>
      </c>
      <c r="G19" s="151">
        <f>'9.8 ROE &amp; ROTE'!G25</f>
        <v>5.0898385296145481E-2</v>
      </c>
      <c r="H19" s="151">
        <f>'9.8 ROE &amp; ROTE'!H25</f>
        <v>0.13759404882724682</v>
      </c>
      <c r="I19" s="151">
        <f>'9.8 ROE &amp; ROTE'!I25</f>
        <v>0.17262869369551687</v>
      </c>
      <c r="J19" s="197"/>
      <c r="K19" s="151">
        <f>'9.8 ROE &amp; ROTE'!K25</f>
        <v>-1.164495397375313E-2</v>
      </c>
      <c r="L19" s="151">
        <f>'9.8 ROE &amp; ROTE'!L25</f>
        <v>-1.8245143040237829E-2</v>
      </c>
      <c r="M19" s="151">
        <f>'9.8 ROE &amp; ROTE'!M25</f>
        <v>5.6079195568178499E-3</v>
      </c>
      <c r="N19" s="151">
        <f>'9.8 ROE &amp; ROTE'!N25</f>
        <v>-0.1015907553234752</v>
      </c>
      <c r="O19" s="151">
        <f>'9.8 ROE &amp; ROTE'!O25</f>
        <v>7.4256258157296149E-3</v>
      </c>
      <c r="P19" s="151">
        <f>'9.8 ROE &amp; ROTE'!P25</f>
        <v>-1.8578817761186847E-2</v>
      </c>
      <c r="Q19" s="151">
        <f>'9.8 ROE &amp; ROTE'!Q25</f>
        <v>-2.0555027879314902E-2</v>
      </c>
      <c r="R19" s="151">
        <f>'9.8 ROE &amp; ROTE'!R25</f>
        <v>2.2253417383083441E-2</v>
      </c>
      <c r="S19" s="151">
        <f>'9.8 ROE &amp; ROTE'!S25</f>
        <v>7.9268161305321768E-3</v>
      </c>
      <c r="T19" s="151">
        <f>'9.8 ROE &amp; ROTE'!T25</f>
        <v>3.345263464546476E-2</v>
      </c>
      <c r="U19" s="151">
        <f>'9.8 ROE &amp; ROTE'!U25</f>
        <v>6.1689396883618117E-2</v>
      </c>
      <c r="V19" s="151">
        <f>'9.8 ROE &amp; ROTE'!V25</f>
        <v>0.10006262990566391</v>
      </c>
      <c r="W19" s="151">
        <f>'9.8 ROE &amp; ROTE'!W25</f>
        <v>0.11315997000785923</v>
      </c>
      <c r="X19" s="151">
        <f>'9.8 ROE &amp; ROTE'!X25</f>
        <v>0.12149012714118013</v>
      </c>
      <c r="Y19" s="151">
        <f>'9.8 ROE &amp; ROTE'!Y25</f>
        <v>0.14071722524933286</v>
      </c>
      <c r="Z19" s="151">
        <f>'9.8 ROE &amp; ROTE'!Z25</f>
        <v>0.15663299428146327</v>
      </c>
      <c r="AA19" s="151">
        <f>'9.8 ROE &amp; ROTE'!AA25</f>
        <v>0.16333183425596973</v>
      </c>
      <c r="AB19" s="151">
        <f>'9.8 ROE &amp; ROTE'!AB25</f>
        <v>0.1763756663988082</v>
      </c>
      <c r="AC19" s="151">
        <f>'9.8 ROE &amp; ROTE'!AC25</f>
        <v>0.17947920671566508</v>
      </c>
      <c r="AD19" s="151">
        <f>'9.8 ROE &amp; ROTE'!AD25</f>
        <v>0.18934002730039109</v>
      </c>
      <c r="AE19" s="151">
        <f>'9.8 ROE &amp; ROTE'!AE25</f>
        <v>0.19447296741124132</v>
      </c>
      <c r="AG19" s="362">
        <f>(AE19-AD19)*100</f>
        <v>0.51329401108502204</v>
      </c>
      <c r="AH19" s="362">
        <f>(AE19-AA19)*100</f>
        <v>3.1141133155271588</v>
      </c>
    </row>
    <row r="21" spans="2:34" ht="13" customHeight="1">
      <c r="B21" s="101"/>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363"/>
      <c r="AH21" s="363"/>
    </row>
    <row r="22" spans="2:34" ht="13" customHeight="1">
      <c r="B22" s="101"/>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363"/>
      <c r="AH22" s="363"/>
    </row>
    <row r="23" spans="2:34" ht="13" customHeight="1">
      <c r="B23" s="101"/>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363"/>
      <c r="AH23" s="363"/>
    </row>
    <row r="24" spans="2:34" ht="13" customHeight="1">
      <c r="B24" s="101"/>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4"/>
      <c r="AH24" s="194"/>
    </row>
    <row r="25" spans="2:34" ht="13" customHeight="1">
      <c r="B25" s="101"/>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742"/>
      <c r="AB25" s="196"/>
      <c r="AC25" s="196"/>
      <c r="AD25" s="196"/>
      <c r="AE25" s="196"/>
      <c r="AF25" s="196"/>
      <c r="AG25" s="194"/>
      <c r="AH25" s="194"/>
    </row>
    <row r="26" spans="2:34" ht="13" customHeight="1">
      <c r="B26" s="101"/>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4"/>
      <c r="AH26" s="194"/>
    </row>
    <row r="27" spans="2:34" ht="13" customHeight="1">
      <c r="B27" s="101"/>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363"/>
      <c r="AH27" s="363"/>
    </row>
    <row r="28" spans="2:34" ht="13" customHeight="1">
      <c r="B28" s="390"/>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363"/>
      <c r="AH28" s="363"/>
    </row>
    <row r="29" spans="2:34" ht="13" customHeight="1">
      <c r="B29" s="101"/>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363"/>
      <c r="AH29" s="363"/>
    </row>
    <row r="30" spans="2:34" ht="13" customHeight="1">
      <c r="B30" s="390"/>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363"/>
      <c r="AH30" s="363"/>
    </row>
    <row r="31" spans="2:34" ht="13" customHeight="1">
      <c r="B31" s="26"/>
      <c r="C31" s="150"/>
      <c r="D31" s="150"/>
      <c r="E31" s="150"/>
      <c r="F31" s="150"/>
      <c r="G31" s="150"/>
      <c r="H31" s="150"/>
      <c r="I31" s="150"/>
      <c r="J31" s="337"/>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363"/>
      <c r="AH31" s="363"/>
    </row>
  </sheetData>
  <sheetProtection algorithmName="SHA-512" hashValue="Uk8c/V9RMQ/fAyCBAqcoI2Y/t4uEfrBGle/CpH2Cyg/lqAuvSMMM4eR+pCQl7SZoG6gQrq/h7Pdh8Qq6lYaCOw==" saltValue="+q7eH3RhCMZdXPUIRMsTqA=="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0" verticalDpi="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6E3F-39BE-F34A-A5C8-338194B15412}">
  <sheetPr codeName="Sheet13">
    <tabColor rgb="FFF7CAB0"/>
  </sheetPr>
  <dimension ref="A1:AN58"/>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ustomWidth="1"/>
    <col min="10" max="10" width="2.83203125" style="120" customWidth="1"/>
    <col min="11" max="19" width="10.83203125" style="120" customWidth="1"/>
    <col min="20" max="27" width="10.83203125" style="120"/>
    <col min="28" max="31" width="10.83203125" style="120" customWidth="1"/>
    <col min="32" max="32" width="5.83203125" style="120" customWidth="1"/>
    <col min="33" max="16384" width="10.83203125" style="120"/>
  </cols>
  <sheetData>
    <row r="1" spans="1:40"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1:40" s="9" customFormat="1" ht="13" customHeight="1">
      <c r="B2" s="255" t="str">
        <f>IF('Summary | Sumário'!D$6=Names!B$3,Names!R1,Names!S1)</f>
        <v>Asset Quality (IFRS, R$ Thousands)</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118">
        <f>IF('Summary | Sumário'!E6=Names!C3,Names!D23,Names!E23)</f>
        <v>2025</v>
      </c>
      <c r="J2" s="316"/>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57"/>
      <c r="AJ2" s="57"/>
      <c r="AK2" s="10"/>
      <c r="AM2" s="11"/>
      <c r="AN2" s="12"/>
    </row>
    <row r="3" spans="1:40" ht="13" customHeight="1">
      <c r="B3" s="13"/>
      <c r="C3" s="130"/>
      <c r="D3" s="130"/>
      <c r="E3" s="130"/>
      <c r="F3" s="130"/>
      <c r="G3" s="130"/>
      <c r="H3" s="130"/>
      <c r="I3" s="130"/>
      <c r="J3" s="315"/>
      <c r="K3" s="131"/>
      <c r="L3" s="131"/>
      <c r="M3" s="131"/>
      <c r="N3" s="131"/>
      <c r="O3" s="131"/>
      <c r="P3" s="131"/>
      <c r="Q3" s="131"/>
      <c r="R3" s="131"/>
      <c r="S3" s="131"/>
      <c r="T3" s="131"/>
      <c r="U3" s="131"/>
      <c r="V3" s="131"/>
      <c r="W3" s="131"/>
      <c r="X3" s="131"/>
      <c r="Y3" s="131"/>
      <c r="Z3" s="131"/>
      <c r="AA3" s="131"/>
      <c r="AB3" s="125"/>
      <c r="AC3" s="125"/>
      <c r="AD3" s="125"/>
      <c r="AE3" s="125"/>
      <c r="AF3" s="125"/>
      <c r="AG3" s="125"/>
      <c r="AH3" s="125"/>
    </row>
    <row r="4" spans="1:40" s="143" customFormat="1" ht="13" customHeight="1">
      <c r="A4" s="142"/>
      <c r="B4" s="3" t="str">
        <f>IF('Summary | Sumário'!D$6=Names!B$3,Names!O2,Names!Z2)</f>
        <v>Loan portfolio</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7"/>
      <c r="AH4" s="167"/>
    </row>
    <row r="5" spans="1:40" ht="13" customHeight="1">
      <c r="A5" s="198"/>
      <c r="B5" s="694" t="str">
        <f>IF('Summary | Sumário'!D$6=Names!B$3,Names!O3,Names!Z3)</f>
        <v>Gross loans and advances to customers</v>
      </c>
      <c r="C5" s="693">
        <f>SUM(C6:C10)</f>
        <v>4777387</v>
      </c>
      <c r="D5" s="693">
        <f t="shared" ref="D5:AA5" si="0">SUM(D6:D10)</f>
        <v>8790058</v>
      </c>
      <c r="E5" s="693">
        <f>N5</f>
        <v>17216362</v>
      </c>
      <c r="F5" s="693">
        <f>R5</f>
        <v>22698328</v>
      </c>
      <c r="G5" s="693">
        <f>V5</f>
        <v>29784301</v>
      </c>
      <c r="H5" s="693">
        <f>Z5</f>
        <v>35596293</v>
      </c>
      <c r="I5" s="693">
        <f t="shared" ref="I5:I12" si="1">AD5</f>
        <v>48251180</v>
      </c>
      <c r="J5" s="164"/>
      <c r="K5" s="693">
        <f t="shared" si="0"/>
        <v>10242909.3443</v>
      </c>
      <c r="L5" s="693">
        <f t="shared" si="0"/>
        <v>12527246</v>
      </c>
      <c r="M5" s="693">
        <f t="shared" si="0"/>
        <v>14860083</v>
      </c>
      <c r="N5" s="693">
        <f t="shared" si="0"/>
        <v>17216362</v>
      </c>
      <c r="O5" s="693">
        <f t="shared" si="0"/>
        <v>18176304</v>
      </c>
      <c r="P5" s="693">
        <f t="shared" si="0"/>
        <v>19484646.399999999</v>
      </c>
      <c r="Q5" s="693">
        <f t="shared" si="0"/>
        <v>21005268</v>
      </c>
      <c r="R5" s="693">
        <f t="shared" si="0"/>
        <v>22698328</v>
      </c>
      <c r="S5" s="693">
        <f t="shared" si="0"/>
        <v>23832874</v>
      </c>
      <c r="T5" s="693">
        <f t="shared" si="0"/>
        <v>25141383</v>
      </c>
      <c r="U5" s="693">
        <f t="shared" si="0"/>
        <v>27043601</v>
      </c>
      <c r="V5" s="693">
        <f t="shared" si="0"/>
        <v>29784301</v>
      </c>
      <c r="W5" s="693">
        <f t="shared" si="0"/>
        <v>30858626.881090201</v>
      </c>
      <c r="X5" s="693">
        <f t="shared" si="0"/>
        <v>32971552</v>
      </c>
      <c r="Y5" s="693">
        <f t="shared" si="0"/>
        <v>33705888</v>
      </c>
      <c r="Z5" s="693">
        <f t="shared" si="0"/>
        <v>35596293</v>
      </c>
      <c r="AA5" s="693">
        <f t="shared" si="0"/>
        <v>37395324</v>
      </c>
      <c r="AB5" s="693">
        <f t="shared" ref="AB5:AC5" si="2">SUM(AB6:AB10)</f>
        <v>40236766</v>
      </c>
      <c r="AC5" s="693">
        <f t="shared" si="2"/>
        <v>43818120</v>
      </c>
      <c r="AD5" s="693">
        <f t="shared" ref="AD5:AE5" si="3">SUM(AD6:AD10)</f>
        <v>48251180</v>
      </c>
      <c r="AE5" s="693">
        <f t="shared" si="3"/>
        <v>49822075</v>
      </c>
      <c r="AF5" s="164"/>
      <c r="AG5" s="331">
        <f t="shared" ref="AG5:AG12" si="4">AE5/AD5-1</f>
        <v>3.2556613123243761E-2</v>
      </c>
      <c r="AH5" s="331">
        <f t="shared" ref="AH5:AH12" si="5">AE5/AA5-1</f>
        <v>0.33230761685605392</v>
      </c>
    </row>
    <row r="6" spans="1:40" ht="13" customHeight="1">
      <c r="A6" s="198"/>
      <c r="B6" s="53" t="str">
        <f>IF('Summary | Sumário'!D$6=Names!B$3,Names!O4,Names!Z4)</f>
        <v>Real estate</v>
      </c>
      <c r="C6" s="207">
        <v>2519153</v>
      </c>
      <c r="D6" s="207">
        <v>3471356</v>
      </c>
      <c r="E6" s="207">
        <f t="shared" ref="E6:E12" si="6">N6</f>
        <v>5121411</v>
      </c>
      <c r="F6" s="207">
        <f t="shared" ref="F6:F12" si="7">R6</f>
        <v>6251813</v>
      </c>
      <c r="G6" s="207">
        <f t="shared" ref="G6:G12" si="8">V6</f>
        <v>8583568</v>
      </c>
      <c r="H6" s="207">
        <f t="shared" ref="H6:H12" si="9">Z6</f>
        <v>11250187</v>
      </c>
      <c r="I6" s="207">
        <f t="shared" si="1"/>
        <v>16194722</v>
      </c>
      <c r="J6" s="207"/>
      <c r="K6" s="207">
        <v>3925594.9876600001</v>
      </c>
      <c r="L6" s="207">
        <v>4211173</v>
      </c>
      <c r="M6" s="207">
        <v>4703223</v>
      </c>
      <c r="N6" s="207">
        <v>5121411</v>
      </c>
      <c r="O6" s="207">
        <v>5350879</v>
      </c>
      <c r="P6" s="207">
        <v>5647720</v>
      </c>
      <c r="Q6" s="207">
        <v>5930070</v>
      </c>
      <c r="R6" s="207">
        <v>6251813</v>
      </c>
      <c r="S6" s="207">
        <v>6616802</v>
      </c>
      <c r="T6" s="207">
        <v>7020433</v>
      </c>
      <c r="U6" s="207">
        <v>7527810</v>
      </c>
      <c r="V6" s="207">
        <v>8583568</v>
      </c>
      <c r="W6" s="207">
        <v>9124375.4985301998</v>
      </c>
      <c r="X6" s="207">
        <v>9703768</v>
      </c>
      <c r="Y6" s="207">
        <v>10266209</v>
      </c>
      <c r="Z6" s="207">
        <v>11250187</v>
      </c>
      <c r="AA6" s="207">
        <v>12200387</v>
      </c>
      <c r="AB6" s="207">
        <v>13312029</v>
      </c>
      <c r="AC6" s="207">
        <v>14524260</v>
      </c>
      <c r="AD6" s="207">
        <v>16194722</v>
      </c>
      <c r="AE6" s="207">
        <v>17330928</v>
      </c>
      <c r="AF6" s="207"/>
      <c r="AG6" s="191">
        <f t="shared" si="4"/>
        <v>7.0159030824981095E-2</v>
      </c>
      <c r="AH6" s="191">
        <f t="shared" si="5"/>
        <v>0.42052280800600839</v>
      </c>
      <c r="AI6" s="153"/>
      <c r="AJ6" s="153"/>
      <c r="AK6" s="153"/>
    </row>
    <row r="7" spans="1:40" ht="13" customHeight="1">
      <c r="A7" s="198"/>
      <c r="B7" s="58" t="str">
        <f>IF('Summary | Sumário'!D$6=Names!B$3,Names!O5,Names!Z5)</f>
        <v>Personal</v>
      </c>
      <c r="C7" s="208">
        <v>1002386</v>
      </c>
      <c r="D7" s="208">
        <v>1653554</v>
      </c>
      <c r="E7" s="208">
        <f t="shared" si="6"/>
        <v>3579283</v>
      </c>
      <c r="F7" s="208">
        <f t="shared" si="7"/>
        <v>5463781</v>
      </c>
      <c r="G7" s="208">
        <f t="shared" si="8"/>
        <v>7138744</v>
      </c>
      <c r="H7" s="208">
        <f t="shared" si="9"/>
        <v>8236791</v>
      </c>
      <c r="I7" s="208">
        <f t="shared" si="1"/>
        <v>12113979</v>
      </c>
      <c r="J7" s="207"/>
      <c r="K7" s="208">
        <v>2123654.0038399999</v>
      </c>
      <c r="L7" s="208">
        <v>2620848</v>
      </c>
      <c r="M7" s="208">
        <v>3100640</v>
      </c>
      <c r="N7" s="208">
        <v>3579283</v>
      </c>
      <c r="O7" s="208">
        <v>3936755</v>
      </c>
      <c r="P7" s="208">
        <v>4460508.5</v>
      </c>
      <c r="Q7" s="208">
        <v>5057444</v>
      </c>
      <c r="R7" s="208">
        <v>5463781</v>
      </c>
      <c r="S7" s="208">
        <v>6081266</v>
      </c>
      <c r="T7" s="208">
        <v>6500480</v>
      </c>
      <c r="U7" s="208">
        <v>6663058</v>
      </c>
      <c r="V7" s="208">
        <v>7138744</v>
      </c>
      <c r="W7" s="208">
        <v>7437794.5190500002</v>
      </c>
      <c r="X7" s="208">
        <v>7555457</v>
      </c>
      <c r="Y7" s="208">
        <v>8003536</v>
      </c>
      <c r="Z7" s="208">
        <v>8236791</v>
      </c>
      <c r="AA7" s="208">
        <v>8909592</v>
      </c>
      <c r="AB7" s="208">
        <v>9955975</v>
      </c>
      <c r="AC7" s="208">
        <v>11070559</v>
      </c>
      <c r="AD7" s="208">
        <v>12113979</v>
      </c>
      <c r="AE7" s="208">
        <v>12777050</v>
      </c>
      <c r="AF7" s="207"/>
      <c r="AG7" s="190">
        <f t="shared" si="4"/>
        <v>5.4736020262211138E-2</v>
      </c>
      <c r="AH7" s="190">
        <f t="shared" si="5"/>
        <v>0.43407801389783063</v>
      </c>
      <c r="AI7" s="153"/>
      <c r="AJ7" s="153"/>
      <c r="AK7" s="153"/>
    </row>
    <row r="8" spans="1:40" ht="13" customHeight="1">
      <c r="A8" s="198"/>
      <c r="B8" s="53" t="str">
        <f>IF('Summary | Sumário'!D$6=Names!B$3,Names!O6,Names!Z6)</f>
        <v>SME</v>
      </c>
      <c r="C8" s="207">
        <v>472304</v>
      </c>
      <c r="D8" s="207">
        <v>1582869</v>
      </c>
      <c r="E8" s="207">
        <f t="shared" si="6"/>
        <v>3017159</v>
      </c>
      <c r="F8" s="207">
        <f t="shared" si="7"/>
        <v>3392500</v>
      </c>
      <c r="G8" s="207">
        <f t="shared" si="8"/>
        <v>3855754</v>
      </c>
      <c r="H8" s="207">
        <f t="shared" si="9"/>
        <v>3968591</v>
      </c>
      <c r="I8" s="207">
        <f t="shared" si="1"/>
        <v>4293595</v>
      </c>
      <c r="J8" s="207"/>
      <c r="K8" s="207">
        <v>1572378.93881</v>
      </c>
      <c r="L8" s="207">
        <v>2153921</v>
      </c>
      <c r="M8" s="207">
        <v>2703302</v>
      </c>
      <c r="N8" s="207">
        <v>3017159</v>
      </c>
      <c r="O8" s="207">
        <v>2929546</v>
      </c>
      <c r="P8" s="207">
        <v>2905002.5</v>
      </c>
      <c r="Q8" s="207">
        <v>2978792</v>
      </c>
      <c r="R8" s="207">
        <v>3392500</v>
      </c>
      <c r="S8" s="207">
        <v>3110840</v>
      </c>
      <c r="T8" s="207">
        <v>3215316</v>
      </c>
      <c r="U8" s="207">
        <v>3438526</v>
      </c>
      <c r="V8" s="207">
        <v>3855754</v>
      </c>
      <c r="W8" s="207">
        <v>3376688</v>
      </c>
      <c r="X8" s="207">
        <v>4359140</v>
      </c>
      <c r="Y8" s="207">
        <v>4149476</v>
      </c>
      <c r="Z8" s="207">
        <v>3968591</v>
      </c>
      <c r="AA8" s="207">
        <v>3747963</v>
      </c>
      <c r="AB8" s="207">
        <v>3683260</v>
      </c>
      <c r="AC8" s="207">
        <v>3916890</v>
      </c>
      <c r="AD8" s="207">
        <v>4293595</v>
      </c>
      <c r="AE8" s="207">
        <v>3677790</v>
      </c>
      <c r="AF8" s="207"/>
      <c r="AG8" s="191">
        <f t="shared" si="4"/>
        <v>-0.14342410031686736</v>
      </c>
      <c r="AH8" s="191">
        <f t="shared" si="5"/>
        <v>-1.8722970317476495E-2</v>
      </c>
      <c r="AI8" s="153"/>
      <c r="AJ8" s="153"/>
      <c r="AK8" s="153"/>
    </row>
    <row r="9" spans="1:40" ht="13" customHeight="1">
      <c r="A9" s="198"/>
      <c r="B9" s="58" t="str">
        <f>IF('Summary | Sumário'!D$6=Names!B$3,Names!O7,Names!Z7)</f>
        <v>Credit cards</v>
      </c>
      <c r="C9" s="208">
        <v>783544</v>
      </c>
      <c r="D9" s="208">
        <v>1904642</v>
      </c>
      <c r="E9" s="208">
        <f t="shared" si="6"/>
        <v>4798318</v>
      </c>
      <c r="F9" s="208">
        <f t="shared" si="7"/>
        <v>6870565</v>
      </c>
      <c r="G9" s="208">
        <f t="shared" si="8"/>
        <v>9461277</v>
      </c>
      <c r="H9" s="208">
        <f t="shared" si="9"/>
        <v>11799890</v>
      </c>
      <c r="I9" s="208">
        <f t="shared" si="1"/>
        <v>15262178</v>
      </c>
      <c r="J9" s="207"/>
      <c r="K9" s="208">
        <v>2404920.48868</v>
      </c>
      <c r="L9" s="208">
        <v>3116734</v>
      </c>
      <c r="M9" s="208">
        <v>3807684</v>
      </c>
      <c r="N9" s="208">
        <v>4798318</v>
      </c>
      <c r="O9" s="208">
        <v>5315930</v>
      </c>
      <c r="P9" s="208">
        <v>5981406.4000000004</v>
      </c>
      <c r="Q9" s="208">
        <v>6411572</v>
      </c>
      <c r="R9" s="208">
        <v>6870565</v>
      </c>
      <c r="S9" s="208">
        <v>7273032</v>
      </c>
      <c r="T9" s="208">
        <v>7681011</v>
      </c>
      <c r="U9" s="208">
        <v>8650139</v>
      </c>
      <c r="V9" s="208">
        <v>9461277</v>
      </c>
      <c r="W9" s="208">
        <v>10111845.135790002</v>
      </c>
      <c r="X9" s="208">
        <v>10508082</v>
      </c>
      <c r="Y9" s="208">
        <v>10769815</v>
      </c>
      <c r="Z9" s="208">
        <v>11799890</v>
      </c>
      <c r="AA9" s="208">
        <v>12251920</v>
      </c>
      <c r="AB9" s="208">
        <v>12995860</v>
      </c>
      <c r="AC9" s="208">
        <v>13967468</v>
      </c>
      <c r="AD9" s="208">
        <v>15262178</v>
      </c>
      <c r="AE9" s="208">
        <v>15603682</v>
      </c>
      <c r="AF9" s="207"/>
      <c r="AG9" s="190">
        <f t="shared" si="4"/>
        <v>2.2375836528705229E-2</v>
      </c>
      <c r="AH9" s="190">
        <f t="shared" si="5"/>
        <v>0.27357034652527923</v>
      </c>
      <c r="AI9" s="154"/>
      <c r="AJ9" s="154"/>
      <c r="AK9" s="154"/>
    </row>
    <row r="10" spans="1:40" ht="13" customHeight="1">
      <c r="A10" s="198"/>
      <c r="B10" s="53" t="str">
        <f>IF('Summary | Sumário'!D$6=Names!B$3,Names!O8,Names!Z8)</f>
        <v>Agribusiness</v>
      </c>
      <c r="C10" s="207">
        <v>0</v>
      </c>
      <c r="D10" s="207">
        <v>177637</v>
      </c>
      <c r="E10" s="207">
        <f t="shared" si="6"/>
        <v>700191</v>
      </c>
      <c r="F10" s="207">
        <f t="shared" si="7"/>
        <v>719669</v>
      </c>
      <c r="G10" s="207">
        <f t="shared" si="8"/>
        <v>744958</v>
      </c>
      <c r="H10" s="207">
        <f t="shared" si="9"/>
        <v>340834</v>
      </c>
      <c r="I10" s="207">
        <f t="shared" si="1"/>
        <v>386706</v>
      </c>
      <c r="J10" s="207"/>
      <c r="K10" s="207">
        <v>216360.92530999999</v>
      </c>
      <c r="L10" s="207">
        <v>424570</v>
      </c>
      <c r="M10" s="207">
        <v>545234</v>
      </c>
      <c r="N10" s="207">
        <v>700191</v>
      </c>
      <c r="O10" s="207">
        <v>643194</v>
      </c>
      <c r="P10" s="207">
        <v>490009</v>
      </c>
      <c r="Q10" s="207">
        <v>627390</v>
      </c>
      <c r="R10" s="207">
        <v>719669</v>
      </c>
      <c r="S10" s="207">
        <v>750934</v>
      </c>
      <c r="T10" s="207">
        <v>724143</v>
      </c>
      <c r="U10" s="207">
        <v>764068</v>
      </c>
      <c r="V10" s="207">
        <v>744958</v>
      </c>
      <c r="W10" s="207">
        <v>807923.72771999997</v>
      </c>
      <c r="X10" s="207">
        <v>845105</v>
      </c>
      <c r="Y10" s="207">
        <v>516852</v>
      </c>
      <c r="Z10" s="207">
        <v>340834</v>
      </c>
      <c r="AA10" s="207">
        <v>285462</v>
      </c>
      <c r="AB10" s="207">
        <v>289642</v>
      </c>
      <c r="AC10" s="207">
        <v>338943</v>
      </c>
      <c r="AD10" s="207">
        <v>386706</v>
      </c>
      <c r="AE10" s="207">
        <v>432625</v>
      </c>
      <c r="AF10" s="207"/>
      <c r="AG10" s="191">
        <f t="shared" si="4"/>
        <v>0.11874395535626547</v>
      </c>
      <c r="AH10" s="191">
        <f t="shared" si="5"/>
        <v>0.51552570920122465</v>
      </c>
      <c r="AI10" s="153"/>
      <c r="AJ10" s="153"/>
      <c r="AK10" s="153"/>
    </row>
    <row r="11" spans="1:40" ht="13" customHeight="1">
      <c r="A11" s="198"/>
      <c r="B11" s="52" t="str">
        <f>IF('Summary | Sumário'!D$6=Names!B$3,Names!O9,Names!Z9)</f>
        <v>Prepayment of receivables</v>
      </c>
      <c r="C11" s="208">
        <v>0</v>
      </c>
      <c r="D11" s="208">
        <v>0</v>
      </c>
      <c r="E11" s="208">
        <f t="shared" si="6"/>
        <v>298104</v>
      </c>
      <c r="F11" s="208">
        <f t="shared" si="7"/>
        <v>1845665</v>
      </c>
      <c r="G11" s="208">
        <f t="shared" si="8"/>
        <v>1236536</v>
      </c>
      <c r="H11" s="208">
        <f t="shared" si="9"/>
        <v>5586520.30516</v>
      </c>
      <c r="I11" s="208">
        <f t="shared" si="1"/>
        <v>4313571</v>
      </c>
      <c r="J11" s="207"/>
      <c r="K11" s="208">
        <v>85776.282000000007</v>
      </c>
      <c r="L11" s="208">
        <v>71515.061000000002</v>
      </c>
      <c r="M11" s="208">
        <v>97555.932000000001</v>
      </c>
      <c r="N11" s="208">
        <v>298104</v>
      </c>
      <c r="O11" s="208">
        <v>347353.58600000001</v>
      </c>
      <c r="P11" s="208">
        <v>379917.21</v>
      </c>
      <c r="Q11" s="208">
        <v>1029786.0000000001</v>
      </c>
      <c r="R11" s="208">
        <v>1845665</v>
      </c>
      <c r="S11" s="208">
        <v>1296424</v>
      </c>
      <c r="T11" s="208">
        <v>1332977</v>
      </c>
      <c r="U11" s="208">
        <v>1215142</v>
      </c>
      <c r="V11" s="208">
        <v>1236536</v>
      </c>
      <c r="W11" s="208">
        <v>1284996.6508599999</v>
      </c>
      <c r="X11" s="208">
        <v>2702819.41658</v>
      </c>
      <c r="Y11" s="208">
        <v>4353998.8030500002</v>
      </c>
      <c r="Z11" s="208">
        <v>5586520.30516</v>
      </c>
      <c r="AA11" s="208">
        <v>5199617</v>
      </c>
      <c r="AB11" s="208">
        <v>3602880</v>
      </c>
      <c r="AC11" s="208">
        <v>2867970</v>
      </c>
      <c r="AD11" s="208">
        <v>4313571</v>
      </c>
      <c r="AE11" s="208">
        <v>4045025</v>
      </c>
      <c r="AF11" s="207"/>
      <c r="AG11" s="190">
        <f t="shared" si="4"/>
        <v>-6.2256075070979522E-2</v>
      </c>
      <c r="AH11" s="190">
        <f t="shared" si="5"/>
        <v>-0.22205327815491027</v>
      </c>
      <c r="AI11" s="153"/>
      <c r="AJ11" s="153"/>
      <c r="AK11" s="153"/>
    </row>
    <row r="12" spans="1:40" ht="13" customHeight="1">
      <c r="A12" s="198"/>
      <c r="B12" s="275" t="str">
        <f>IF('Summary | Sumário'!D$6=Names!B$3,Names!O10,Names!Z10)</f>
        <v>Gross loan portfolio including prepayment of receivables</v>
      </c>
      <c r="C12" s="278">
        <f>C5+C11</f>
        <v>4777387</v>
      </c>
      <c r="D12" s="278">
        <f>D5+D11</f>
        <v>8790058</v>
      </c>
      <c r="E12" s="278">
        <f t="shared" si="6"/>
        <v>17514466</v>
      </c>
      <c r="F12" s="278">
        <f t="shared" si="7"/>
        <v>24543993</v>
      </c>
      <c r="G12" s="278">
        <f t="shared" si="8"/>
        <v>31020837</v>
      </c>
      <c r="H12" s="278">
        <f t="shared" si="9"/>
        <v>41182813.305160001</v>
      </c>
      <c r="I12" s="278">
        <f t="shared" si="1"/>
        <v>52564751</v>
      </c>
      <c r="J12" s="145"/>
      <c r="K12" s="278">
        <f t="shared" ref="K12:AC12" si="10">K5+K11</f>
        <v>10328685.6263</v>
      </c>
      <c r="L12" s="278">
        <f t="shared" si="10"/>
        <v>12598761.061000001</v>
      </c>
      <c r="M12" s="278">
        <f t="shared" si="10"/>
        <v>14957638.932</v>
      </c>
      <c r="N12" s="278">
        <f t="shared" si="10"/>
        <v>17514466</v>
      </c>
      <c r="O12" s="278">
        <f t="shared" si="10"/>
        <v>18523657.585999999</v>
      </c>
      <c r="P12" s="278">
        <f t="shared" si="10"/>
        <v>19864563.609999999</v>
      </c>
      <c r="Q12" s="278">
        <f t="shared" si="10"/>
        <v>22035054</v>
      </c>
      <c r="R12" s="278">
        <f t="shared" si="10"/>
        <v>24543993</v>
      </c>
      <c r="S12" s="278">
        <f t="shared" si="10"/>
        <v>25129298</v>
      </c>
      <c r="T12" s="278">
        <f t="shared" si="10"/>
        <v>26474360</v>
      </c>
      <c r="U12" s="278">
        <f t="shared" si="10"/>
        <v>28258743</v>
      </c>
      <c r="V12" s="278">
        <f t="shared" si="10"/>
        <v>31020837</v>
      </c>
      <c r="W12" s="278">
        <f t="shared" si="10"/>
        <v>32143623.531950202</v>
      </c>
      <c r="X12" s="278">
        <f t="shared" si="10"/>
        <v>35674371.416579999</v>
      </c>
      <c r="Y12" s="278">
        <f t="shared" si="10"/>
        <v>38059886.803049996</v>
      </c>
      <c r="Z12" s="278">
        <f t="shared" si="10"/>
        <v>41182813.305160001</v>
      </c>
      <c r="AA12" s="278">
        <f t="shared" si="10"/>
        <v>42594941</v>
      </c>
      <c r="AB12" s="278">
        <f t="shared" si="10"/>
        <v>43839646</v>
      </c>
      <c r="AC12" s="278">
        <f t="shared" si="10"/>
        <v>46686090</v>
      </c>
      <c r="AD12" s="278">
        <f t="shared" ref="AD12:AE12" si="11">AD5+AD11</f>
        <v>52564751</v>
      </c>
      <c r="AE12" s="278">
        <f t="shared" si="11"/>
        <v>53867100</v>
      </c>
      <c r="AF12" s="145"/>
      <c r="AG12" s="285">
        <f t="shared" si="4"/>
        <v>2.4776089969493098E-2</v>
      </c>
      <c r="AH12" s="285">
        <f t="shared" si="5"/>
        <v>0.26463609845122216</v>
      </c>
      <c r="AK12" s="153"/>
    </row>
    <row r="13" spans="1:40" ht="13" customHeight="1">
      <c r="A13" s="198"/>
      <c r="B13" s="52"/>
      <c r="C13" s="208"/>
      <c r="D13" s="208"/>
      <c r="E13" s="208"/>
      <c r="F13" s="208"/>
      <c r="G13" s="208"/>
      <c r="H13" s="208"/>
      <c r="I13" s="208"/>
      <c r="J13" s="207"/>
      <c r="K13" s="208"/>
      <c r="L13" s="208"/>
      <c r="M13" s="208"/>
      <c r="N13" s="208"/>
      <c r="O13" s="208"/>
      <c r="P13" s="208"/>
      <c r="Q13" s="208"/>
      <c r="R13" s="208"/>
      <c r="S13" s="208"/>
      <c r="T13" s="208"/>
      <c r="U13" s="208"/>
      <c r="V13" s="208"/>
      <c r="W13" s="208"/>
      <c r="X13" s="208"/>
      <c r="Y13" s="208"/>
      <c r="Z13" s="208"/>
      <c r="AA13" s="208"/>
      <c r="AB13" s="208"/>
      <c r="AC13" s="208"/>
      <c r="AD13" s="208"/>
      <c r="AE13" s="208"/>
      <c r="AF13" s="207"/>
      <c r="AG13" s="332"/>
      <c r="AH13" s="332"/>
    </row>
    <row r="14" spans="1:40" ht="13" customHeight="1">
      <c r="A14" s="198"/>
      <c r="B14" s="3" t="str">
        <f>IF('Summary | Sumário'!D6=Names!B3,Names!K6,Names!L6)</f>
        <v>Securities, net of provisions for expected credit losses</v>
      </c>
    </row>
    <row r="15" spans="1:40" ht="13" customHeight="1">
      <c r="A15" s="198"/>
      <c r="B15" s="276" t="str">
        <f>IF('Summary | Sumário'!D6=Names!B3,Names!V5,Names!W5)</f>
        <v>Sovereign securities</v>
      </c>
      <c r="C15" s="277">
        <f>'5. IEP'!C11</f>
        <v>1155094</v>
      </c>
      <c r="D15" s="277">
        <f>'5. IEP'!D11</f>
        <v>5812622</v>
      </c>
      <c r="E15" s="277">
        <f>N15</f>
        <v>11017596</v>
      </c>
      <c r="F15" s="277">
        <f>R15</f>
        <v>9472380</v>
      </c>
      <c r="G15" s="277">
        <f>V15</f>
        <v>14673397</v>
      </c>
      <c r="H15" s="277">
        <f>Z15</f>
        <v>21683797.085405104</v>
      </c>
      <c r="I15" s="277">
        <f>AD15</f>
        <v>26253905</v>
      </c>
      <c r="J15" s="164"/>
      <c r="K15" s="277">
        <f>'5. IEP'!K11</f>
        <v>5192563</v>
      </c>
      <c r="L15" s="277">
        <f>'5. IEP'!L11</f>
        <v>6670192</v>
      </c>
      <c r="M15" s="277">
        <f>'5. IEP'!M11</f>
        <v>11680891</v>
      </c>
      <c r="N15" s="277">
        <f>'5. IEP'!N11</f>
        <v>11017596</v>
      </c>
      <c r="O15" s="277">
        <f>'5. IEP'!O11</f>
        <v>10381954</v>
      </c>
      <c r="P15" s="277">
        <f>'5. IEP'!P11</f>
        <v>10193311</v>
      </c>
      <c r="Q15" s="277">
        <f>'5. IEP'!Q11</f>
        <v>10289474</v>
      </c>
      <c r="R15" s="277">
        <f>'5. IEP'!R11</f>
        <v>9472380</v>
      </c>
      <c r="S15" s="277">
        <f>'5. IEP'!S11</f>
        <v>9679378</v>
      </c>
      <c r="T15" s="277">
        <f>'5. IEP'!T11</f>
        <v>11599504</v>
      </c>
      <c r="U15" s="277">
        <f>'5. IEP'!U11</f>
        <v>12881004</v>
      </c>
      <c r="V15" s="277">
        <f>'5. IEP'!V11</f>
        <v>14673397</v>
      </c>
      <c r="W15" s="277">
        <f>'5. IEP'!W11</f>
        <v>15821272.2217</v>
      </c>
      <c r="X15" s="277">
        <f>'5. IEP'!X11</f>
        <v>16318997.450960001</v>
      </c>
      <c r="Y15" s="277">
        <f>'5. IEP'!Y11</f>
        <v>18635484.757983003</v>
      </c>
      <c r="Z15" s="277">
        <f>'5. IEP'!Z11</f>
        <v>21683797.085405104</v>
      </c>
      <c r="AA15" s="277">
        <f>'5. IEP'!AA11</f>
        <v>22271883</v>
      </c>
      <c r="AB15" s="277">
        <f>'5. IEP'!AB11</f>
        <v>21235954.901999999</v>
      </c>
      <c r="AC15" s="277">
        <f>'5. IEP'!AC11</f>
        <v>24461612</v>
      </c>
      <c r="AD15" s="277">
        <f>'5. IEP'!AD11</f>
        <v>26253905</v>
      </c>
      <c r="AE15" s="277">
        <f>'5. IEP'!AE11</f>
        <v>24260053</v>
      </c>
      <c r="AF15" s="164"/>
      <c r="AG15" s="331">
        <f>AE15/AD15-1</f>
        <v>-7.5944968948428837E-2</v>
      </c>
      <c r="AH15" s="331">
        <f>AE15/AA15-1</f>
        <v>8.9268159319981999E-2</v>
      </c>
    </row>
    <row r="16" spans="1:40" ht="13" customHeight="1">
      <c r="A16" s="198"/>
      <c r="B16" s="50" t="str">
        <f>IF('Summary | Sumário'!D6=Names!B3,Names!V6,Names!W6)</f>
        <v>Private securities</v>
      </c>
      <c r="C16" s="565">
        <f>C17-C15</f>
        <v>0</v>
      </c>
      <c r="D16" s="565">
        <f t="shared" ref="D16:AA16" si="12">D17-D15</f>
        <v>0</v>
      </c>
      <c r="E16" s="565">
        <f t="shared" si="12"/>
        <v>1740091</v>
      </c>
      <c r="F16" s="565">
        <f t="shared" si="12"/>
        <v>2976185</v>
      </c>
      <c r="G16" s="565">
        <f t="shared" si="12"/>
        <v>2194715</v>
      </c>
      <c r="H16" s="565">
        <f t="shared" si="12"/>
        <v>2215753.9349999987</v>
      </c>
      <c r="I16" s="565">
        <f t="shared" ref="I16" si="13">I17-I15</f>
        <v>2756418</v>
      </c>
      <c r="J16" s="565"/>
      <c r="K16" s="565">
        <f t="shared" si="12"/>
        <v>1427163</v>
      </c>
      <c r="L16" s="565">
        <f t="shared" si="12"/>
        <v>1560289</v>
      </c>
      <c r="M16" s="565">
        <f t="shared" si="12"/>
        <v>1560289</v>
      </c>
      <c r="N16" s="565">
        <f t="shared" si="12"/>
        <v>1740091</v>
      </c>
      <c r="O16" s="565">
        <f t="shared" si="12"/>
        <v>1953447</v>
      </c>
      <c r="P16" s="565">
        <f t="shared" si="12"/>
        <v>2516740</v>
      </c>
      <c r="Q16" s="565">
        <f t="shared" si="12"/>
        <v>3083991</v>
      </c>
      <c r="R16" s="565">
        <f t="shared" si="12"/>
        <v>2976185</v>
      </c>
      <c r="S16" s="565">
        <f t="shared" si="12"/>
        <v>2855973</v>
      </c>
      <c r="T16" s="565">
        <f t="shared" si="12"/>
        <v>2570180</v>
      </c>
      <c r="U16" s="565">
        <f t="shared" si="12"/>
        <v>2027293</v>
      </c>
      <c r="V16" s="565">
        <f t="shared" si="12"/>
        <v>2194715</v>
      </c>
      <c r="W16" s="565">
        <f t="shared" si="12"/>
        <v>2345978.7783000004</v>
      </c>
      <c r="X16" s="565">
        <f t="shared" si="12"/>
        <v>1957428.0680400003</v>
      </c>
      <c r="Y16" s="565">
        <f t="shared" si="12"/>
        <v>1950869.943</v>
      </c>
      <c r="Z16" s="565">
        <f t="shared" si="12"/>
        <v>2215753.9349999987</v>
      </c>
      <c r="AA16" s="565">
        <f t="shared" si="12"/>
        <v>2431120</v>
      </c>
      <c r="AB16" s="565">
        <f t="shared" ref="AB16:AC16" si="14">AB17-AB15</f>
        <v>2624393.0980000012</v>
      </c>
      <c r="AC16" s="565">
        <f t="shared" si="14"/>
        <v>2616398</v>
      </c>
      <c r="AD16" s="565">
        <f t="shared" ref="AD16:AE16" si="15">AD17-AD15</f>
        <v>2756418</v>
      </c>
      <c r="AE16" s="565">
        <f t="shared" si="15"/>
        <v>3080803</v>
      </c>
      <c r="AG16" s="154">
        <f>AE16/AD16-1</f>
        <v>0.11768352985650221</v>
      </c>
      <c r="AH16" s="154">
        <f>AE16/AA16-1</f>
        <v>0.26723608871631188</v>
      </c>
    </row>
    <row r="17" spans="1:37" ht="13" customHeight="1">
      <c r="A17" s="198"/>
      <c r="B17" s="274" t="str">
        <f>IF('Summary | Sumário'!D6=Names!B3,Names!K6,Names!L6)</f>
        <v>Securities, net of provisions for expected credit losses</v>
      </c>
      <c r="C17" s="566">
        <f>'2. BS | BP'!C8</f>
        <v>1155094</v>
      </c>
      <c r="D17" s="566">
        <f>'2. BS | BP'!D8</f>
        <v>5812622</v>
      </c>
      <c r="E17" s="566">
        <f>'2. BS | BP'!E8</f>
        <v>12757687</v>
      </c>
      <c r="F17" s="566">
        <f>'2. BS | BP'!F8</f>
        <v>12448565</v>
      </c>
      <c r="G17" s="566">
        <f>'2. BS | BP'!G8</f>
        <v>16868112</v>
      </c>
      <c r="H17" s="566">
        <f>'2. BS | BP'!H8</f>
        <v>23899551.020405103</v>
      </c>
      <c r="I17" s="566">
        <f>'2. BS | BP'!I8</f>
        <v>29010323</v>
      </c>
      <c r="J17" s="145"/>
      <c r="K17" s="566">
        <f>'2. BS | BP'!K8</f>
        <v>6619726</v>
      </c>
      <c r="L17" s="566">
        <f>'2. BS | BP'!L8</f>
        <v>8230481</v>
      </c>
      <c r="M17" s="566">
        <f>'2. BS | BP'!M8</f>
        <v>13241180</v>
      </c>
      <c r="N17" s="566">
        <f>'2. BS | BP'!N8</f>
        <v>12757687</v>
      </c>
      <c r="O17" s="566">
        <f>'2. BS | BP'!O8</f>
        <v>12335401</v>
      </c>
      <c r="P17" s="566">
        <f>'2. BS | BP'!P8</f>
        <v>12710051</v>
      </c>
      <c r="Q17" s="566">
        <f>'2. BS | BP'!Q8</f>
        <v>13373465</v>
      </c>
      <c r="R17" s="566">
        <f>'2. BS | BP'!R8</f>
        <v>12448565</v>
      </c>
      <c r="S17" s="566">
        <f>'2. BS | BP'!S8</f>
        <v>12535351</v>
      </c>
      <c r="T17" s="566">
        <f>'2. BS | BP'!T8</f>
        <v>14169684</v>
      </c>
      <c r="U17" s="566">
        <f>'2. BS | BP'!U8</f>
        <v>14908297</v>
      </c>
      <c r="V17" s="566">
        <f>'2. BS | BP'!V8</f>
        <v>16868112</v>
      </c>
      <c r="W17" s="566">
        <f>'2. BS | BP'!W8</f>
        <v>18167251</v>
      </c>
      <c r="X17" s="566">
        <f>'2. BS | BP'!X8</f>
        <v>18276425.519000001</v>
      </c>
      <c r="Y17" s="566">
        <f>'2. BS | BP'!Y8</f>
        <v>20586354.700983003</v>
      </c>
      <c r="Z17" s="566">
        <f>'2. BS | BP'!Z8</f>
        <v>23899551.020405103</v>
      </c>
      <c r="AA17" s="566">
        <f>'2. BS | BP'!AA8</f>
        <v>24703003</v>
      </c>
      <c r="AB17" s="566">
        <f>'2. BS | BP'!AB8</f>
        <v>23860348</v>
      </c>
      <c r="AC17" s="566">
        <f>'2. BS | BP'!AC8</f>
        <v>27078010</v>
      </c>
      <c r="AD17" s="566">
        <f>'2. BS | BP'!AD8</f>
        <v>29010323</v>
      </c>
      <c r="AE17" s="566">
        <f>'2. BS | BP'!AE8</f>
        <v>27340856</v>
      </c>
      <c r="AF17" s="145"/>
      <c r="AG17" s="284">
        <f>AE17/AD17-1</f>
        <v>-5.7547342716590899E-2</v>
      </c>
      <c r="AH17" s="284">
        <f>AE17/AA17-1</f>
        <v>0.10678268548969538</v>
      </c>
      <c r="AK17" s="153"/>
    </row>
    <row r="18" spans="1:37" ht="13" customHeight="1">
      <c r="A18" s="198"/>
      <c r="B18" s="50"/>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308"/>
      <c r="AH18" s="308"/>
    </row>
    <row r="19" spans="1:37" ht="13" customHeight="1">
      <c r="A19" s="198"/>
      <c r="B19" s="23" t="str">
        <f>IF('Summary | Sumário'!D$6=Names!B$3,Names!O20,Names!Z20)</f>
        <v>NPL  15-90 days</v>
      </c>
      <c r="C19" s="250"/>
      <c r="D19" s="250"/>
      <c r="E19" s="250"/>
      <c r="F19" s="250"/>
      <c r="G19" s="250"/>
      <c r="H19" s="250"/>
      <c r="I19" s="250"/>
      <c r="J19" s="168"/>
      <c r="K19" s="250"/>
      <c r="L19" s="250"/>
      <c r="M19" s="250"/>
      <c r="N19" s="250"/>
      <c r="O19" s="250"/>
      <c r="P19" s="250"/>
      <c r="Q19" s="250"/>
      <c r="R19" s="250"/>
      <c r="S19" s="250"/>
      <c r="T19" s="250"/>
      <c r="U19" s="250"/>
      <c r="V19" s="250"/>
      <c r="W19" s="250"/>
      <c r="X19" s="250"/>
      <c r="Y19" s="250"/>
      <c r="Z19" s="250"/>
      <c r="AA19" s="250"/>
      <c r="AB19" s="250"/>
      <c r="AC19" s="250"/>
      <c r="AD19" s="250"/>
      <c r="AE19" s="250"/>
      <c r="AF19" s="168"/>
      <c r="AG19" s="310"/>
      <c r="AH19" s="310"/>
    </row>
    <row r="20" spans="1:37" ht="13" customHeight="1">
      <c r="A20" s="198"/>
      <c r="B20" s="279" t="str">
        <f>IF('Summary | Sumário'!D$6=Names!B$3,Names!O21,Names!Z21)</f>
        <v>NPL 15-90 days</v>
      </c>
      <c r="C20" s="287">
        <v>455624.09169999999</v>
      </c>
      <c r="D20" s="287">
        <v>446506.32032</v>
      </c>
      <c r="E20" s="287">
        <f t="shared" ref="E20" si="16">N20</f>
        <v>746209.03361000016</v>
      </c>
      <c r="F20" s="287">
        <f t="shared" ref="F20" si="17">R20</f>
        <v>1016878.29273</v>
      </c>
      <c r="G20" s="287">
        <f t="shared" ref="G20" si="18">V20</f>
        <v>1243042.1070000001</v>
      </c>
      <c r="H20" s="287">
        <f>Z20</f>
        <v>1411764.5712600001</v>
      </c>
      <c r="I20" s="287">
        <f>AD20</f>
        <v>1936645.1406</v>
      </c>
      <c r="J20" s="202"/>
      <c r="K20" s="287">
        <v>596395.54700000002</v>
      </c>
      <c r="L20" s="287">
        <v>617864.61755000008</v>
      </c>
      <c r="M20" s="287">
        <v>650014.21071999997</v>
      </c>
      <c r="N20" s="287">
        <v>746209.03361000016</v>
      </c>
      <c r="O20" s="287">
        <v>835676.82806999981</v>
      </c>
      <c r="P20" s="287">
        <v>902517.78554999991</v>
      </c>
      <c r="Q20" s="287">
        <v>950615.52880999993</v>
      </c>
      <c r="R20" s="287">
        <v>1016878.29273</v>
      </c>
      <c r="S20" s="287">
        <v>1092071.4350000001</v>
      </c>
      <c r="T20" s="287">
        <v>1110989.1200000001</v>
      </c>
      <c r="U20" s="287">
        <v>1204856.051</v>
      </c>
      <c r="V20" s="287">
        <v>1243042.1070000001</v>
      </c>
      <c r="W20" s="287">
        <v>1417128.55651</v>
      </c>
      <c r="X20" s="287">
        <v>1401631.4272100001</v>
      </c>
      <c r="Y20" s="287">
        <v>1370497.84238</v>
      </c>
      <c r="Z20" s="287">
        <v>1411764.5712600001</v>
      </c>
      <c r="AA20" s="287">
        <v>1598972.9341</v>
      </c>
      <c r="AB20" s="287">
        <v>1643915.4735399999</v>
      </c>
      <c r="AC20" s="287">
        <v>1774917.2668300003</v>
      </c>
      <c r="AD20" s="287">
        <v>1936645.1406</v>
      </c>
      <c r="AE20" s="287">
        <v>2284589.3736</v>
      </c>
      <c r="AF20" s="202"/>
      <c r="AG20" s="507">
        <f>AE20/AD20-1</f>
        <v>0.17966339093604011</v>
      </c>
      <c r="AH20" s="507">
        <f>AE20/AA20-1</f>
        <v>0.42878551905314577</v>
      </c>
    </row>
    <row r="21" spans="1:37" ht="13" customHeight="1">
      <c r="A21" s="198"/>
      <c r="B21" s="52" t="str">
        <f>IF('Summary | Sumário'!D$6=Names!B$3,Names!O22,Names!Z22)</f>
        <v>NPL 15-90 days (%)</v>
      </c>
      <c r="C21" s="212">
        <f>C20/C12</f>
        <v>9.5370982442912824E-2</v>
      </c>
      <c r="D21" s="212">
        <f t="shared" ref="D21:AA21" si="19">D20/D12</f>
        <v>5.0796743357097301E-2</v>
      </c>
      <c r="E21" s="212">
        <f t="shared" si="19"/>
        <v>4.2605297450119241E-2</v>
      </c>
      <c r="F21" s="212">
        <f t="shared" si="19"/>
        <v>4.1430841865461747E-2</v>
      </c>
      <c r="G21" s="212">
        <f t="shared" si="19"/>
        <v>4.0071198175600488E-2</v>
      </c>
      <c r="H21" s="212">
        <f t="shared" si="19"/>
        <v>3.4280430547543803E-2</v>
      </c>
      <c r="I21" s="212">
        <f t="shared" ref="I21" si="20">I20/I12</f>
        <v>3.6843038419415323E-2</v>
      </c>
      <c r="J21" s="209"/>
      <c r="K21" s="212">
        <f t="shared" si="19"/>
        <v>5.7741669034963569E-2</v>
      </c>
      <c r="L21" s="212">
        <f t="shared" si="19"/>
        <v>4.9041696604805549E-2</v>
      </c>
      <c r="M21" s="212">
        <f t="shared" si="19"/>
        <v>4.345700639486462E-2</v>
      </c>
      <c r="N21" s="212">
        <f t="shared" si="19"/>
        <v>4.2605297450119241E-2</v>
      </c>
      <c r="O21" s="212">
        <f t="shared" si="19"/>
        <v>4.5114029137614607E-2</v>
      </c>
      <c r="P21" s="212">
        <f t="shared" si="19"/>
        <v>4.5433557125597483E-2</v>
      </c>
      <c r="Q21" s="212">
        <f t="shared" si="19"/>
        <v>4.314105737204002E-2</v>
      </c>
      <c r="R21" s="212">
        <f t="shared" si="19"/>
        <v>4.1430841865461747E-2</v>
      </c>
      <c r="S21" s="212">
        <f t="shared" si="19"/>
        <v>4.3458095606172524E-2</v>
      </c>
      <c r="T21" s="212">
        <f t="shared" si="19"/>
        <v>4.1964720582480561E-2</v>
      </c>
      <c r="U21" s="212">
        <f t="shared" si="19"/>
        <v>4.2636576262433189E-2</v>
      </c>
      <c r="V21" s="212">
        <f t="shared" si="19"/>
        <v>4.0071198175600488E-2</v>
      </c>
      <c r="W21" s="212">
        <f t="shared" si="19"/>
        <v>4.4087392795071748E-2</v>
      </c>
      <c r="X21" s="212">
        <f t="shared" si="19"/>
        <v>3.9289590020879214E-2</v>
      </c>
      <c r="Y21" s="212">
        <f t="shared" si="19"/>
        <v>3.6008983670181932E-2</v>
      </c>
      <c r="Z21" s="212">
        <f t="shared" si="19"/>
        <v>3.4280430547543803E-2</v>
      </c>
      <c r="AA21" s="212">
        <f t="shared" si="19"/>
        <v>3.7539033898415307E-2</v>
      </c>
      <c r="AB21" s="212">
        <f t="shared" ref="AB21" si="21">AB20/AB12</f>
        <v>3.7498374725471094E-2</v>
      </c>
      <c r="AC21" s="212">
        <f>AC20/AC12</f>
        <v>3.8018117748348602E-2</v>
      </c>
      <c r="AD21" s="212">
        <f>AD20/AD12</f>
        <v>3.6843038419415323E-2</v>
      </c>
      <c r="AE21" s="212">
        <f>AE20/AE12</f>
        <v>4.2411590258246687E-2</v>
      </c>
      <c r="AF21" s="209"/>
      <c r="AG21" s="498">
        <f>(AE21-AD21)*100</f>
        <v>0.55685518388313637</v>
      </c>
      <c r="AH21" s="340">
        <f>(AE21-AA21)*100</f>
        <v>0.48725563598313804</v>
      </c>
      <c r="AI21" s="329"/>
      <c r="AJ21" s="329"/>
    </row>
    <row r="22" spans="1:37" ht="13" customHeight="1">
      <c r="A22" s="198"/>
      <c r="B22" s="50" t="str">
        <f>IF('Summary | Sumário'!D$6=Names!B$3,Names!O129,Names!Z129)</f>
        <v>NPL 15 - 90 days (excluding anticipation of credit card receivables, %)</v>
      </c>
      <c r="C22" s="209">
        <f t="shared" ref="C22:H22" si="22">C20/SUM(C12,-C11)</f>
        <v>9.5370982442912824E-2</v>
      </c>
      <c r="D22" s="209">
        <f t="shared" si="22"/>
        <v>5.0796743357097301E-2</v>
      </c>
      <c r="E22" s="209">
        <f t="shared" si="22"/>
        <v>4.3343014837280966E-2</v>
      </c>
      <c r="F22" s="209">
        <f t="shared" si="22"/>
        <v>4.4799700344888838E-2</v>
      </c>
      <c r="G22" s="209">
        <f t="shared" si="22"/>
        <v>4.1734808783996644E-2</v>
      </c>
      <c r="H22" s="209">
        <f t="shared" si="22"/>
        <v>3.9660437991675145E-2</v>
      </c>
      <c r="I22" s="209">
        <f t="shared" ref="I22" si="23">I20/SUM(I12,-I11)</f>
        <v>4.0136741538756154E-2</v>
      </c>
      <c r="K22" s="209">
        <f>K20/SUM(K12,-K11)</f>
        <v>5.8225209943099196E-2</v>
      </c>
      <c r="L22" s="209">
        <f t="shared" ref="L22:AB22" si="24">L20/SUM(L12,-L11)</f>
        <v>4.9321663959500765E-2</v>
      </c>
      <c r="M22" s="209">
        <f t="shared" si="24"/>
        <v>4.3742300141930562E-2</v>
      </c>
      <c r="N22" s="209">
        <f t="shared" si="24"/>
        <v>4.3343014837280966E-2</v>
      </c>
      <c r="O22" s="209">
        <f t="shared" si="24"/>
        <v>4.5976169196443886E-2</v>
      </c>
      <c r="P22" s="209">
        <f t="shared" si="24"/>
        <v>4.6319433620822595E-2</v>
      </c>
      <c r="Q22" s="209">
        <f t="shared" si="24"/>
        <v>4.5256053329574275E-2</v>
      </c>
      <c r="R22" s="209">
        <f t="shared" si="24"/>
        <v>4.4799700344888838E-2</v>
      </c>
      <c r="S22" s="209">
        <f t="shared" si="24"/>
        <v>4.5822062207017081E-2</v>
      </c>
      <c r="T22" s="209">
        <f t="shared" si="24"/>
        <v>4.4189658142513487E-2</v>
      </c>
      <c r="U22" s="209">
        <f t="shared" si="24"/>
        <v>4.4552352735865317E-2</v>
      </c>
      <c r="V22" s="209">
        <f t="shared" si="24"/>
        <v>4.1734808783996644E-2</v>
      </c>
      <c r="W22" s="209">
        <f t="shared" si="24"/>
        <v>4.5923253875511862E-2</v>
      </c>
      <c r="X22" s="209">
        <f t="shared" si="24"/>
        <v>4.2510326089897139E-2</v>
      </c>
      <c r="Y22" s="209">
        <f t="shared" si="24"/>
        <v>4.0660487638836278E-2</v>
      </c>
      <c r="Z22" s="209">
        <f t="shared" si="24"/>
        <v>3.9660437991675145E-2</v>
      </c>
      <c r="AA22" s="209">
        <f t="shared" si="24"/>
        <v>4.27586329804229E-2</v>
      </c>
      <c r="AB22" s="209">
        <f t="shared" si="24"/>
        <v>4.0856053728075457E-2</v>
      </c>
      <c r="AC22" s="209">
        <f>AC20/SUM(AC12,-AC11)</f>
        <v>4.0506467799850843E-2</v>
      </c>
      <c r="AD22" s="209">
        <f>AD20/SUM(AD12,-AD11)</f>
        <v>4.0136741538756154E-2</v>
      </c>
      <c r="AE22" s="209">
        <f>AE20/SUM(AE12,-AE11)</f>
        <v>4.5854962355542199E-2</v>
      </c>
      <c r="AG22" s="342">
        <f>(AE22-AD22)*100</f>
        <v>0.57182208167860449</v>
      </c>
      <c r="AH22" s="342">
        <f>(AE22-AA22)*100</f>
        <v>0.30963293751192988</v>
      </c>
    </row>
    <row r="23" spans="1:37" ht="13" customHeight="1">
      <c r="A23" s="198"/>
      <c r="B23" s="120"/>
    </row>
    <row r="24" spans="1:37" ht="13" customHeight="1">
      <c r="A24" s="198"/>
      <c r="B24" s="23" t="str">
        <f>IF('Summary | Sumário'!D$6=Names!B$3,Names!O15,Names!Z15)</f>
        <v>NPL &gt; 90 days</v>
      </c>
      <c r="C24" s="250"/>
      <c r="D24" s="250"/>
      <c r="E24" s="250"/>
      <c r="F24" s="250"/>
      <c r="G24" s="250"/>
      <c r="H24" s="250"/>
      <c r="I24" s="250"/>
      <c r="J24" s="168"/>
      <c r="K24" s="250"/>
      <c r="L24" s="250"/>
      <c r="M24" s="250"/>
      <c r="N24" s="250"/>
      <c r="O24" s="250"/>
      <c r="P24" s="250"/>
      <c r="Q24" s="250"/>
      <c r="R24" s="250"/>
      <c r="S24" s="250"/>
      <c r="T24" s="250"/>
      <c r="U24" s="250"/>
      <c r="V24" s="250"/>
      <c r="W24" s="250"/>
      <c r="X24" s="250"/>
      <c r="Y24" s="250"/>
      <c r="Z24" s="250"/>
      <c r="AA24" s="250"/>
      <c r="AB24" s="250"/>
      <c r="AC24" s="250"/>
      <c r="AD24" s="250"/>
      <c r="AE24" s="250"/>
      <c r="AF24" s="168"/>
      <c r="AG24" s="310"/>
      <c r="AH24" s="310"/>
    </row>
    <row r="25" spans="1:37" ht="13" customHeight="1">
      <c r="A25" s="198"/>
      <c r="B25" s="279" t="str">
        <f>IF('Summary | Sumário'!D$6=Names!B$3,Names!O16,Names!Z16)</f>
        <v>NPL &gt; 90 days</v>
      </c>
      <c r="C25" s="287">
        <v>220389.40100000001</v>
      </c>
      <c r="D25" s="287">
        <v>269061.29599999997</v>
      </c>
      <c r="E25" s="287">
        <f t="shared" ref="E25" si="25">N25</f>
        <v>519936.66624999954</v>
      </c>
      <c r="F25" s="287">
        <f t="shared" ref="F25" si="26">R25</f>
        <v>999522.19583999994</v>
      </c>
      <c r="G25" s="287">
        <f t="shared" ref="G25" si="27">V25</f>
        <v>1425372.2890000001</v>
      </c>
      <c r="H25" s="287">
        <f t="shared" ref="H25" si="28">Z25</f>
        <v>1737079.07705</v>
      </c>
      <c r="I25" s="287">
        <f>AD25</f>
        <v>2265796.2354299999</v>
      </c>
      <c r="J25" s="202"/>
      <c r="K25" s="287">
        <v>284231.98275000002</v>
      </c>
      <c r="L25" s="287">
        <v>375711.22700000001</v>
      </c>
      <c r="M25" s="287">
        <v>451788.65100000001</v>
      </c>
      <c r="N25" s="287">
        <v>519936.66624999954</v>
      </c>
      <c r="O25" s="287">
        <v>635025.51165999984</v>
      </c>
      <c r="P25" s="287">
        <v>754933.16899999999</v>
      </c>
      <c r="Q25" s="287">
        <v>838860.77459000004</v>
      </c>
      <c r="R25" s="287">
        <v>999522.19583999994</v>
      </c>
      <c r="S25" s="287">
        <v>1112112.51</v>
      </c>
      <c r="T25" s="287">
        <v>1242634.2890000001</v>
      </c>
      <c r="U25" s="287">
        <v>1324578.226</v>
      </c>
      <c r="V25" s="287">
        <v>1425372.2890000001</v>
      </c>
      <c r="W25" s="287">
        <v>1552791.92823</v>
      </c>
      <c r="X25" s="287">
        <v>1663073.9831000001</v>
      </c>
      <c r="Y25" s="287">
        <v>1719621.82455</v>
      </c>
      <c r="Z25" s="287">
        <v>1737079.07705</v>
      </c>
      <c r="AA25" s="287">
        <v>1734396.1778200001</v>
      </c>
      <c r="AB25" s="287">
        <v>1841808.08179</v>
      </c>
      <c r="AC25" s="287">
        <v>1982766.0207799999</v>
      </c>
      <c r="AD25" s="287">
        <v>2265796.2354299999</v>
      </c>
      <c r="AE25" s="287">
        <v>2545893.4078199998</v>
      </c>
      <c r="AF25" s="202"/>
      <c r="AG25" s="507">
        <f>AE25/AD25-1</f>
        <v>0.12361975362574618</v>
      </c>
      <c r="AH25" s="507">
        <f>AE25/AA25-1</f>
        <v>0.46788458160694746</v>
      </c>
    </row>
    <row r="26" spans="1:37" ht="13" customHeight="1">
      <c r="A26" s="198"/>
      <c r="B26" s="52" t="str">
        <f>IF('Summary | Sumário'!D$6=Names!B$3,Names!O17,Names!Z17)</f>
        <v>NPL &gt; 90 days (%)</v>
      </c>
      <c r="C26" s="212">
        <f>C25/C12</f>
        <v>4.613178731386007E-2</v>
      </c>
      <c r="D26" s="212">
        <f t="shared" ref="D26:AA26" si="29">D25/D12</f>
        <v>3.0609729310091011E-2</v>
      </c>
      <c r="E26" s="212">
        <f t="shared" si="29"/>
        <v>2.9686127241903896E-2</v>
      </c>
      <c r="F26" s="212">
        <f t="shared" si="29"/>
        <v>4.07236995153967E-2</v>
      </c>
      <c r="G26" s="212">
        <f t="shared" si="29"/>
        <v>4.5948866208864708E-2</v>
      </c>
      <c r="H26" s="212">
        <f t="shared" si="29"/>
        <v>4.2179708903771096E-2</v>
      </c>
      <c r="I26" s="212">
        <f t="shared" ref="I26" si="30">I25/I12</f>
        <v>4.3104860050226429E-2</v>
      </c>
      <c r="J26" s="209"/>
      <c r="K26" s="212">
        <f t="shared" si="29"/>
        <v>2.7518698219089782E-2</v>
      </c>
      <c r="L26" s="212">
        <f t="shared" si="29"/>
        <v>2.982128363105719E-2</v>
      </c>
      <c r="M26" s="212">
        <f t="shared" si="29"/>
        <v>3.0204543180505222E-2</v>
      </c>
      <c r="N26" s="212">
        <f t="shared" si="29"/>
        <v>2.9686127241903896E-2</v>
      </c>
      <c r="O26" s="212">
        <f t="shared" si="29"/>
        <v>3.428186408174301E-2</v>
      </c>
      <c r="P26" s="212">
        <f t="shared" si="29"/>
        <v>3.8004014778354349E-2</v>
      </c>
      <c r="Q26" s="212">
        <f t="shared" si="29"/>
        <v>3.8069376847907885E-2</v>
      </c>
      <c r="R26" s="212">
        <f t="shared" si="29"/>
        <v>4.07236995153967E-2</v>
      </c>
      <c r="S26" s="212">
        <f t="shared" si="29"/>
        <v>4.425561390533074E-2</v>
      </c>
      <c r="T26" s="212">
        <f t="shared" si="29"/>
        <v>4.6937273988870744E-2</v>
      </c>
      <c r="U26" s="212">
        <f t="shared" si="29"/>
        <v>4.6873218175344886E-2</v>
      </c>
      <c r="V26" s="212">
        <f t="shared" si="29"/>
        <v>4.5948866208864708E-2</v>
      </c>
      <c r="W26" s="212">
        <f t="shared" si="29"/>
        <v>4.8307930395170035E-2</v>
      </c>
      <c r="X26" s="212">
        <f t="shared" si="29"/>
        <v>4.6618172011492563E-2</v>
      </c>
      <c r="Y26" s="212">
        <f t="shared" si="29"/>
        <v>4.5182000499596732E-2</v>
      </c>
      <c r="Z26" s="212">
        <f t="shared" si="29"/>
        <v>4.2179708903771096E-2</v>
      </c>
      <c r="AA26" s="212">
        <f t="shared" si="29"/>
        <v>4.0718360845246861E-2</v>
      </c>
      <c r="AB26" s="212">
        <f t="shared" ref="AB26:AC26" si="31">AB25/AB12</f>
        <v>4.2012384903609853E-2</v>
      </c>
      <c r="AC26" s="212">
        <f t="shared" si="31"/>
        <v>4.2470166612367834E-2</v>
      </c>
      <c r="AD26" s="212">
        <f t="shared" ref="AD26:AE26" si="32">AD25/AD12</f>
        <v>4.3104860050226429E-2</v>
      </c>
      <c r="AE26" s="212">
        <f t="shared" si="32"/>
        <v>4.7262492464231413E-2</v>
      </c>
      <c r="AF26" s="209"/>
      <c r="AG26" s="567">
        <f>(AE26-AD26)*100</f>
        <v>0.41576324140049847</v>
      </c>
      <c r="AH26" s="567">
        <f>(AE26-AA26)*100</f>
        <v>0.65441316189845522</v>
      </c>
    </row>
    <row r="27" spans="1:37" ht="13" customHeight="1">
      <c r="A27" s="198"/>
      <c r="B27" s="50" t="str">
        <f>IF('Summary | Sumário'!D$6=Names!B$3,Names!O130,Names!Z130)</f>
        <v>NPL &gt; 90 days (excluding anticipation of credit card receivables, %)</v>
      </c>
      <c r="C27" s="209">
        <f>C25/SUM(C12,-C11)</f>
        <v>4.613178731386007E-2</v>
      </c>
      <c r="D27" s="209">
        <f t="shared" ref="D27:AB27" si="33">D25/SUM(D12,-D11)</f>
        <v>3.0609729310091011E-2</v>
      </c>
      <c r="E27" s="209">
        <f t="shared" si="33"/>
        <v>3.0200147176854177E-2</v>
      </c>
      <c r="F27" s="209">
        <f t="shared" si="33"/>
        <v>4.4035058258035567E-2</v>
      </c>
      <c r="G27" s="209">
        <f t="shared" si="33"/>
        <v>4.7856496246126444E-2</v>
      </c>
      <c r="H27" s="209">
        <f t="shared" si="33"/>
        <v>4.8799437543959982E-2</v>
      </c>
      <c r="I27" s="209">
        <f t="shared" ref="I27" si="34">I25/SUM(I12,-I11)</f>
        <v>4.6958359058369141E-2</v>
      </c>
      <c r="K27" s="209">
        <f t="shared" si="33"/>
        <v>2.7749145598771716E-2</v>
      </c>
      <c r="L27" s="209">
        <f t="shared" si="33"/>
        <v>2.9991526230106761E-2</v>
      </c>
      <c r="M27" s="209">
        <f t="shared" si="33"/>
        <v>3.0402834963976985E-2</v>
      </c>
      <c r="N27" s="209">
        <f t="shared" si="33"/>
        <v>3.0200147176854177E-2</v>
      </c>
      <c r="O27" s="209">
        <f t="shared" si="33"/>
        <v>3.4936998834306461E-2</v>
      </c>
      <c r="P27" s="209">
        <f t="shared" si="33"/>
        <v>3.8745027931325456E-2</v>
      </c>
      <c r="Q27" s="209">
        <f t="shared" si="33"/>
        <v>3.9935733007072323E-2</v>
      </c>
      <c r="R27" s="209">
        <f t="shared" si="33"/>
        <v>4.4035058258035567E-2</v>
      </c>
      <c r="S27" s="209">
        <f t="shared" si="33"/>
        <v>4.6662962679196812E-2</v>
      </c>
      <c r="T27" s="209">
        <f t="shared" si="33"/>
        <v>4.9425852547570676E-2</v>
      </c>
      <c r="U27" s="209">
        <f t="shared" si="33"/>
        <v>4.897935840718845E-2</v>
      </c>
      <c r="V27" s="209">
        <f t="shared" si="33"/>
        <v>4.7856496246126444E-2</v>
      </c>
      <c r="W27" s="209">
        <f t="shared" si="33"/>
        <v>5.0319540600866214E-2</v>
      </c>
      <c r="X27" s="209">
        <f t="shared" si="33"/>
        <v>5.0439663352820033E-2</v>
      </c>
      <c r="Y27" s="209">
        <f t="shared" si="33"/>
        <v>5.1018439999266599E-2</v>
      </c>
      <c r="Z27" s="209">
        <f t="shared" si="33"/>
        <v>4.8799437543959982E-2</v>
      </c>
      <c r="AA27" s="209">
        <f t="shared" si="33"/>
        <v>4.638002809709578E-2</v>
      </c>
      <c r="AB27" s="209">
        <f t="shared" si="33"/>
        <v>4.5774257349360532E-2</v>
      </c>
      <c r="AC27" s="209">
        <f t="shared" ref="AC27:AD27" si="35">AC25/SUM(AC12,-AC11)</f>
        <v>4.5249910785309821E-2</v>
      </c>
      <c r="AD27" s="209">
        <f t="shared" si="35"/>
        <v>4.6958359058369141E-2</v>
      </c>
      <c r="AE27" s="209">
        <f t="shared" ref="AE27" si="36">AE25/SUM(AE12,-AE11)</f>
        <v>5.1099706461844467E-2</v>
      </c>
      <c r="AG27" s="719">
        <f>(AE27-AD27)*100</f>
        <v>0.41413474034753261</v>
      </c>
      <c r="AH27" s="719">
        <f>(AE27-AA27)*100</f>
        <v>0.47196783647486873</v>
      </c>
    </row>
    <row r="28" spans="1:37" ht="13" customHeight="1">
      <c r="A28" s="198"/>
      <c r="B28" s="162"/>
      <c r="C28" s="162"/>
      <c r="D28" s="162"/>
      <c r="E28" s="162"/>
      <c r="F28" s="162"/>
      <c r="G28" s="162"/>
      <c r="H28" s="162"/>
      <c r="I28" s="162"/>
      <c r="K28" s="162"/>
      <c r="L28" s="162"/>
      <c r="M28" s="162"/>
      <c r="N28" s="162"/>
      <c r="O28" s="162"/>
      <c r="P28" s="162"/>
      <c r="Q28" s="162"/>
      <c r="R28" s="162"/>
      <c r="S28" s="162"/>
      <c r="T28" s="162"/>
      <c r="U28" s="162"/>
      <c r="V28" s="162"/>
      <c r="W28" s="162"/>
      <c r="X28" s="162"/>
      <c r="Y28" s="162"/>
      <c r="Z28" s="162"/>
      <c r="AA28" s="162"/>
      <c r="AB28" s="162"/>
      <c r="AC28" s="162"/>
      <c r="AD28" s="162"/>
      <c r="AE28" s="162"/>
      <c r="AG28" s="162"/>
      <c r="AH28" s="162"/>
    </row>
    <row r="29" spans="1:37" ht="13" customHeight="1">
      <c r="B29" s="3" t="str">
        <f>IF('Summary | Sumário'!D$6=Names!B$3,Names!O122,Names!Z122)</f>
        <v>Coverage Ratio</v>
      </c>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7"/>
      <c r="AH29" s="167"/>
    </row>
    <row r="30" spans="1:37" ht="13" customHeight="1">
      <c r="B30" s="276" t="str">
        <f>IF('Summary | Sumário'!D$6=Names!B$3,Names!O123,Names!Z123)</f>
        <v>Total provision</v>
      </c>
      <c r="C30" s="277">
        <f>C31+C32</f>
        <v>215563</v>
      </c>
      <c r="D30" s="277">
        <f t="shared" ref="D30:AA30" si="37">D31+D32</f>
        <v>282355</v>
      </c>
      <c r="E30" s="277">
        <f t="shared" si="37"/>
        <v>712098.27827000001</v>
      </c>
      <c r="F30" s="277">
        <f t="shared" si="37"/>
        <v>1347743</v>
      </c>
      <c r="G30" s="277">
        <f t="shared" si="37"/>
        <v>1914842</v>
      </c>
      <c r="H30" s="277">
        <f t="shared" si="37"/>
        <v>2366883</v>
      </c>
      <c r="I30" s="277">
        <f t="shared" ref="I30" si="38">I31+I32</f>
        <v>3204943</v>
      </c>
      <c r="J30" s="164"/>
      <c r="K30" s="277">
        <f t="shared" si="37"/>
        <v>334789</v>
      </c>
      <c r="L30" s="277">
        <f t="shared" si="37"/>
        <v>486763</v>
      </c>
      <c r="M30" s="277">
        <f t="shared" si="37"/>
        <v>558546</v>
      </c>
      <c r="N30" s="277">
        <f t="shared" si="37"/>
        <v>712098.27827000001</v>
      </c>
      <c r="O30" s="277">
        <f t="shared" si="37"/>
        <v>835255</v>
      </c>
      <c r="P30" s="277">
        <f t="shared" si="37"/>
        <v>1011777</v>
      </c>
      <c r="Q30" s="277">
        <f t="shared" si="37"/>
        <v>1217027</v>
      </c>
      <c r="R30" s="277">
        <f t="shared" si="37"/>
        <v>1347743</v>
      </c>
      <c r="S30" s="277">
        <f t="shared" si="37"/>
        <v>1492058</v>
      </c>
      <c r="T30" s="277">
        <f t="shared" si="37"/>
        <v>1652313</v>
      </c>
      <c r="U30" s="277">
        <f t="shared" si="37"/>
        <v>1746981</v>
      </c>
      <c r="V30" s="277">
        <f t="shared" si="37"/>
        <v>1914842</v>
      </c>
      <c r="W30" s="277">
        <f t="shared" si="37"/>
        <v>2058685.3508600041</v>
      </c>
      <c r="X30" s="277">
        <f t="shared" si="37"/>
        <v>2164911.7689999999</v>
      </c>
      <c r="Y30" s="277">
        <f t="shared" si="37"/>
        <v>2227466</v>
      </c>
      <c r="Z30" s="277">
        <f t="shared" si="37"/>
        <v>2366883</v>
      </c>
      <c r="AA30" s="277">
        <f t="shared" si="37"/>
        <v>2472301</v>
      </c>
      <c r="AB30" s="277">
        <f t="shared" ref="AB30:AC30" si="39">AB31+AB32</f>
        <v>2641078</v>
      </c>
      <c r="AC30" s="277">
        <f t="shared" si="39"/>
        <v>2901155</v>
      </c>
      <c r="AD30" s="277">
        <f t="shared" ref="AD30:AE30" si="40">AD31+AD32</f>
        <v>3204943</v>
      </c>
      <c r="AE30" s="277">
        <f t="shared" si="40"/>
        <v>3497908</v>
      </c>
      <c r="AF30" s="164"/>
      <c r="AG30" s="331">
        <f>AE30/AD30-1</f>
        <v>9.1410362056361105E-2</v>
      </c>
      <c r="AH30" s="331">
        <f>AE30/AA30-1</f>
        <v>0.41483905074665262</v>
      </c>
    </row>
    <row r="31" spans="1:37" ht="13" customHeight="1">
      <c r="B31" s="533" t="str">
        <f>IF('Summary | Sumário'!D$6=Names!B$3,Names!O124,Names!Z124)</f>
        <v>Provision for expected loss</v>
      </c>
      <c r="C31" s="560">
        <f>-'5. IEP'!C22</f>
        <v>215563</v>
      </c>
      <c r="D31" s="560">
        <f>-'5. IEP'!D22</f>
        <v>282355</v>
      </c>
      <c r="E31" s="560">
        <f>-'5. IEP'!E22</f>
        <v>680932.27827000001</v>
      </c>
      <c r="F31" s="560">
        <f>-'5. IEP'!F22</f>
        <v>1318412</v>
      </c>
      <c r="G31" s="560">
        <f>-'5. IEP'!G22</f>
        <v>1883758</v>
      </c>
      <c r="H31" s="560">
        <f>-'5. IEP'!H22</f>
        <v>2268938</v>
      </c>
      <c r="I31" s="560">
        <f>-'5. IEP'!I22</f>
        <v>3000076</v>
      </c>
      <c r="J31" s="560"/>
      <c r="K31" s="560">
        <f>-'5. IEP'!K22</f>
        <v>334789</v>
      </c>
      <c r="L31" s="560">
        <f>-'5. IEP'!L22</f>
        <v>486763</v>
      </c>
      <c r="M31" s="560">
        <f>-'5. IEP'!M22</f>
        <v>558546</v>
      </c>
      <c r="N31" s="560">
        <f>-'5. IEP'!N22</f>
        <v>680932.27827000001</v>
      </c>
      <c r="O31" s="560">
        <f>-'5. IEP'!O22</f>
        <v>801672</v>
      </c>
      <c r="P31" s="560">
        <f>-'5. IEP'!P22</f>
        <v>974457</v>
      </c>
      <c r="Q31" s="560">
        <f>-'5. IEP'!Q22</f>
        <v>1184365</v>
      </c>
      <c r="R31" s="560">
        <f>-'5. IEP'!R22</f>
        <v>1318412</v>
      </c>
      <c r="S31" s="560">
        <f>-'5. IEP'!S22</f>
        <v>1461707</v>
      </c>
      <c r="T31" s="560">
        <f>-'5. IEP'!T22</f>
        <v>1617401</v>
      </c>
      <c r="U31" s="560">
        <f>-'5. IEP'!U22-U32</f>
        <v>1719103.01</v>
      </c>
      <c r="V31" s="560">
        <f>-'5. IEP'!V22</f>
        <v>1883758</v>
      </c>
      <c r="W31" s="560">
        <f>-'5. IEP'!W22</f>
        <v>2031628</v>
      </c>
      <c r="X31" s="560">
        <f>-'5. IEP'!X22</f>
        <v>2164911.7689999999</v>
      </c>
      <c r="Y31" s="560">
        <f>-'5. IEP'!Y22</f>
        <v>2227466</v>
      </c>
      <c r="Z31" s="560">
        <f>-'5. IEP'!Z22</f>
        <v>2268938</v>
      </c>
      <c r="AA31" s="560">
        <f>-'5. IEP'!AA22</f>
        <v>2307044</v>
      </c>
      <c r="AB31" s="560">
        <f>-'5. IEP'!AB22</f>
        <v>2457260</v>
      </c>
      <c r="AC31" s="560">
        <f>-'5. IEP'!AC22</f>
        <v>2704536</v>
      </c>
      <c r="AD31" s="560">
        <f>-'5. IEP'!AD22</f>
        <v>3000076</v>
      </c>
      <c r="AE31" s="560">
        <f>-'5. IEP'!AE22</f>
        <v>3336710</v>
      </c>
      <c r="AF31" s="215"/>
      <c r="AG31" s="209">
        <f>AE31/AD31-1</f>
        <v>0.11220849071823524</v>
      </c>
      <c r="AH31" s="209">
        <f>AE31/AA31-1</f>
        <v>0.44631398447537185</v>
      </c>
    </row>
    <row r="32" spans="1:37" ht="13" customHeight="1">
      <c r="B32" s="534" t="str">
        <f>IF('Summary | Sumário'!D$6=Names!B$3,Names!O125,Names!Z125)</f>
        <v>Provision for expected credit losses on loan commitments</v>
      </c>
      <c r="C32" s="201">
        <v>0</v>
      </c>
      <c r="D32" s="201">
        <v>0</v>
      </c>
      <c r="E32" s="201">
        <f t="shared" ref="E32:E34" si="41">N32</f>
        <v>31166</v>
      </c>
      <c r="F32" s="201">
        <f t="shared" ref="F32:F34" si="42">R32</f>
        <v>29331</v>
      </c>
      <c r="G32" s="201">
        <f t="shared" ref="G32:G34" si="43">V32</f>
        <v>31084</v>
      </c>
      <c r="H32" s="201">
        <f t="shared" ref="H32:H34" si="44">Z32</f>
        <v>97945</v>
      </c>
      <c r="I32" s="201">
        <f>AD32</f>
        <v>204867</v>
      </c>
      <c r="J32" s="215"/>
      <c r="K32" s="201">
        <v>0</v>
      </c>
      <c r="L32" s="201">
        <v>0</v>
      </c>
      <c r="M32" s="201">
        <v>0</v>
      </c>
      <c r="N32" s="201">
        <v>31166</v>
      </c>
      <c r="O32" s="201">
        <v>33583</v>
      </c>
      <c r="P32" s="201">
        <v>37320</v>
      </c>
      <c r="Q32" s="201">
        <v>32662</v>
      </c>
      <c r="R32" s="201">
        <v>29331</v>
      </c>
      <c r="S32" s="201">
        <v>30351</v>
      </c>
      <c r="T32" s="201">
        <v>34912</v>
      </c>
      <c r="U32" s="201">
        <v>27877.99</v>
      </c>
      <c r="V32" s="201">
        <v>31084</v>
      </c>
      <c r="W32" s="201">
        <v>27057.350860004004</v>
      </c>
      <c r="X32" s="201">
        <v>0</v>
      </c>
      <c r="Y32" s="201">
        <v>0</v>
      </c>
      <c r="Z32" s="201">
        <v>97945</v>
      </c>
      <c r="AA32" s="201">
        <v>165257</v>
      </c>
      <c r="AB32" s="201">
        <v>183818</v>
      </c>
      <c r="AC32" s="201">
        <v>196619</v>
      </c>
      <c r="AD32" s="201">
        <v>204867</v>
      </c>
      <c r="AE32" s="201">
        <v>161198</v>
      </c>
      <c r="AF32" s="215"/>
      <c r="AG32" s="536">
        <f>AE32/AD32-1</f>
        <v>-0.21315780481971225</v>
      </c>
      <c r="AH32" s="536">
        <f>AE32/AA32-1</f>
        <v>-2.4561743224190247E-2</v>
      </c>
    </row>
    <row r="33" spans="2:34" ht="13" customHeight="1">
      <c r="B33" s="675" t="str">
        <f>IF('Summary | Sumário'!D$6=Names!B$3,Names!O127,Names!Z127)</f>
        <v>(÷) NPL &gt; 90 days</v>
      </c>
      <c r="C33" s="202">
        <f>C25</f>
        <v>220389.40100000001</v>
      </c>
      <c r="D33" s="202">
        <f>D25</f>
        <v>269061.29599999997</v>
      </c>
      <c r="E33" s="202">
        <f t="shared" si="41"/>
        <v>519936.66624999954</v>
      </c>
      <c r="F33" s="202">
        <f t="shared" si="42"/>
        <v>999522.19583999994</v>
      </c>
      <c r="G33" s="202">
        <f t="shared" si="43"/>
        <v>1425372.2890000001</v>
      </c>
      <c r="H33" s="202">
        <f t="shared" si="44"/>
        <v>1737079.07705</v>
      </c>
      <c r="I33" s="202">
        <f>AD33</f>
        <v>2265796.2354299999</v>
      </c>
      <c r="J33" s="202"/>
      <c r="K33" s="202">
        <f t="shared" ref="K33:AA33" si="45">K25</f>
        <v>284231.98275000002</v>
      </c>
      <c r="L33" s="202">
        <f t="shared" si="45"/>
        <v>375711.22700000001</v>
      </c>
      <c r="M33" s="202">
        <f t="shared" si="45"/>
        <v>451788.65100000001</v>
      </c>
      <c r="N33" s="202">
        <f t="shared" si="45"/>
        <v>519936.66624999954</v>
      </c>
      <c r="O33" s="202">
        <f t="shared" si="45"/>
        <v>635025.51165999984</v>
      </c>
      <c r="P33" s="202">
        <f t="shared" si="45"/>
        <v>754933.16899999999</v>
      </c>
      <c r="Q33" s="202">
        <f t="shared" si="45"/>
        <v>838860.77459000004</v>
      </c>
      <c r="R33" s="202">
        <f t="shared" si="45"/>
        <v>999522.19583999994</v>
      </c>
      <c r="S33" s="202">
        <f t="shared" si="45"/>
        <v>1112112.51</v>
      </c>
      <c r="T33" s="202">
        <f t="shared" si="45"/>
        <v>1242634.2890000001</v>
      </c>
      <c r="U33" s="202">
        <f t="shared" si="45"/>
        <v>1324578.226</v>
      </c>
      <c r="V33" s="202">
        <f t="shared" si="45"/>
        <v>1425372.2890000001</v>
      </c>
      <c r="W33" s="202">
        <f t="shared" si="45"/>
        <v>1552791.92823</v>
      </c>
      <c r="X33" s="202">
        <f t="shared" si="45"/>
        <v>1663073.9831000001</v>
      </c>
      <c r="Y33" s="202">
        <f t="shared" si="45"/>
        <v>1719621.82455</v>
      </c>
      <c r="Z33" s="202">
        <f t="shared" si="45"/>
        <v>1737079.07705</v>
      </c>
      <c r="AA33" s="202">
        <f t="shared" si="45"/>
        <v>1734396.1778200001</v>
      </c>
      <c r="AB33" s="202">
        <f t="shared" ref="AB33:AC33" si="46">AB25</f>
        <v>1841808.08179</v>
      </c>
      <c r="AC33" s="202">
        <f t="shared" si="46"/>
        <v>1982766.0207799999</v>
      </c>
      <c r="AD33" s="202">
        <f t="shared" ref="AD33:AE33" si="47">AD25</f>
        <v>2265796.2354299999</v>
      </c>
      <c r="AE33" s="202">
        <f t="shared" si="47"/>
        <v>2545893.4078199998</v>
      </c>
      <c r="AF33" s="202"/>
      <c r="AG33" s="215">
        <f>AE33/AD33-1</f>
        <v>0.12361975362574618</v>
      </c>
      <c r="AH33" s="215">
        <f>AE33/AA33-1</f>
        <v>0.46788458160694746</v>
      </c>
    </row>
    <row r="34" spans="2:34" ht="13" customHeight="1">
      <c r="B34" s="274" t="str">
        <f>IF('Summary | Sumário'!D$6=Names!B$3,Names!O126,Names!Z126)</f>
        <v>Coverage ratio (%)</v>
      </c>
      <c r="C34" s="284">
        <f t="shared" ref="C34:D34" si="48">L34</f>
        <v>1.2955774675319989</v>
      </c>
      <c r="D34" s="284">
        <f t="shared" si="48"/>
        <v>1.2362993155399116</v>
      </c>
      <c r="E34" s="284">
        <f t="shared" si="41"/>
        <v>1.3695865756226624</v>
      </c>
      <c r="F34" s="284">
        <f t="shared" si="42"/>
        <v>1.3483872650445294</v>
      </c>
      <c r="G34" s="284">
        <f t="shared" si="43"/>
        <v>1.343397801947867</v>
      </c>
      <c r="H34" s="284">
        <f t="shared" si="44"/>
        <v>1.3625649121395018</v>
      </c>
      <c r="I34" s="284">
        <f>AD34</f>
        <v>1.4144886243011037</v>
      </c>
      <c r="J34" s="145"/>
      <c r="K34" s="284">
        <f t="shared" ref="K34:Y34" si="49">K30/K33</f>
        <v>1.1778723729850911</v>
      </c>
      <c r="L34" s="284">
        <f t="shared" si="49"/>
        <v>1.2955774675319989</v>
      </c>
      <c r="M34" s="284">
        <f t="shared" si="49"/>
        <v>1.2362993155399116</v>
      </c>
      <c r="N34" s="284">
        <f t="shared" si="49"/>
        <v>1.3695865756226624</v>
      </c>
      <c r="O34" s="284">
        <f t="shared" si="49"/>
        <v>1.3153093610626549</v>
      </c>
      <c r="P34" s="284">
        <f t="shared" si="49"/>
        <v>1.3402206202440683</v>
      </c>
      <c r="Q34" s="284">
        <f t="shared" si="49"/>
        <v>1.4508092842877671</v>
      </c>
      <c r="R34" s="284">
        <f t="shared" si="49"/>
        <v>1.3483872650445294</v>
      </c>
      <c r="S34" s="284">
        <f t="shared" si="49"/>
        <v>1.3416430321424944</v>
      </c>
      <c r="T34" s="284">
        <f t="shared" si="49"/>
        <v>1.3296856642590198</v>
      </c>
      <c r="U34" s="284">
        <f t="shared" si="49"/>
        <v>1.3188960574080884</v>
      </c>
      <c r="V34" s="284">
        <f t="shared" si="49"/>
        <v>1.343397801947867</v>
      </c>
      <c r="W34" s="284">
        <f t="shared" si="49"/>
        <v>1.325796015185797</v>
      </c>
      <c r="X34" s="284">
        <f t="shared" si="49"/>
        <v>1.3017531336546826</v>
      </c>
      <c r="Y34" s="284">
        <f t="shared" si="49"/>
        <v>1.2953231740838689</v>
      </c>
      <c r="Z34" s="284">
        <f t="shared" ref="Z34:AE34" si="50">Z30/Z33</f>
        <v>1.3625649121395018</v>
      </c>
      <c r="AA34" s="284">
        <f t="shared" si="50"/>
        <v>1.4254534411552315</v>
      </c>
      <c r="AB34" s="284">
        <f t="shared" si="50"/>
        <v>1.4339593935505011</v>
      </c>
      <c r="AC34" s="284">
        <f t="shared" si="50"/>
        <v>1.4631857564609239</v>
      </c>
      <c r="AD34" s="284">
        <f t="shared" si="50"/>
        <v>1.4144886243011037</v>
      </c>
      <c r="AE34" s="284">
        <f t="shared" si="50"/>
        <v>1.3739412613488764</v>
      </c>
      <c r="AF34" s="145"/>
      <c r="AG34" s="570">
        <f>(AE34-AD34)*100</f>
        <v>-4.0547362952227273</v>
      </c>
      <c r="AH34" s="570">
        <f>(AE34-AA34)*100</f>
        <v>-5.1512179806355141</v>
      </c>
    </row>
    <row r="35" spans="2:34" ht="13" customHeight="1">
      <c r="B35" s="120"/>
    </row>
    <row r="36" spans="2:34" ht="13" customHeight="1">
      <c r="B36" s="23" t="str">
        <f>IF('Summary | Sumário'!D$6=Names!B$3,Names!R4,Names!S4)</f>
        <v>All-in Cost of Risk (%)</v>
      </c>
      <c r="C36" s="250"/>
      <c r="D36" s="250"/>
      <c r="E36" s="250"/>
      <c r="F36" s="250"/>
      <c r="G36" s="250"/>
      <c r="H36" s="250"/>
      <c r="I36" s="250"/>
      <c r="J36" s="168"/>
      <c r="K36" s="250"/>
      <c r="L36" s="250"/>
      <c r="M36" s="250"/>
      <c r="N36" s="250"/>
      <c r="O36" s="250"/>
      <c r="P36" s="250"/>
      <c r="Q36" s="250"/>
      <c r="R36" s="250"/>
      <c r="S36" s="250"/>
      <c r="T36" s="250"/>
      <c r="U36" s="250"/>
      <c r="V36" s="250"/>
      <c r="W36" s="250"/>
      <c r="X36" s="250"/>
      <c r="Y36" s="250"/>
      <c r="Z36" s="250"/>
      <c r="AA36" s="250"/>
      <c r="AB36" s="250"/>
      <c r="AC36" s="250"/>
      <c r="AD36" s="250"/>
      <c r="AE36" s="250"/>
      <c r="AF36" s="168"/>
      <c r="AG36" s="310"/>
      <c r="AH36" s="310"/>
    </row>
    <row r="37" spans="2:34" ht="13" customHeight="1">
      <c r="B37" s="279" t="str">
        <f>IF('Summary | Sumário'!D$6=Names!B$3,Names!AL12,Names!AM12)</f>
        <v>Anuallized impairment losses on financial assets</v>
      </c>
      <c r="C37" s="280">
        <f>C38</f>
        <v>138570</v>
      </c>
      <c r="D37" s="280">
        <f t="shared" ref="D37:I37" si="51">D38</f>
        <v>213688</v>
      </c>
      <c r="E37" s="280">
        <f t="shared" si="51"/>
        <v>595581</v>
      </c>
      <c r="F37" s="280">
        <f t="shared" si="51"/>
        <v>1083237</v>
      </c>
      <c r="G37" s="280">
        <f t="shared" si="51"/>
        <v>1541584</v>
      </c>
      <c r="H37" s="280">
        <f t="shared" si="51"/>
        <v>1799452.3359999999</v>
      </c>
      <c r="I37" s="280">
        <f t="shared" si="51"/>
        <v>2416353</v>
      </c>
      <c r="J37" s="164"/>
      <c r="K37" s="280">
        <f>K38*4</f>
        <v>426676</v>
      </c>
      <c r="L37" s="280">
        <f t="shared" ref="L37:AE37" si="52">L38*4</f>
        <v>669764</v>
      </c>
      <c r="M37" s="280">
        <f t="shared" si="52"/>
        <v>552020</v>
      </c>
      <c r="N37" s="280">
        <f t="shared" si="52"/>
        <v>733864</v>
      </c>
      <c r="O37" s="280">
        <f t="shared" si="52"/>
        <v>1251784</v>
      </c>
      <c r="P37" s="280">
        <f t="shared" si="52"/>
        <v>969856</v>
      </c>
      <c r="Q37" s="280">
        <f t="shared" si="52"/>
        <v>1052452</v>
      </c>
      <c r="R37" s="280">
        <f t="shared" si="52"/>
        <v>1058856</v>
      </c>
      <c r="S37" s="280">
        <f t="shared" si="52"/>
        <v>1402724</v>
      </c>
      <c r="T37" s="280">
        <f t="shared" si="52"/>
        <v>1594240</v>
      </c>
      <c r="U37" s="280">
        <f t="shared" si="52"/>
        <v>1631596</v>
      </c>
      <c r="V37" s="280">
        <f t="shared" si="52"/>
        <v>1537776</v>
      </c>
      <c r="W37" s="280">
        <f t="shared" si="52"/>
        <v>1644192</v>
      </c>
      <c r="X37" s="280">
        <f t="shared" si="52"/>
        <v>1684990.6440000001</v>
      </c>
      <c r="Y37" s="280">
        <f t="shared" si="52"/>
        <v>1885706.6</v>
      </c>
      <c r="Z37" s="280">
        <f t="shared" si="52"/>
        <v>1982920.0999999987</v>
      </c>
      <c r="AA37" s="280">
        <f t="shared" si="52"/>
        <v>2054725.6</v>
      </c>
      <c r="AB37" s="280">
        <f t="shared" si="52"/>
        <v>2276996</v>
      </c>
      <c r="AC37" s="280">
        <f t="shared" si="52"/>
        <v>2563184</v>
      </c>
      <c r="AD37" s="280">
        <f t="shared" si="52"/>
        <v>2770506.4000000004</v>
      </c>
      <c r="AE37" s="280">
        <f t="shared" si="52"/>
        <v>3125072</v>
      </c>
      <c r="AF37" s="164"/>
      <c r="AG37" s="333">
        <f t="shared" ref="AG37:AG42" si="53">AE37/AD37-1</f>
        <v>0.12797862513510161</v>
      </c>
      <c r="AH37" s="333">
        <f t="shared" ref="AH37:AH42" si="54">AE37/AA37-1</f>
        <v>0.52091938699746576</v>
      </c>
    </row>
    <row r="38" spans="2:34" ht="13" customHeight="1">
      <c r="B38" s="58" t="str">
        <f>IF('Summary | Sumário'!D$6=Names!B$3,Names!AL13,Names!AM13)</f>
        <v>Impairment losses on financial assets</v>
      </c>
      <c r="C38" s="208">
        <f>-'3. IS | DRE'!C14</f>
        <v>138570</v>
      </c>
      <c r="D38" s="208">
        <f>-'3. IS | DRE'!D14</f>
        <v>213688</v>
      </c>
      <c r="E38" s="208">
        <f>-'3. IS | DRE'!E14</f>
        <v>595581</v>
      </c>
      <c r="F38" s="208">
        <f>-'3. IS | DRE'!F14</f>
        <v>1083237</v>
      </c>
      <c r="G38" s="208">
        <f>-'3. IS | DRE'!G14</f>
        <v>1541584</v>
      </c>
      <c r="H38" s="208">
        <f>-'3. IS | DRE'!H14</f>
        <v>1799452.3359999999</v>
      </c>
      <c r="I38" s="208">
        <f>-'3. IS | DRE'!I14</f>
        <v>2416353</v>
      </c>
      <c r="J38" s="207"/>
      <c r="K38" s="208">
        <f>-'3. IS | DRE'!K14</f>
        <v>106669</v>
      </c>
      <c r="L38" s="208">
        <f>-'3. IS | DRE'!L14</f>
        <v>167441</v>
      </c>
      <c r="M38" s="208">
        <f>-'3. IS | DRE'!M14</f>
        <v>138005</v>
      </c>
      <c r="N38" s="208">
        <f>-'3. IS | DRE'!N14</f>
        <v>183466</v>
      </c>
      <c r="O38" s="208">
        <f>-'3. IS | DRE'!O14</f>
        <v>312946</v>
      </c>
      <c r="P38" s="208">
        <f>-'3. IS | DRE'!P14</f>
        <v>242464</v>
      </c>
      <c r="Q38" s="208">
        <f>-'3. IS | DRE'!Q14</f>
        <v>263113</v>
      </c>
      <c r="R38" s="208">
        <f>-'3. IS | DRE'!R14</f>
        <v>264714</v>
      </c>
      <c r="S38" s="208">
        <f>-'3. IS | DRE'!S14</f>
        <v>350681</v>
      </c>
      <c r="T38" s="208">
        <f>-'3. IS | DRE'!T14</f>
        <v>398560</v>
      </c>
      <c r="U38" s="208">
        <f>-'3. IS | DRE'!U14</f>
        <v>407899</v>
      </c>
      <c r="V38" s="208">
        <f>-'3. IS | DRE'!V14</f>
        <v>384444</v>
      </c>
      <c r="W38" s="208">
        <f>-'3. IS | DRE'!W14</f>
        <v>411048</v>
      </c>
      <c r="X38" s="208">
        <f>-'3. IS | DRE'!X14</f>
        <v>421247.66100000002</v>
      </c>
      <c r="Y38" s="208">
        <f>-'3. IS | DRE'!Y14</f>
        <v>471426.65</v>
      </c>
      <c r="Z38" s="208">
        <f>-'3. IS | DRE'!Z14</f>
        <v>495730.02499999967</v>
      </c>
      <c r="AA38" s="208">
        <f>-'3. IS | DRE'!AA14</f>
        <v>513681.4</v>
      </c>
      <c r="AB38" s="208">
        <f>-'3. IS | DRE'!AB14</f>
        <v>569249</v>
      </c>
      <c r="AC38" s="208">
        <f>-'3. IS | DRE'!AC14</f>
        <v>640796</v>
      </c>
      <c r="AD38" s="208">
        <f>-'3. IS | DRE'!AD14</f>
        <v>692626.60000000009</v>
      </c>
      <c r="AE38" s="208">
        <f>-'3. IS | DRE'!AE14</f>
        <v>781268</v>
      </c>
      <c r="AG38" s="223">
        <f t="shared" si="53"/>
        <v>0.12797862513510161</v>
      </c>
      <c r="AH38" s="223">
        <f t="shared" si="54"/>
        <v>0.52091938699746576</v>
      </c>
    </row>
    <row r="39" spans="2:34" ht="13" customHeight="1">
      <c r="B39" s="120" t="str">
        <f>IF('Summary | Sumário'!D$6=Names!B$3,Names!R2,Names!S2)</f>
        <v>Average portfolio that generates provision expenses</v>
      </c>
      <c r="C39" s="565">
        <f>C40</f>
        <v>4777387</v>
      </c>
      <c r="D39" s="565">
        <f t="shared" ref="D39:G39" si="55">AVERAGE(C40:D40)</f>
        <v>6783722.5</v>
      </c>
      <c r="E39" s="565">
        <f t="shared" si="55"/>
        <v>14022307.5</v>
      </c>
      <c r="F39" s="565">
        <f t="shared" si="55"/>
        <v>23387367.5</v>
      </c>
      <c r="G39" s="565">
        <f t="shared" si="55"/>
        <v>30367865</v>
      </c>
      <c r="H39" s="565">
        <f>AVERAGE(G40:H40)</f>
        <v>38307059.620080002</v>
      </c>
      <c r="I39" s="565">
        <f>AVERAGE(H40:I40)</f>
        <v>49359868.120080002</v>
      </c>
      <c r="K39" s="565">
        <f>K40</f>
        <v>11755848.6263</v>
      </c>
      <c r="L39" s="565">
        <f>AVERAGE(K40:L40)</f>
        <v>12957449.34365</v>
      </c>
      <c r="M39" s="565">
        <f t="shared" ref="M39:AE39" si="56">AVERAGE(L40:M40)</f>
        <v>15338488.9965</v>
      </c>
      <c r="N39" s="565">
        <f t="shared" si="56"/>
        <v>17886242.465999998</v>
      </c>
      <c r="O39" s="565">
        <f t="shared" si="56"/>
        <v>19865830.792999998</v>
      </c>
      <c r="P39" s="565">
        <f t="shared" si="56"/>
        <v>21429204.097999997</v>
      </c>
      <c r="Q39" s="565">
        <f t="shared" si="56"/>
        <v>23750174.305</v>
      </c>
      <c r="R39" s="565">
        <f t="shared" si="56"/>
        <v>26319611.5</v>
      </c>
      <c r="S39" s="565">
        <f t="shared" si="56"/>
        <v>27752724.5</v>
      </c>
      <c r="T39" s="565">
        <f t="shared" si="56"/>
        <v>28514905.5</v>
      </c>
      <c r="U39" s="565">
        <f t="shared" si="56"/>
        <v>29665288</v>
      </c>
      <c r="V39" s="565">
        <f t="shared" si="56"/>
        <v>31750794</v>
      </c>
      <c r="W39" s="565">
        <f t="shared" si="56"/>
        <v>33852577.155125096</v>
      </c>
      <c r="X39" s="565">
        <f t="shared" si="56"/>
        <v>36060700.897435099</v>
      </c>
      <c r="Y39" s="565">
        <f t="shared" si="56"/>
        <v>38821278.115335003</v>
      </c>
      <c r="Z39" s="565">
        <f t="shared" si="56"/>
        <v>41704661.993105002</v>
      </c>
      <c r="AA39" s="565">
        <f t="shared" si="56"/>
        <v>44212314.120080002</v>
      </c>
      <c r="AB39" s="565">
        <f t="shared" si="56"/>
        <v>45745050.049000002</v>
      </c>
      <c r="AC39" s="565">
        <f t="shared" si="56"/>
        <v>47883263.549000002</v>
      </c>
      <c r="AD39" s="565">
        <f t="shared" si="56"/>
        <v>52311828.5</v>
      </c>
      <c r="AE39" s="565">
        <f t="shared" si="56"/>
        <v>56134536</v>
      </c>
      <c r="AG39" s="154">
        <f t="shared" si="53"/>
        <v>7.3075394411036498E-2</v>
      </c>
      <c r="AH39" s="154">
        <f t="shared" si="54"/>
        <v>0.26965839986433227</v>
      </c>
    </row>
    <row r="40" spans="2:34" ht="13" customHeight="1">
      <c r="B40" s="58" t="str">
        <f>IF('Summary | Sumário'!D$6=Names!B$3,Names!R3,Names!S3)</f>
        <v>Portfolio that generates provision expenses</v>
      </c>
      <c r="C40" s="568">
        <f>C41+C42</f>
        <v>4777387</v>
      </c>
      <c r="D40" s="568">
        <f t="shared" ref="D40:AA40" si="57">D41+D42</f>
        <v>8790058</v>
      </c>
      <c r="E40" s="568">
        <f t="shared" si="57"/>
        <v>19254557</v>
      </c>
      <c r="F40" s="568">
        <f t="shared" si="57"/>
        <v>27520178</v>
      </c>
      <c r="G40" s="568">
        <f t="shared" si="57"/>
        <v>33215552</v>
      </c>
      <c r="H40" s="568">
        <f t="shared" si="57"/>
        <v>43398567.240160003</v>
      </c>
      <c r="I40" s="568">
        <f t="shared" ref="I40" si="58">I41+I42</f>
        <v>55321169</v>
      </c>
      <c r="J40" s="565"/>
      <c r="K40" s="568">
        <f t="shared" si="57"/>
        <v>11755848.6263</v>
      </c>
      <c r="L40" s="568">
        <f t="shared" si="57"/>
        <v>14159050.061000001</v>
      </c>
      <c r="M40" s="568">
        <f t="shared" si="57"/>
        <v>16517927.932</v>
      </c>
      <c r="N40" s="568">
        <f t="shared" si="57"/>
        <v>19254557</v>
      </c>
      <c r="O40" s="568">
        <f t="shared" si="57"/>
        <v>20477104.585999999</v>
      </c>
      <c r="P40" s="568">
        <f t="shared" si="57"/>
        <v>22381303.609999999</v>
      </c>
      <c r="Q40" s="568">
        <f t="shared" si="57"/>
        <v>25119045</v>
      </c>
      <c r="R40" s="568">
        <f t="shared" si="57"/>
        <v>27520178</v>
      </c>
      <c r="S40" s="568">
        <f t="shared" si="57"/>
        <v>27985271</v>
      </c>
      <c r="T40" s="568">
        <f t="shared" si="57"/>
        <v>29044540</v>
      </c>
      <c r="U40" s="568">
        <f t="shared" si="57"/>
        <v>30286036</v>
      </c>
      <c r="V40" s="568">
        <f t="shared" si="57"/>
        <v>33215552</v>
      </c>
      <c r="W40" s="568">
        <f t="shared" si="57"/>
        <v>34489602.3102502</v>
      </c>
      <c r="X40" s="568">
        <f t="shared" si="57"/>
        <v>37631799.484619997</v>
      </c>
      <c r="Y40" s="568">
        <f t="shared" si="57"/>
        <v>40010756.74605</v>
      </c>
      <c r="Z40" s="568">
        <f t="shared" si="57"/>
        <v>43398567.240160003</v>
      </c>
      <c r="AA40" s="568">
        <f t="shared" si="57"/>
        <v>45026061</v>
      </c>
      <c r="AB40" s="568">
        <f t="shared" ref="AB40:AC40" si="59">AB41+AB42</f>
        <v>46464039.098000005</v>
      </c>
      <c r="AC40" s="568">
        <f t="shared" si="59"/>
        <v>49302488</v>
      </c>
      <c r="AD40" s="568">
        <f t="shared" ref="AD40:AE40" si="60">AD41+AD42</f>
        <v>55321169</v>
      </c>
      <c r="AE40" s="568">
        <f t="shared" si="60"/>
        <v>56947903</v>
      </c>
      <c r="AG40" s="223">
        <f t="shared" si="53"/>
        <v>2.9405271605883909E-2</v>
      </c>
      <c r="AH40" s="223">
        <f t="shared" si="54"/>
        <v>0.26477648133599785</v>
      </c>
    </row>
    <row r="41" spans="2:34" ht="13" customHeight="1">
      <c r="B41" s="525" t="str">
        <f>IF('Summary | Sumário'!D$6=Names!B$3,Names!AL15,Names!AM15)</f>
        <v>Gross loan portfolio</v>
      </c>
      <c r="C41" s="565">
        <f>C12</f>
        <v>4777387</v>
      </c>
      <c r="D41" s="565">
        <f t="shared" ref="D41:AA41" si="61">D12</f>
        <v>8790058</v>
      </c>
      <c r="E41" s="565">
        <f t="shared" si="61"/>
        <v>17514466</v>
      </c>
      <c r="F41" s="565">
        <f t="shared" si="61"/>
        <v>24543993</v>
      </c>
      <c r="G41" s="565">
        <f t="shared" si="61"/>
        <v>31020837</v>
      </c>
      <c r="H41" s="565">
        <f t="shared" si="61"/>
        <v>41182813.305160001</v>
      </c>
      <c r="I41" s="565">
        <f t="shared" ref="I41" si="62">I12</f>
        <v>52564751</v>
      </c>
      <c r="J41" s="565"/>
      <c r="K41" s="565">
        <f t="shared" si="61"/>
        <v>10328685.6263</v>
      </c>
      <c r="L41" s="565">
        <f t="shared" si="61"/>
        <v>12598761.061000001</v>
      </c>
      <c r="M41" s="565">
        <f t="shared" si="61"/>
        <v>14957638.932</v>
      </c>
      <c r="N41" s="565">
        <f t="shared" si="61"/>
        <v>17514466</v>
      </c>
      <c r="O41" s="565">
        <f t="shared" si="61"/>
        <v>18523657.585999999</v>
      </c>
      <c r="P41" s="565">
        <f t="shared" si="61"/>
        <v>19864563.609999999</v>
      </c>
      <c r="Q41" s="565">
        <f t="shared" si="61"/>
        <v>22035054</v>
      </c>
      <c r="R41" s="565">
        <f t="shared" si="61"/>
        <v>24543993</v>
      </c>
      <c r="S41" s="565">
        <f t="shared" si="61"/>
        <v>25129298</v>
      </c>
      <c r="T41" s="565">
        <f t="shared" si="61"/>
        <v>26474360</v>
      </c>
      <c r="U41" s="565">
        <f t="shared" si="61"/>
        <v>28258743</v>
      </c>
      <c r="V41" s="565">
        <f t="shared" si="61"/>
        <v>31020837</v>
      </c>
      <c r="W41" s="565">
        <f t="shared" si="61"/>
        <v>32143623.531950202</v>
      </c>
      <c r="X41" s="565">
        <f t="shared" si="61"/>
        <v>35674371.416579999</v>
      </c>
      <c r="Y41" s="565">
        <f t="shared" si="61"/>
        <v>38059886.803049996</v>
      </c>
      <c r="Z41" s="565">
        <f t="shared" si="61"/>
        <v>41182813.305160001</v>
      </c>
      <c r="AA41" s="565">
        <f t="shared" si="61"/>
        <v>42594941</v>
      </c>
      <c r="AB41" s="565">
        <f t="shared" ref="AB41:AC41" si="63">AB12</f>
        <v>43839646</v>
      </c>
      <c r="AC41" s="565">
        <f t="shared" si="63"/>
        <v>46686090</v>
      </c>
      <c r="AD41" s="565">
        <f t="shared" ref="AD41:AE41" si="64">AD12</f>
        <v>52564751</v>
      </c>
      <c r="AE41" s="565">
        <f t="shared" si="64"/>
        <v>53867100</v>
      </c>
      <c r="AG41" s="154">
        <f t="shared" si="53"/>
        <v>2.4776089969493098E-2</v>
      </c>
      <c r="AH41" s="154">
        <f t="shared" si="54"/>
        <v>0.26463609845122216</v>
      </c>
    </row>
    <row r="42" spans="2:34" ht="13" customHeight="1">
      <c r="B42" s="569" t="str">
        <f>IF('Summary | Sumário'!D6=Names!B3,Names!V6,Names!W6)</f>
        <v>Private securities</v>
      </c>
      <c r="C42" s="568">
        <f>C16</f>
        <v>0</v>
      </c>
      <c r="D42" s="568">
        <f t="shared" ref="D42:AA42" si="65">D16</f>
        <v>0</v>
      </c>
      <c r="E42" s="568">
        <f t="shared" si="65"/>
        <v>1740091</v>
      </c>
      <c r="F42" s="568">
        <f t="shared" si="65"/>
        <v>2976185</v>
      </c>
      <c r="G42" s="568">
        <f t="shared" si="65"/>
        <v>2194715</v>
      </c>
      <c r="H42" s="568">
        <f t="shared" si="65"/>
        <v>2215753.9349999987</v>
      </c>
      <c r="I42" s="568">
        <f t="shared" ref="I42" si="66">I16</f>
        <v>2756418</v>
      </c>
      <c r="J42" s="565"/>
      <c r="K42" s="568">
        <f t="shared" si="65"/>
        <v>1427163</v>
      </c>
      <c r="L42" s="568">
        <f t="shared" si="65"/>
        <v>1560289</v>
      </c>
      <c r="M42" s="568">
        <f t="shared" si="65"/>
        <v>1560289</v>
      </c>
      <c r="N42" s="568">
        <f t="shared" si="65"/>
        <v>1740091</v>
      </c>
      <c r="O42" s="568">
        <f t="shared" si="65"/>
        <v>1953447</v>
      </c>
      <c r="P42" s="568">
        <f t="shared" si="65"/>
        <v>2516740</v>
      </c>
      <c r="Q42" s="568">
        <f t="shared" si="65"/>
        <v>3083991</v>
      </c>
      <c r="R42" s="568">
        <f t="shared" si="65"/>
        <v>2976185</v>
      </c>
      <c r="S42" s="568">
        <f t="shared" si="65"/>
        <v>2855973</v>
      </c>
      <c r="T42" s="568">
        <f t="shared" si="65"/>
        <v>2570180</v>
      </c>
      <c r="U42" s="568">
        <f t="shared" si="65"/>
        <v>2027293</v>
      </c>
      <c r="V42" s="568">
        <f t="shared" si="65"/>
        <v>2194715</v>
      </c>
      <c r="W42" s="568">
        <f t="shared" si="65"/>
        <v>2345978.7783000004</v>
      </c>
      <c r="X42" s="568">
        <f t="shared" si="65"/>
        <v>1957428.0680400003</v>
      </c>
      <c r="Y42" s="568">
        <f t="shared" si="65"/>
        <v>1950869.943</v>
      </c>
      <c r="Z42" s="568">
        <f t="shared" si="65"/>
        <v>2215753.9349999987</v>
      </c>
      <c r="AA42" s="568">
        <f t="shared" si="65"/>
        <v>2431120</v>
      </c>
      <c r="AB42" s="568">
        <f t="shared" ref="AB42:AC42" si="67">AB16</f>
        <v>2624393.0980000012</v>
      </c>
      <c r="AC42" s="568">
        <f t="shared" si="67"/>
        <v>2616398</v>
      </c>
      <c r="AD42" s="568">
        <f t="shared" ref="AD42:AE42" si="68">AD16</f>
        <v>2756418</v>
      </c>
      <c r="AE42" s="568">
        <f t="shared" si="68"/>
        <v>3080803</v>
      </c>
      <c r="AG42" s="223">
        <f t="shared" si="53"/>
        <v>0.11768352985650221</v>
      </c>
      <c r="AH42" s="223">
        <f t="shared" si="54"/>
        <v>0.26723608871631188</v>
      </c>
    </row>
    <row r="43" spans="2:34" ht="13" customHeight="1">
      <c r="B43" s="275" t="str">
        <f>IF('Summary | Sumário'!D$6=Names!B$3,Names!R5,Names!S5)</f>
        <v>All-in cost of risk (%)</v>
      </c>
      <c r="C43" s="285">
        <f>C37/C39</f>
        <v>2.9005395627358637E-2</v>
      </c>
      <c r="D43" s="285">
        <f t="shared" ref="D43:AA43" si="69">D37/D39</f>
        <v>3.1500109268915409E-2</v>
      </c>
      <c r="E43" s="285">
        <f t="shared" si="69"/>
        <v>4.2473822514589699E-2</v>
      </c>
      <c r="F43" s="285">
        <f t="shared" si="69"/>
        <v>4.6317183838668459E-2</v>
      </c>
      <c r="G43" s="285">
        <f t="shared" si="69"/>
        <v>5.0763660863218409E-2</v>
      </c>
      <c r="H43" s="285">
        <f t="shared" si="69"/>
        <v>4.6974431184395926E-2</v>
      </c>
      <c r="I43" s="285">
        <f t="shared" ref="I43" si="70">I37/I39</f>
        <v>4.8953797731420758E-2</v>
      </c>
      <c r="J43" s="318"/>
      <c r="K43" s="285">
        <f t="shared" si="69"/>
        <v>3.6294785137454662E-2</v>
      </c>
      <c r="L43" s="285">
        <f t="shared" si="69"/>
        <v>5.1689493991981396E-2</v>
      </c>
      <c r="M43" s="285">
        <f t="shared" si="69"/>
        <v>3.5989203377592288E-2</v>
      </c>
      <c r="N43" s="285">
        <f t="shared" si="69"/>
        <v>4.1029523187723967E-2</v>
      </c>
      <c r="O43" s="285">
        <f t="shared" si="69"/>
        <v>6.3011912919397436E-2</v>
      </c>
      <c r="P43" s="285">
        <f t="shared" si="69"/>
        <v>4.5258610425504199E-2</v>
      </c>
      <c r="Q43" s="285">
        <f t="shared" si="69"/>
        <v>4.4313443197696145E-2</v>
      </c>
      <c r="R43" s="285">
        <f t="shared" si="69"/>
        <v>4.0230685016000328E-2</v>
      </c>
      <c r="S43" s="285">
        <f t="shared" si="69"/>
        <v>5.0543650227926271E-2</v>
      </c>
      <c r="T43" s="285">
        <f t="shared" si="69"/>
        <v>5.5909005204313231E-2</v>
      </c>
      <c r="U43" s="285">
        <f t="shared" si="69"/>
        <v>5.5000173940667627E-2</v>
      </c>
      <c r="V43" s="285">
        <f t="shared" si="69"/>
        <v>4.8432678565455717E-2</v>
      </c>
      <c r="W43" s="285">
        <f t="shared" si="69"/>
        <v>4.8569182560775234E-2</v>
      </c>
      <c r="X43" s="285">
        <f t="shared" si="69"/>
        <v>4.6726508416808088E-2</v>
      </c>
      <c r="Y43" s="285">
        <f t="shared" si="69"/>
        <v>4.8574047314921272E-2</v>
      </c>
      <c r="Z43" s="285">
        <f t="shared" si="69"/>
        <v>4.7546725119791959E-2</v>
      </c>
      <c r="AA43" s="285">
        <f t="shared" si="69"/>
        <v>4.6474056852563637E-2</v>
      </c>
      <c r="AB43" s="285">
        <f t="shared" ref="AB43:AC43" si="71">AB37/AB39</f>
        <v>4.9775789895540309E-2</v>
      </c>
      <c r="AC43" s="285">
        <f t="shared" si="71"/>
        <v>5.3529851769126745E-2</v>
      </c>
      <c r="AD43" s="285">
        <f t="shared" ref="AD43:AE43" si="72">AD37/AD39</f>
        <v>5.2961375647574631E-2</v>
      </c>
      <c r="AE43" s="285">
        <f t="shared" si="72"/>
        <v>5.5671111274528035E-2</v>
      </c>
      <c r="AF43" s="145"/>
      <c r="AG43" s="538">
        <f>(AE43-AD43)*100</f>
        <v>0.27097356269534034</v>
      </c>
      <c r="AH43" s="538">
        <f>(AE43-AA43)*100</f>
        <v>0.91970544219643968</v>
      </c>
    </row>
    <row r="44" spans="2:34" ht="13" customHeight="1">
      <c r="B44" s="162"/>
      <c r="C44" s="162"/>
      <c r="D44" s="162"/>
      <c r="E44" s="162"/>
      <c r="F44" s="162"/>
      <c r="G44" s="162"/>
      <c r="H44" s="162"/>
      <c r="I44" s="162"/>
      <c r="K44" s="162"/>
      <c r="L44" s="162"/>
      <c r="M44" s="162"/>
      <c r="N44" s="162"/>
      <c r="O44" s="162"/>
      <c r="P44" s="162"/>
      <c r="Q44" s="162"/>
      <c r="R44" s="162"/>
      <c r="S44" s="162"/>
      <c r="T44" s="162"/>
      <c r="U44" s="162"/>
      <c r="V44" s="162"/>
      <c r="W44" s="162"/>
      <c r="X44" s="162"/>
      <c r="Y44" s="162"/>
      <c r="Z44" s="162"/>
      <c r="AA44" s="162"/>
      <c r="AB44" s="162"/>
      <c r="AC44" s="162"/>
      <c r="AD44" s="162"/>
      <c r="AE44" s="162"/>
      <c r="AG44" s="162"/>
      <c r="AH44" s="162"/>
    </row>
    <row r="45" spans="2:34" ht="13" customHeight="1">
      <c r="B45" s="49" t="str">
        <f>IF('Summary | Sumário'!D$6=Names!B$3,Names!O102,Names!Z103)</f>
        <v>Renegotiated Portfolio</v>
      </c>
      <c r="AG45" s="150"/>
      <c r="AH45" s="150"/>
    </row>
    <row r="46" spans="2:34" ht="13" customHeight="1">
      <c r="B46" s="276" t="str">
        <f>IF('Summary | Sumário'!D$6=Names!B$3,Names!O103,Names!Z103)</f>
        <v>Renegotiated portfolio</v>
      </c>
      <c r="C46" s="544" t="s">
        <v>1182</v>
      </c>
      <c r="D46" s="544" t="s">
        <v>1182</v>
      </c>
      <c r="E46" s="544" t="s">
        <v>1182</v>
      </c>
      <c r="F46" s="544" t="s">
        <v>1182</v>
      </c>
      <c r="G46" s="544" t="s">
        <v>1182</v>
      </c>
      <c r="H46" s="544" t="str">
        <f>Z46</f>
        <v>-</v>
      </c>
      <c r="I46" s="544">
        <f>AD46</f>
        <v>1086000</v>
      </c>
      <c r="J46" s="542"/>
      <c r="K46" s="544" t="s">
        <v>1182</v>
      </c>
      <c r="L46" s="544" t="s">
        <v>1182</v>
      </c>
      <c r="M46" s="544" t="s">
        <v>1182</v>
      </c>
      <c r="N46" s="544" t="s">
        <v>1182</v>
      </c>
      <c r="O46" s="544" t="s">
        <v>1182</v>
      </c>
      <c r="P46" s="544" t="s">
        <v>1182</v>
      </c>
      <c r="Q46" s="544" t="s">
        <v>1182</v>
      </c>
      <c r="R46" s="544" t="s">
        <v>1182</v>
      </c>
      <c r="S46" s="544" t="s">
        <v>1182</v>
      </c>
      <c r="T46" s="544" t="s">
        <v>1182</v>
      </c>
      <c r="U46" s="544" t="s">
        <v>1182</v>
      </c>
      <c r="V46" s="544" t="s">
        <v>1182</v>
      </c>
      <c r="W46" s="544" t="s">
        <v>1182</v>
      </c>
      <c r="X46" s="544" t="s">
        <v>1182</v>
      </c>
      <c r="Y46" s="544" t="s">
        <v>1182</v>
      </c>
      <c r="Z46" s="544" t="s">
        <v>1182</v>
      </c>
      <c r="AA46" s="544">
        <v>925779.57062999997</v>
      </c>
      <c r="AB46" s="544">
        <v>1003607.1105899998</v>
      </c>
      <c r="AC46" s="544">
        <v>1032524.0206</v>
      </c>
      <c r="AD46" s="544">
        <v>1086000</v>
      </c>
      <c r="AE46" s="544">
        <v>1136659.6326766666</v>
      </c>
      <c r="AF46" s="542"/>
      <c r="AG46" s="545">
        <f>AE46/AD46-1</f>
        <v>4.6647912225291632E-2</v>
      </c>
      <c r="AH46" s="545">
        <f>AE46/AA46-1</f>
        <v>0.22778647178740519</v>
      </c>
    </row>
    <row r="47" spans="2:34" ht="13" customHeight="1">
      <c r="B47" s="50" t="str">
        <f>IF('Summary | Sumário'!D$6=Names!B$3,Names!O104,Names!Z104)</f>
        <v>Renegotiated portfolio (% of total gross loan portfolio)</v>
      </c>
      <c r="C47" s="121" t="s">
        <v>1182</v>
      </c>
      <c r="D47" s="121" t="s">
        <v>1182</v>
      </c>
      <c r="E47" s="121" t="s">
        <v>1182</v>
      </c>
      <c r="F47" s="121" t="s">
        <v>1182</v>
      </c>
      <c r="G47" s="121" t="s">
        <v>1182</v>
      </c>
      <c r="H47" s="121" t="s">
        <v>1182</v>
      </c>
      <c r="I47" s="154">
        <f>I46/I5</f>
        <v>2.2507221585047248E-2</v>
      </c>
      <c r="J47" s="307"/>
      <c r="K47" s="121" t="s">
        <v>1182</v>
      </c>
      <c r="L47" s="121" t="s">
        <v>1182</v>
      </c>
      <c r="M47" s="121" t="s">
        <v>1182</v>
      </c>
      <c r="N47" s="121" t="s">
        <v>1182</v>
      </c>
      <c r="O47" s="121" t="s">
        <v>1182</v>
      </c>
      <c r="P47" s="121" t="s">
        <v>1182</v>
      </c>
      <c r="Q47" s="121" t="s">
        <v>1182</v>
      </c>
      <c r="R47" s="121" t="s">
        <v>1182</v>
      </c>
      <c r="S47" s="121" t="s">
        <v>1182</v>
      </c>
      <c r="T47" s="121" t="s">
        <v>1182</v>
      </c>
      <c r="U47" s="121" t="s">
        <v>1182</v>
      </c>
      <c r="V47" s="121" t="s">
        <v>1182</v>
      </c>
      <c r="W47" s="121" t="s">
        <v>1182</v>
      </c>
      <c r="X47" s="121" t="s">
        <v>1182</v>
      </c>
      <c r="Y47" s="121" t="s">
        <v>1182</v>
      </c>
      <c r="Z47" s="121" t="s">
        <v>1182</v>
      </c>
      <c r="AA47" s="154">
        <f t="shared" ref="AA47:AC47" si="73">AA46/AA5</f>
        <v>2.4756559687248599E-2</v>
      </c>
      <c r="AB47" s="154">
        <f t="shared" si="73"/>
        <v>2.4942539134233596E-2</v>
      </c>
      <c r="AC47" s="154">
        <f t="shared" si="73"/>
        <v>2.3563859439884687E-2</v>
      </c>
      <c r="AD47" s="154">
        <f>AD46/AD5</f>
        <v>2.2507221585047248E-2</v>
      </c>
      <c r="AE47" s="154">
        <f>AE46/AE5</f>
        <v>2.2814377616280867E-2</v>
      </c>
      <c r="AF47" s="154"/>
      <c r="AG47" s="343">
        <f>(AE47-AD47)*100</f>
        <v>3.0715603123361926E-2</v>
      </c>
      <c r="AH47" s="343">
        <f>(AE47-AA47)*100</f>
        <v>-0.19421820709677323</v>
      </c>
    </row>
    <row r="48" spans="2:34" ht="13" customHeight="1">
      <c r="B48" s="120"/>
    </row>
    <row r="49" spans="2:2" ht="13" customHeight="1">
      <c r="B49" s="120"/>
    </row>
    <row r="52" spans="2:2" ht="13" customHeight="1">
      <c r="B52" s="773" t="str">
        <f>IF('Summary | Sumário'!D$6=Names!B$3,Names!K44,Names!L44)</f>
        <v>Note: During 3Q25, we enhanced our disclosure practices for loan renegotiations, aligning with market best practices to ensure greater accuracy and transparency. As part of this improvement, we refined the definition of renegotiated contracts by excluding agreements that were not delinquent or those whose risk profiles remained unchanged. This adjustment ensures that the reported figures are more precise and reliable for renegotiation analysis.</v>
      </c>
    </row>
    <row r="53" spans="2:2" ht="13" customHeight="1">
      <c r="B53" s="773"/>
    </row>
    <row r="54" spans="2:2" ht="13" customHeight="1">
      <c r="B54" s="773"/>
    </row>
    <row r="55" spans="2:2" ht="13" customHeight="1">
      <c r="B55" s="773"/>
    </row>
    <row r="56" spans="2:2" ht="13" customHeight="1">
      <c r="B56" s="773"/>
    </row>
    <row r="57" spans="2:2" ht="13" customHeight="1">
      <c r="B57" s="773"/>
    </row>
    <row r="58" spans="2:2" ht="13" customHeight="1">
      <c r="B58" s="773"/>
    </row>
  </sheetData>
  <sheetProtection algorithmName="SHA-512" hashValue="i5T8L98plLn9fsmJcLteXMf2b39ANuhkGItP3q3ZbWhj0QcIfHQ6fKk3mFpW7Ae9/QY3mgek5IOU3jB/Phs73Q==" saltValue="dI5G3vntSNtGusEcjXj4/A==" spinCount="100000" sheet="1" formatCells="0" formatColumns="0" formatRows="0" insertColumns="0" insertRows="0" insertHyperlinks="0" deleteColumns="0" deleteRows="0" sort="0" autoFilter="0" pivotTables="0"/>
  <mergeCells count="1">
    <mergeCell ref="B52:B58"/>
  </mergeCells>
  <pageMargins left="0.511811024" right="0.511811024" top="0.78740157499999996" bottom="0.78740157499999996" header="0.31496062000000002" footer="0.31496062000000002"/>
  <pageSetup paperSize="9" orientation="portrait" r:id="rId1"/>
  <ignoredErrors>
    <ignoredError sqref="AF2:AH4 B52 AF48:AH48 B47:G47 J46:V47 AF47 B48:H48 B2:H5 AA46:AC47 J48:AC48 J3:AC5 AF13:AH14 AF5 AF6 AF7 AF8 AF9 AF10 AF11 AF12 AF18:AH19 AF15 AF16 AF17 AF23:AH24 AF20 AF21 AF22 AF28:AH29 AF25 AF26 AF35:AH36 AF30 AF31 AF32 AF33 AF34 AF44:AH45 AF37 AF38 AF39 AF40 AF41 AF42 AF43 AF46 AF27 J2:AB2 B12:H19 B6 E6:H6 B7 E7:H7 B8 E8:H8 B9 E9:H9 B10 E10:H10 J12:AC19 J6 J7 J8 J9 J10 J33:AC45 J32 B11 E11:H11 J11 B21:H24 B20 E20:H20 J21:AC24 J20 B26:H46 B25 E25:H25 J26:AC31 J25"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480B-755A-1B48-9DA6-EDCEBD802842}">
  <sheetPr codeName="Sheet14">
    <tabColor rgb="FFF7CAB0"/>
  </sheetPr>
  <dimension ref="B1:AL106"/>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1" customWidth="1"/>
    <col min="10" max="10" width="2.83203125" style="121" customWidth="1"/>
    <col min="11" max="31" width="10.83203125" style="121" customWidth="1"/>
    <col min="32" max="32" width="5.83203125" style="121" customWidth="1"/>
    <col min="33" max="34" width="10.83203125" style="121" customWidth="1"/>
    <col min="35" max="16384" width="10.83203125" style="120"/>
  </cols>
  <sheetData>
    <row r="1" spans="2:38" ht="13" customHeight="1">
      <c r="AI1" s="121"/>
    </row>
    <row r="2" spans="2:38" s="9" customFormat="1" ht="13" customHeight="1">
      <c r="B2" s="255" t="str">
        <f>IF('Summary | Sumário'!D$6=Names!B$3,Names!P1,Names!Q1)</f>
        <v>NIM &amp; Yields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31"/>
    </row>
    <row r="4" spans="2:38" ht="13" customHeight="1">
      <c r="B4" s="3" t="str">
        <f>IF('Summary | Sumário'!D$6=Names!B$3,Names!Q7,Names!R7)</f>
        <v>NIM 2.0 (%)</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2:38" ht="13" customHeight="1">
      <c r="B5" s="276" t="str">
        <f>IF('Summary | Sumário'!D$6=Names!B$3,Names!AJ17,Names!AK17)</f>
        <v>Annualized NII</v>
      </c>
      <c r="C5" s="277">
        <f t="shared" ref="C5:G5" si="0">C6</f>
        <v>591527</v>
      </c>
      <c r="D5" s="277">
        <f t="shared" si="0"/>
        <v>733280.89517999999</v>
      </c>
      <c r="E5" s="277">
        <f t="shared" si="0"/>
        <v>1614134.912</v>
      </c>
      <c r="F5" s="277">
        <f t="shared" si="0"/>
        <v>2435209.1850000001</v>
      </c>
      <c r="G5" s="277">
        <f t="shared" si="0"/>
        <v>3296796.9950000001</v>
      </c>
      <c r="H5" s="277">
        <f>H6</f>
        <v>4456744.9342886657</v>
      </c>
      <c r="I5" s="277">
        <f>I6</f>
        <v>6273819</v>
      </c>
      <c r="J5" s="164"/>
      <c r="K5" s="277">
        <f>K6*4</f>
        <v>1189829.3559999999</v>
      </c>
      <c r="L5" s="277">
        <f t="shared" ref="L5:AE5" si="1">L6*4</f>
        <v>1235937.3880000003</v>
      </c>
      <c r="M5" s="277">
        <f t="shared" si="1"/>
        <v>1812643.52</v>
      </c>
      <c r="N5" s="277">
        <f t="shared" si="1"/>
        <v>2218129.3839999996</v>
      </c>
      <c r="O5" s="277">
        <f t="shared" si="1"/>
        <v>2241776.06</v>
      </c>
      <c r="P5" s="277">
        <f t="shared" si="1"/>
        <v>2346601.2440000004</v>
      </c>
      <c r="Q5" s="277">
        <f t="shared" si="1"/>
        <v>2346897.8680000002</v>
      </c>
      <c r="R5" s="277">
        <f t="shared" si="1"/>
        <v>2805561.568</v>
      </c>
      <c r="S5" s="277">
        <f t="shared" si="1"/>
        <v>2905924.4960000003</v>
      </c>
      <c r="T5" s="277">
        <f t="shared" si="1"/>
        <v>3313064</v>
      </c>
      <c r="U5" s="277">
        <f t="shared" si="1"/>
        <v>3380864.4318400002</v>
      </c>
      <c r="V5" s="277">
        <f t="shared" si="1"/>
        <v>3587335.0521599995</v>
      </c>
      <c r="W5" s="277">
        <f t="shared" si="1"/>
        <v>3969682.882079999</v>
      </c>
      <c r="X5" s="277">
        <f t="shared" si="1"/>
        <v>4167462.9032153999</v>
      </c>
      <c r="Y5" s="277">
        <f t="shared" si="1"/>
        <v>4657400.5262945322</v>
      </c>
      <c r="Z5" s="277">
        <f t="shared" si="1"/>
        <v>5032433.4255647324</v>
      </c>
      <c r="AA5" s="277">
        <f t="shared" si="1"/>
        <v>5450377.2000000002</v>
      </c>
      <c r="AB5" s="277">
        <f t="shared" si="1"/>
        <v>5878028</v>
      </c>
      <c r="AC5" s="277">
        <f t="shared" si="1"/>
        <v>6490764</v>
      </c>
      <c r="AD5" s="277">
        <f t="shared" si="1"/>
        <v>7276106.7999999998</v>
      </c>
      <c r="AE5" s="277">
        <f t="shared" si="1"/>
        <v>7527000</v>
      </c>
      <c r="AF5" s="164"/>
      <c r="AG5" s="344">
        <f>AE5/AD5-1</f>
        <v>3.4481791828564257E-2</v>
      </c>
      <c r="AH5" s="344">
        <f>AE5/AA5-1</f>
        <v>0.38100533665816738</v>
      </c>
    </row>
    <row r="6" spans="2:38" ht="13" customHeight="1">
      <c r="B6" s="54" t="str">
        <f>IF('Summary | Sumário'!D$6=Names!B$3,Names!AJ18,Names!AK18)</f>
        <v>NII</v>
      </c>
      <c r="C6" s="164">
        <f>'6. NII'!C38</f>
        <v>591527</v>
      </c>
      <c r="D6" s="164">
        <f>'6. NII'!D38</f>
        <v>733280.89517999999</v>
      </c>
      <c r="E6" s="164">
        <f>'6. NII'!E38</f>
        <v>1614134.912</v>
      </c>
      <c r="F6" s="164">
        <f>'6. NII'!F38</f>
        <v>2435209.1850000001</v>
      </c>
      <c r="G6" s="164">
        <f>'6. NII'!G38</f>
        <v>3296796.9950000001</v>
      </c>
      <c r="H6" s="164">
        <f>'6. NII'!H38</f>
        <v>4456744.9342886657</v>
      </c>
      <c r="I6" s="164">
        <f>'6. NII'!I38</f>
        <v>6273819</v>
      </c>
      <c r="J6" s="164"/>
      <c r="K6" s="164">
        <f>'6. NII'!K38</f>
        <v>297457.33899999998</v>
      </c>
      <c r="L6" s="164">
        <f>'6. NII'!L38</f>
        <v>308984.34700000007</v>
      </c>
      <c r="M6" s="164">
        <f>'6. NII'!M38</f>
        <v>453160.88</v>
      </c>
      <c r="N6" s="164">
        <f>'6. NII'!N38</f>
        <v>554532.3459999999</v>
      </c>
      <c r="O6" s="164">
        <f>'6. NII'!O38</f>
        <v>560444.01500000001</v>
      </c>
      <c r="P6" s="164">
        <f>'6. NII'!P38</f>
        <v>586650.3110000001</v>
      </c>
      <c r="Q6" s="164">
        <f>'6. NII'!Q38</f>
        <v>586724.46700000006</v>
      </c>
      <c r="R6" s="164">
        <f>'6. NII'!R38</f>
        <v>701390.39199999999</v>
      </c>
      <c r="S6" s="164">
        <f>'6. NII'!S38</f>
        <v>726481.12400000007</v>
      </c>
      <c r="T6" s="164">
        <f>'6. NII'!T38</f>
        <v>828266</v>
      </c>
      <c r="U6" s="164">
        <f>'6. NII'!U38</f>
        <v>845216.10796000005</v>
      </c>
      <c r="V6" s="164">
        <f>'6. NII'!V38</f>
        <v>896833.76303999987</v>
      </c>
      <c r="W6" s="164">
        <f>'6. NII'!W38</f>
        <v>992420.72051999974</v>
      </c>
      <c r="X6" s="164">
        <f>'6. NII'!X38</f>
        <v>1041865.72580385</v>
      </c>
      <c r="Y6" s="164">
        <f>'6. NII'!Y38</f>
        <v>1164350.1315736331</v>
      </c>
      <c r="Z6" s="164">
        <f>'6. NII'!Z38</f>
        <v>1258108.3563911831</v>
      </c>
      <c r="AA6" s="164">
        <f>'6. NII'!AA38</f>
        <v>1362594.3</v>
      </c>
      <c r="AB6" s="164">
        <f>'6. NII'!AB38</f>
        <v>1469507</v>
      </c>
      <c r="AC6" s="164">
        <f>'6. NII'!AC38</f>
        <v>1622691</v>
      </c>
      <c r="AD6" s="164">
        <f>'6. NII'!AD38</f>
        <v>1819026.7</v>
      </c>
      <c r="AE6" s="164">
        <f>'6. NII'!AE38</f>
        <v>1881750</v>
      </c>
      <c r="AF6" s="164"/>
      <c r="AG6" s="345">
        <f>AE6/AD6-1</f>
        <v>3.4481791828564257E-2</v>
      </c>
      <c r="AH6" s="345">
        <f>AE6/AA6-1</f>
        <v>0.38100533665816738</v>
      </c>
    </row>
    <row r="7" spans="2:38" ht="13" customHeight="1">
      <c r="B7" s="69" t="str">
        <f>IF('Summary | Sumário'!D$6=Names!B$3,Names!AJ21,Names!AK21)</f>
        <v>(÷) Avg of the last two periods of IEP</v>
      </c>
      <c r="C7" s="526">
        <f>C8</f>
        <v>9386236.3870000001</v>
      </c>
      <c r="D7" s="526">
        <f>(D8+C8)/2</f>
        <v>13213225.605999999</v>
      </c>
      <c r="E7" s="526">
        <f t="shared" ref="E7:I7" si="2">(E8+D8)/2</f>
        <v>23612101.773364998</v>
      </c>
      <c r="F7" s="526">
        <f t="shared" si="2"/>
        <v>33507074.360865001</v>
      </c>
      <c r="G7" s="526">
        <f t="shared" si="2"/>
        <v>42361927.6985</v>
      </c>
      <c r="H7" s="526">
        <f t="shared" si="2"/>
        <v>54062982.359135799</v>
      </c>
      <c r="I7" s="526">
        <f t="shared" si="2"/>
        <v>69529695.035070807</v>
      </c>
      <c r="J7" s="524"/>
      <c r="K7" s="526">
        <f>(K8+D8)/2</f>
        <v>17310715.084649999</v>
      </c>
      <c r="L7" s="177">
        <f>(L8+K8)/2</f>
        <v>21592434.172650002</v>
      </c>
      <c r="M7" s="177">
        <f t="shared" ref="M7:AE7" si="3">(M8+L8)/2</f>
        <v>27032356.149500001</v>
      </c>
      <c r="N7" s="177">
        <f t="shared" si="3"/>
        <v>29322524.009865001</v>
      </c>
      <c r="O7" s="177">
        <f t="shared" si="3"/>
        <v>30199018.860865001</v>
      </c>
      <c r="P7" s="177">
        <f t="shared" si="3"/>
        <v>31044537.699999999</v>
      </c>
      <c r="Q7" s="177">
        <f t="shared" si="3"/>
        <v>33447660.199999999</v>
      </c>
      <c r="R7" s="177">
        <f t="shared" si="3"/>
        <v>35925227</v>
      </c>
      <c r="S7" s="177">
        <f t="shared" si="3"/>
        <v>37291790.193913735</v>
      </c>
      <c r="T7" s="177">
        <f t="shared" si="3"/>
        <v>38731405.577701032</v>
      </c>
      <c r="U7" s="177">
        <f t="shared" si="3"/>
        <v>41491735.610526726</v>
      </c>
      <c r="V7" s="177">
        <f t="shared" si="3"/>
        <v>45583887.925239429</v>
      </c>
      <c r="W7" s="177">
        <f t="shared" si="3"/>
        <v>48304454.505631939</v>
      </c>
      <c r="X7" s="177">
        <f t="shared" si="3"/>
        <v>50593795.179221943</v>
      </c>
      <c r="Y7" s="177">
        <f t="shared" si="3"/>
        <v>53682860.600421786</v>
      </c>
      <c r="Z7" s="177">
        <f t="shared" si="3"/>
        <v>57562806.888967581</v>
      </c>
      <c r="AA7" s="177">
        <f t="shared" si="3"/>
        <v>61631977.1361508</v>
      </c>
      <c r="AB7" s="177">
        <f t="shared" si="3"/>
        <v>64810638.783490002</v>
      </c>
      <c r="AC7" s="177">
        <f t="shared" si="3"/>
        <v>69947342.586594999</v>
      </c>
      <c r="AD7" s="177">
        <f t="shared" si="3"/>
        <v>76066106.653055012</v>
      </c>
      <c r="AE7" s="177">
        <f t="shared" si="3"/>
        <v>78906388.23159501</v>
      </c>
      <c r="AF7" s="178"/>
      <c r="AG7" s="361">
        <f>AE7/AD7-1</f>
        <v>3.733964709794857E-2</v>
      </c>
      <c r="AH7" s="361">
        <f>AE7/AA7-1</f>
        <v>0.28028325389080777</v>
      </c>
    </row>
    <row r="8" spans="2:38" ht="13" customHeight="1">
      <c r="B8" s="64" t="str">
        <f>IF('Summary | Sumário'!D$6=Names!B$3,Names!AJ22,Names!AK22)</f>
        <v>IEP</v>
      </c>
      <c r="C8" s="178">
        <f>'5. IEP'!C23</f>
        <v>9386236.3870000001</v>
      </c>
      <c r="D8" s="178">
        <f>'5. IEP'!D23</f>
        <v>17040214.824999999</v>
      </c>
      <c r="E8" s="178">
        <f>'5. IEP'!E23</f>
        <v>30183988.721730001</v>
      </c>
      <c r="F8" s="178">
        <f>'5. IEP'!F23</f>
        <v>36830160</v>
      </c>
      <c r="G8" s="178">
        <f>'5. IEP'!G23</f>
        <v>47893695.397</v>
      </c>
      <c r="H8" s="178">
        <f>'5. IEP'!H23</f>
        <v>60232269.321271598</v>
      </c>
      <c r="I8" s="178">
        <f>'5. IEP'!I23</f>
        <v>78827120.74887</v>
      </c>
      <c r="J8" s="160"/>
      <c r="K8" s="178">
        <f>'5. IEP'!K23</f>
        <v>17581215.344299998</v>
      </c>
      <c r="L8" s="178">
        <f>'5. IEP'!L23</f>
        <v>25603653.001000002</v>
      </c>
      <c r="M8" s="178">
        <f>'5. IEP'!M23</f>
        <v>28461059.298</v>
      </c>
      <c r="N8" s="178">
        <f>'5. IEP'!N23</f>
        <v>30183988.721730001</v>
      </c>
      <c r="O8" s="178">
        <f>'5. IEP'!O23</f>
        <v>30214049</v>
      </c>
      <c r="P8" s="178">
        <f>'5. IEP'!P23</f>
        <v>31875026.399999999</v>
      </c>
      <c r="Q8" s="178">
        <f>'5. IEP'!Q23</f>
        <v>35020294</v>
      </c>
      <c r="R8" s="178">
        <f>'5. IEP'!R23</f>
        <v>36830160</v>
      </c>
      <c r="S8" s="178">
        <f>'5. IEP'!S23</f>
        <v>37753420.387827471</v>
      </c>
      <c r="T8" s="178">
        <f>'5. IEP'!T23</f>
        <v>39709390.767574593</v>
      </c>
      <c r="U8" s="178">
        <f>'5. IEP'!U23</f>
        <v>43274080.453478865</v>
      </c>
      <c r="V8" s="178">
        <f>'5. IEP'!V23</f>
        <v>47893695.397</v>
      </c>
      <c r="W8" s="178">
        <f>'5. IEP'!W23</f>
        <v>48715213.614263885</v>
      </c>
      <c r="X8" s="178">
        <f>'5. IEP'!X23</f>
        <v>52472376.744180001</v>
      </c>
      <c r="Y8" s="178">
        <f>'5. IEP'!Y23</f>
        <v>54893344.456663564</v>
      </c>
      <c r="Z8" s="178">
        <f>'5. IEP'!Z23</f>
        <v>60232269.321271598</v>
      </c>
      <c r="AA8" s="178">
        <f>'5. IEP'!AA23</f>
        <v>63031684.951030001</v>
      </c>
      <c r="AB8" s="178">
        <f>'5. IEP'!AB23</f>
        <v>66589592.615950003</v>
      </c>
      <c r="AC8" s="178">
        <f>'5. IEP'!AC23</f>
        <v>73305092.557240009</v>
      </c>
      <c r="AD8" s="178">
        <f>'5. IEP'!AD23</f>
        <v>78827120.74887</v>
      </c>
      <c r="AE8" s="178">
        <f>'5. IEP'!AE23</f>
        <v>78985655.714320004</v>
      </c>
      <c r="AF8" s="178"/>
      <c r="AG8" s="366">
        <f>AE8/AD8-1</f>
        <v>2.0111728545189056E-3</v>
      </c>
      <c r="AH8" s="366">
        <f>AE8/AA8-1</f>
        <v>0.25311033293310836</v>
      </c>
    </row>
    <row r="9" spans="2:38" ht="13" customHeight="1">
      <c r="B9" s="274" t="str">
        <f>IF('Summary | Sumário'!D$6=Names!B$3,Names!Q7,Names!R7)</f>
        <v>NIM 2.0 (%)</v>
      </c>
      <c r="C9" s="309">
        <f t="shared" ref="C9:H9" si="4">C5/C7</f>
        <v>6.3020680026689813E-2</v>
      </c>
      <c r="D9" s="309">
        <f t="shared" si="4"/>
        <v>5.5495979335055338E-2</v>
      </c>
      <c r="E9" s="309">
        <f t="shared" si="4"/>
        <v>6.8360492746172299E-2</v>
      </c>
      <c r="F9" s="309">
        <f t="shared" si="4"/>
        <v>7.267746383265955E-2</v>
      </c>
      <c r="G9" s="309">
        <f t="shared" si="4"/>
        <v>7.7824527213777778E-2</v>
      </c>
      <c r="H9" s="309">
        <f t="shared" si="4"/>
        <v>8.2436165002568437E-2</v>
      </c>
      <c r="I9" s="309">
        <f t="shared" ref="I9" si="5">I5/I7</f>
        <v>9.0232223754691906E-2</v>
      </c>
      <c r="J9" s="321"/>
      <c r="K9" s="309">
        <f t="shared" ref="K9:AA9" si="6">K5/K7</f>
        <v>6.8733691830851179E-2</v>
      </c>
      <c r="L9" s="309">
        <f t="shared" si="6"/>
        <v>5.7239372741286251E-2</v>
      </c>
      <c r="M9" s="309">
        <f t="shared" si="6"/>
        <v>6.7054588581747704E-2</v>
      </c>
      <c r="N9" s="309">
        <f t="shared" si="6"/>
        <v>7.5645922678885091E-2</v>
      </c>
      <c r="O9" s="309">
        <f t="shared" si="6"/>
        <v>7.4233407062940196E-2</v>
      </c>
      <c r="P9" s="309">
        <f t="shared" si="6"/>
        <v>7.5588216731602362E-2</v>
      </c>
      <c r="Q9" s="309">
        <f t="shared" si="6"/>
        <v>7.0166279314210447E-2</v>
      </c>
      <c r="R9" s="309">
        <f t="shared" si="6"/>
        <v>7.8094470161594251E-2</v>
      </c>
      <c r="S9" s="309">
        <f t="shared" si="6"/>
        <v>7.7923974174730459E-2</v>
      </c>
      <c r="T9" s="309">
        <f t="shared" si="6"/>
        <v>8.5539472440613981E-2</v>
      </c>
      <c r="U9" s="309">
        <f t="shared" si="6"/>
        <v>8.1482839464113735E-2</v>
      </c>
      <c r="V9" s="309">
        <f t="shared" si="6"/>
        <v>7.8697434892860935E-2</v>
      </c>
      <c r="W9" s="309">
        <f t="shared" si="6"/>
        <v>8.2180472229888515E-2</v>
      </c>
      <c r="X9" s="309">
        <f t="shared" si="6"/>
        <v>8.2371027681412398E-2</v>
      </c>
      <c r="Y9" s="309">
        <f t="shared" si="6"/>
        <v>8.6757681580365315E-2</v>
      </c>
      <c r="Z9" s="309">
        <f t="shared" si="6"/>
        <v>8.7425087440085245E-2</v>
      </c>
      <c r="AA9" s="309">
        <f t="shared" si="6"/>
        <v>8.8434242308333022E-2</v>
      </c>
      <c r="AB9" s="309">
        <f t="shared" ref="AB9:AC9" si="7">AB5/AB7</f>
        <v>9.0695418380868989E-2</v>
      </c>
      <c r="AC9" s="309">
        <f t="shared" si="7"/>
        <v>9.279500492766278E-2</v>
      </c>
      <c r="AD9" s="309">
        <f t="shared" ref="AD9:AE9" si="8">AD5/AD7</f>
        <v>9.5655044278617249E-2</v>
      </c>
      <c r="AE9" s="309">
        <f t="shared" si="8"/>
        <v>9.5391516057075132E-2</v>
      </c>
      <c r="AF9" s="321"/>
      <c r="AG9" s="370">
        <f>(AE9-AD9)*100</f>
        <v>-2.6352822154211697E-2</v>
      </c>
      <c r="AH9" s="370">
        <f>(AE9-AA9)*100</f>
        <v>0.69572737487421099</v>
      </c>
      <c r="AJ9" s="154"/>
      <c r="AK9" s="154"/>
    </row>
    <row r="10" spans="2:38" ht="13" customHeight="1">
      <c r="B10" s="4"/>
    </row>
    <row r="11" spans="2:38" ht="13" customHeight="1">
      <c r="B11" s="23" t="str">
        <f>IF('Summary | Sumário'!D$6=Names!B$3,Names!Q9,Names!R9)</f>
        <v>Risk-Adjusted NIM 2.0 (%)</v>
      </c>
      <c r="C11" s="310"/>
      <c r="D11" s="310"/>
      <c r="E11" s="310"/>
      <c r="F11" s="310"/>
      <c r="G11" s="310"/>
      <c r="H11" s="310"/>
      <c r="I11" s="310"/>
      <c r="J11" s="167"/>
      <c r="K11" s="310"/>
      <c r="L11" s="310"/>
      <c r="M11" s="310"/>
      <c r="N11" s="310"/>
      <c r="O11" s="310"/>
      <c r="P11" s="310"/>
      <c r="Q11" s="310"/>
      <c r="R11" s="310"/>
      <c r="S11" s="310"/>
      <c r="T11" s="310"/>
      <c r="U11" s="310"/>
      <c r="V11" s="310"/>
      <c r="W11" s="310"/>
      <c r="X11" s="310"/>
      <c r="Y11" s="310"/>
      <c r="Z11" s="310"/>
      <c r="AA11" s="310"/>
      <c r="AB11" s="310"/>
      <c r="AC11" s="310"/>
      <c r="AD11" s="310"/>
      <c r="AE11" s="310"/>
      <c r="AF11" s="167"/>
      <c r="AG11" s="310"/>
      <c r="AH11" s="310"/>
    </row>
    <row r="12" spans="2:38" ht="13" customHeight="1">
      <c r="B12" s="279" t="str">
        <f>IF('Summary | Sumário'!D$6=Names!B$3,Names!AJ32,Names!AK32)</f>
        <v>Annualized NII after impairment losses on financial assets</v>
      </c>
      <c r="C12" s="280">
        <f>C13</f>
        <v>452957</v>
      </c>
      <c r="D12" s="280">
        <f>D13</f>
        <v>519592.89517999999</v>
      </c>
      <c r="E12" s="280">
        <f t="shared" ref="E12:I12" si="9">E13</f>
        <v>1018553.912</v>
      </c>
      <c r="F12" s="280">
        <f t="shared" si="9"/>
        <v>1351972.1850000001</v>
      </c>
      <c r="G12" s="280">
        <f t="shared" si="9"/>
        <v>1755212.9950000001</v>
      </c>
      <c r="H12" s="280">
        <f t="shared" si="9"/>
        <v>2657292.5982886655</v>
      </c>
      <c r="I12" s="280">
        <f t="shared" si="9"/>
        <v>3857466</v>
      </c>
      <c r="J12" s="164"/>
      <c r="K12" s="280">
        <f>K13*4</f>
        <v>763153.35599999991</v>
      </c>
      <c r="L12" s="280">
        <f t="shared" ref="L12:AE12" si="10">L13*4</f>
        <v>566173.38800000027</v>
      </c>
      <c r="M12" s="280">
        <f t="shared" si="10"/>
        <v>1260623.52</v>
      </c>
      <c r="N12" s="280">
        <f t="shared" si="10"/>
        <v>1484265.3839999996</v>
      </c>
      <c r="O12" s="280">
        <f t="shared" si="10"/>
        <v>989992.06</v>
      </c>
      <c r="P12" s="280">
        <f t="shared" si="10"/>
        <v>1376745.2440000004</v>
      </c>
      <c r="Q12" s="280">
        <f t="shared" si="10"/>
        <v>1294445.8680000002</v>
      </c>
      <c r="R12" s="280">
        <f t="shared" si="10"/>
        <v>1746705.568</v>
      </c>
      <c r="S12" s="280">
        <f t="shared" si="10"/>
        <v>1503200.4960000003</v>
      </c>
      <c r="T12" s="280">
        <f t="shared" si="10"/>
        <v>1718824</v>
      </c>
      <c r="U12" s="280">
        <f t="shared" si="10"/>
        <v>1749268.4318400002</v>
      </c>
      <c r="V12" s="280">
        <f t="shared" si="10"/>
        <v>2049559.0521599995</v>
      </c>
      <c r="W12" s="280">
        <f t="shared" si="10"/>
        <v>2325490.882079999</v>
      </c>
      <c r="X12" s="280">
        <f t="shared" si="10"/>
        <v>2482472.2592153996</v>
      </c>
      <c r="Y12" s="280">
        <f t="shared" si="10"/>
        <v>2771693.9262945321</v>
      </c>
      <c r="Z12" s="280">
        <f t="shared" si="10"/>
        <v>3049513.3255647337</v>
      </c>
      <c r="AA12" s="280">
        <f t="shared" si="10"/>
        <v>3395651.6</v>
      </c>
      <c r="AB12" s="280">
        <f t="shared" si="10"/>
        <v>3601032</v>
      </c>
      <c r="AC12" s="280">
        <f t="shared" si="10"/>
        <v>3927580</v>
      </c>
      <c r="AD12" s="280">
        <f t="shared" si="10"/>
        <v>4505600.3999999994</v>
      </c>
      <c r="AE12" s="280">
        <f t="shared" si="10"/>
        <v>4401928</v>
      </c>
      <c r="AF12" s="164"/>
      <c r="AG12" s="348">
        <f t="shared" ref="AG12:AG17" si="11">AE12/AD12-1</f>
        <v>-2.3009674803828428E-2</v>
      </c>
      <c r="AH12" s="348">
        <f t="shared" ref="AH12:AH17" si="12">AE12/AA12-1</f>
        <v>0.29634265187865561</v>
      </c>
    </row>
    <row r="13" spans="2:38" ht="13" customHeight="1">
      <c r="B13" s="59" t="str">
        <f>IF('Summary | Sumário'!D$6=Names!B$3,Names!AJ33,Names!AK33)</f>
        <v>NII after impairment losses on financial assets</v>
      </c>
      <c r="C13" s="159">
        <f>C14+C15</f>
        <v>452957</v>
      </c>
      <c r="D13" s="159">
        <f t="shared" ref="D13:H13" si="13">D14+D15</f>
        <v>519592.89517999999</v>
      </c>
      <c r="E13" s="159">
        <f t="shared" si="13"/>
        <v>1018553.912</v>
      </c>
      <c r="F13" s="159">
        <f t="shared" si="13"/>
        <v>1351972.1850000001</v>
      </c>
      <c r="G13" s="159">
        <f t="shared" si="13"/>
        <v>1755212.9950000001</v>
      </c>
      <c r="H13" s="159">
        <f t="shared" si="13"/>
        <v>2657292.5982886655</v>
      </c>
      <c r="I13" s="159">
        <f t="shared" ref="I13" si="14">I14+I15</f>
        <v>3857466</v>
      </c>
      <c r="J13" s="164"/>
      <c r="K13" s="159">
        <f t="shared" ref="K13:AA13" si="15">K14+K15</f>
        <v>190788.33899999998</v>
      </c>
      <c r="L13" s="159">
        <f t="shared" si="15"/>
        <v>141543.34700000007</v>
      </c>
      <c r="M13" s="159">
        <f t="shared" si="15"/>
        <v>315155.88</v>
      </c>
      <c r="N13" s="159">
        <f t="shared" si="15"/>
        <v>371066.3459999999</v>
      </c>
      <c r="O13" s="159">
        <f t="shared" si="15"/>
        <v>247498.01500000001</v>
      </c>
      <c r="P13" s="159">
        <f t="shared" si="15"/>
        <v>344186.3110000001</v>
      </c>
      <c r="Q13" s="159">
        <f t="shared" si="15"/>
        <v>323611.46700000006</v>
      </c>
      <c r="R13" s="159">
        <f t="shared" si="15"/>
        <v>436676.39199999999</v>
      </c>
      <c r="S13" s="159">
        <f t="shared" si="15"/>
        <v>375800.12400000007</v>
      </c>
      <c r="T13" s="159">
        <f t="shared" si="15"/>
        <v>429706</v>
      </c>
      <c r="U13" s="159">
        <f t="shared" si="15"/>
        <v>437317.10796000005</v>
      </c>
      <c r="V13" s="159">
        <f t="shared" si="15"/>
        <v>512389.76303999987</v>
      </c>
      <c r="W13" s="159">
        <f t="shared" si="15"/>
        <v>581372.72051999974</v>
      </c>
      <c r="X13" s="159">
        <f t="shared" si="15"/>
        <v>620618.06480384991</v>
      </c>
      <c r="Y13" s="159">
        <f t="shared" si="15"/>
        <v>692923.48157363303</v>
      </c>
      <c r="Z13" s="159">
        <f t="shared" si="15"/>
        <v>762378.33139118343</v>
      </c>
      <c r="AA13" s="159">
        <f t="shared" si="15"/>
        <v>848912.9</v>
      </c>
      <c r="AB13" s="159">
        <f t="shared" ref="AB13:AC13" si="16">AB14+AB15</f>
        <v>900258</v>
      </c>
      <c r="AC13" s="159">
        <f t="shared" si="16"/>
        <v>981895</v>
      </c>
      <c r="AD13" s="159">
        <f t="shared" ref="AD13:AE13" si="17">AD14+AD15</f>
        <v>1126400.0999999999</v>
      </c>
      <c r="AE13" s="159">
        <f t="shared" si="17"/>
        <v>1100482</v>
      </c>
      <c r="AF13" s="164"/>
      <c r="AG13" s="346">
        <f t="shared" si="11"/>
        <v>-2.3009674803828428E-2</v>
      </c>
      <c r="AH13" s="346">
        <f t="shared" si="12"/>
        <v>0.29634265187865561</v>
      </c>
    </row>
    <row r="14" spans="2:38" ht="13" customHeight="1">
      <c r="B14" s="62" t="str">
        <f>IF('Summary | Sumário'!D$6=Names!B$3,Names!AJ5,Names!AK5)</f>
        <v>NII</v>
      </c>
      <c r="C14" s="178">
        <f>C6</f>
        <v>591527</v>
      </c>
      <c r="D14" s="178">
        <f t="shared" ref="D14:AA14" si="18">D6</f>
        <v>733280.89517999999</v>
      </c>
      <c r="E14" s="178">
        <f t="shared" si="18"/>
        <v>1614134.912</v>
      </c>
      <c r="F14" s="178">
        <f t="shared" si="18"/>
        <v>2435209.1850000001</v>
      </c>
      <c r="G14" s="178">
        <f t="shared" si="18"/>
        <v>3296796.9950000001</v>
      </c>
      <c r="H14" s="178">
        <f t="shared" si="18"/>
        <v>4456744.9342886657</v>
      </c>
      <c r="I14" s="178">
        <f t="shared" ref="I14" si="19">I6</f>
        <v>6273819</v>
      </c>
      <c r="J14" s="160"/>
      <c r="K14" s="178">
        <f t="shared" si="18"/>
        <v>297457.33899999998</v>
      </c>
      <c r="L14" s="178">
        <f t="shared" si="18"/>
        <v>308984.34700000007</v>
      </c>
      <c r="M14" s="178">
        <f t="shared" si="18"/>
        <v>453160.88</v>
      </c>
      <c r="N14" s="178">
        <f t="shared" si="18"/>
        <v>554532.3459999999</v>
      </c>
      <c r="O14" s="178">
        <f t="shared" si="18"/>
        <v>560444.01500000001</v>
      </c>
      <c r="P14" s="178">
        <f t="shared" si="18"/>
        <v>586650.3110000001</v>
      </c>
      <c r="Q14" s="178">
        <f t="shared" si="18"/>
        <v>586724.46700000006</v>
      </c>
      <c r="R14" s="178">
        <f t="shared" si="18"/>
        <v>701390.39199999999</v>
      </c>
      <c r="S14" s="178">
        <f t="shared" si="18"/>
        <v>726481.12400000007</v>
      </c>
      <c r="T14" s="178">
        <f t="shared" si="18"/>
        <v>828266</v>
      </c>
      <c r="U14" s="178">
        <f t="shared" si="18"/>
        <v>845216.10796000005</v>
      </c>
      <c r="V14" s="178">
        <f t="shared" si="18"/>
        <v>896833.76303999987</v>
      </c>
      <c r="W14" s="178">
        <f t="shared" si="18"/>
        <v>992420.72051999974</v>
      </c>
      <c r="X14" s="178">
        <f t="shared" si="18"/>
        <v>1041865.72580385</v>
      </c>
      <c r="Y14" s="178">
        <f t="shared" si="18"/>
        <v>1164350.1315736331</v>
      </c>
      <c r="Z14" s="178">
        <f t="shared" si="18"/>
        <v>1258108.3563911831</v>
      </c>
      <c r="AA14" s="178">
        <f t="shared" si="18"/>
        <v>1362594.3</v>
      </c>
      <c r="AB14" s="178">
        <f t="shared" ref="AB14:AC14" si="20">AB6</f>
        <v>1469507</v>
      </c>
      <c r="AC14" s="178">
        <f t="shared" si="20"/>
        <v>1622691</v>
      </c>
      <c r="AD14" s="178">
        <f t="shared" ref="AD14:AE14" si="21">AD6</f>
        <v>1819026.7</v>
      </c>
      <c r="AE14" s="178">
        <f t="shared" si="21"/>
        <v>1881750</v>
      </c>
      <c r="AF14" s="178"/>
      <c r="AG14" s="366">
        <f t="shared" si="11"/>
        <v>3.4481791828564257E-2</v>
      </c>
      <c r="AH14" s="366">
        <f t="shared" si="12"/>
        <v>0.38100533665816738</v>
      </c>
    </row>
    <row r="15" spans="2:38" ht="13" customHeight="1">
      <c r="B15" s="67" t="str">
        <f>IF('Summary | Sumário'!D$6=Names!B$3,Names!AJ34,Names!AK34)</f>
        <v>Impairment losses on financial assets</v>
      </c>
      <c r="C15" s="177">
        <v>-138570</v>
      </c>
      <c r="D15" s="177">
        <v>-213688</v>
      </c>
      <c r="E15" s="177">
        <v>-595581</v>
      </c>
      <c r="F15" s="177">
        <v>-1083237</v>
      </c>
      <c r="G15" s="177">
        <v>-1541584</v>
      </c>
      <c r="H15" s="177">
        <v>-1799452.3359999999</v>
      </c>
      <c r="I15" s="177">
        <v>-2416353</v>
      </c>
      <c r="J15" s="160"/>
      <c r="K15" s="177">
        <v>-106669</v>
      </c>
      <c r="L15" s="177">
        <v>-167441</v>
      </c>
      <c r="M15" s="177">
        <v>-138005</v>
      </c>
      <c r="N15" s="177">
        <v>-183466</v>
      </c>
      <c r="O15" s="177">
        <v>-312946</v>
      </c>
      <c r="P15" s="177">
        <v>-242464</v>
      </c>
      <c r="Q15" s="177">
        <v>-263113</v>
      </c>
      <c r="R15" s="177">
        <v>-264714</v>
      </c>
      <c r="S15" s="177">
        <v>-350681</v>
      </c>
      <c r="T15" s="177">
        <v>-398560</v>
      </c>
      <c r="U15" s="177">
        <v>-407899</v>
      </c>
      <c r="V15" s="177">
        <v>-384444</v>
      </c>
      <c r="W15" s="177">
        <v>-411048</v>
      </c>
      <c r="X15" s="177">
        <v>-421247.66100000002</v>
      </c>
      <c r="Y15" s="177">
        <v>-471426.65</v>
      </c>
      <c r="Z15" s="177">
        <v>-495730.02499999967</v>
      </c>
      <c r="AA15" s="177">
        <v>-513681.4</v>
      </c>
      <c r="AB15" s="177">
        <v>-569249</v>
      </c>
      <c r="AC15" s="177">
        <v>-640796</v>
      </c>
      <c r="AD15" s="177">
        <v>-692626.60000000009</v>
      </c>
      <c r="AE15" s="177">
        <v>-781268</v>
      </c>
      <c r="AF15" s="178"/>
      <c r="AG15" s="361">
        <f t="shared" si="11"/>
        <v>0.12797862513510161</v>
      </c>
      <c r="AH15" s="361">
        <f t="shared" si="12"/>
        <v>0.52091938699746576</v>
      </c>
    </row>
    <row r="16" spans="2:38" ht="13" customHeight="1">
      <c r="B16" s="63" t="str">
        <f>IF('Summary | Sumário'!D$6=Names!B$3,Names!AJ21,Names!AK21)</f>
        <v>(÷) Avg of the last two periods of IEP</v>
      </c>
      <c r="C16" s="571">
        <f>C17</f>
        <v>9386236.3870000001</v>
      </c>
      <c r="D16" s="571">
        <f>(D17+C17)/2</f>
        <v>13213225.605999999</v>
      </c>
      <c r="E16" s="571">
        <f t="shared" ref="E16:I16" si="22">(E17+D17)/2</f>
        <v>23612101.773364998</v>
      </c>
      <c r="F16" s="571">
        <f t="shared" si="22"/>
        <v>33507074.360865001</v>
      </c>
      <c r="G16" s="571">
        <f t="shared" si="22"/>
        <v>42361927.6985</v>
      </c>
      <c r="H16" s="571">
        <f t="shared" si="22"/>
        <v>54062982.359135799</v>
      </c>
      <c r="I16" s="571">
        <f t="shared" si="22"/>
        <v>69529695.035070807</v>
      </c>
      <c r="J16" s="524"/>
      <c r="K16" s="571">
        <f>(K17+D17)/2</f>
        <v>17310715.084649999</v>
      </c>
      <c r="L16" s="178">
        <f>(L17+K17)/2</f>
        <v>21592434.172650002</v>
      </c>
      <c r="M16" s="178">
        <f t="shared" ref="M16:AE16" si="23">(M17+L17)/2</f>
        <v>27032356.149500001</v>
      </c>
      <c r="N16" s="178">
        <f t="shared" si="23"/>
        <v>29322524.009865001</v>
      </c>
      <c r="O16" s="178">
        <f t="shared" si="23"/>
        <v>30199018.860865001</v>
      </c>
      <c r="P16" s="178">
        <f t="shared" si="23"/>
        <v>31044537.699999999</v>
      </c>
      <c r="Q16" s="178">
        <f t="shared" si="23"/>
        <v>33447660.199999999</v>
      </c>
      <c r="R16" s="178">
        <f t="shared" si="23"/>
        <v>35925227</v>
      </c>
      <c r="S16" s="178">
        <f t="shared" si="23"/>
        <v>37291790.193913735</v>
      </c>
      <c r="T16" s="178">
        <f t="shared" si="23"/>
        <v>38731405.577701032</v>
      </c>
      <c r="U16" s="178">
        <f t="shared" si="23"/>
        <v>41491735.610526726</v>
      </c>
      <c r="V16" s="178">
        <f t="shared" si="23"/>
        <v>45583887.925239429</v>
      </c>
      <c r="W16" s="178">
        <f t="shared" si="23"/>
        <v>48304454.505631939</v>
      </c>
      <c r="X16" s="178">
        <f t="shared" si="23"/>
        <v>50593795.179221943</v>
      </c>
      <c r="Y16" s="178">
        <f t="shared" si="23"/>
        <v>53682860.600421786</v>
      </c>
      <c r="Z16" s="178">
        <f t="shared" si="23"/>
        <v>57562806.888967581</v>
      </c>
      <c r="AA16" s="178">
        <f t="shared" si="23"/>
        <v>61631977.1361508</v>
      </c>
      <c r="AB16" s="178">
        <f t="shared" si="23"/>
        <v>64810638.783490002</v>
      </c>
      <c r="AC16" s="178">
        <f t="shared" si="23"/>
        <v>69947342.586594999</v>
      </c>
      <c r="AD16" s="178">
        <f t="shared" si="23"/>
        <v>76066106.653055012</v>
      </c>
      <c r="AE16" s="178">
        <f t="shared" si="23"/>
        <v>78906388.23159501</v>
      </c>
      <c r="AF16" s="178"/>
      <c r="AG16" s="366">
        <f t="shared" si="11"/>
        <v>3.733964709794857E-2</v>
      </c>
      <c r="AH16" s="366">
        <f t="shared" si="12"/>
        <v>0.28028325389080777</v>
      </c>
    </row>
    <row r="17" spans="2:37" ht="13" customHeight="1">
      <c r="B17" s="68" t="str">
        <f>IF('Summary | Sumário'!D$6=Names!B$3,Names!AJ22,Names!AK22)</f>
        <v>IEP</v>
      </c>
      <c r="C17" s="177">
        <f>C8</f>
        <v>9386236.3870000001</v>
      </c>
      <c r="D17" s="177">
        <f t="shared" ref="D17:AA17" si="24">D8</f>
        <v>17040214.824999999</v>
      </c>
      <c r="E17" s="177">
        <f t="shared" si="24"/>
        <v>30183988.721730001</v>
      </c>
      <c r="F17" s="177">
        <f t="shared" si="24"/>
        <v>36830160</v>
      </c>
      <c r="G17" s="177">
        <f t="shared" si="24"/>
        <v>47893695.397</v>
      </c>
      <c r="H17" s="177">
        <f t="shared" si="24"/>
        <v>60232269.321271598</v>
      </c>
      <c r="I17" s="177">
        <f t="shared" ref="I17" si="25">I8</f>
        <v>78827120.74887</v>
      </c>
      <c r="J17" s="160"/>
      <c r="K17" s="177">
        <f t="shared" si="24"/>
        <v>17581215.344299998</v>
      </c>
      <c r="L17" s="177">
        <f t="shared" si="24"/>
        <v>25603653.001000002</v>
      </c>
      <c r="M17" s="177">
        <f t="shared" si="24"/>
        <v>28461059.298</v>
      </c>
      <c r="N17" s="177">
        <f t="shared" si="24"/>
        <v>30183988.721730001</v>
      </c>
      <c r="O17" s="177">
        <f t="shared" si="24"/>
        <v>30214049</v>
      </c>
      <c r="P17" s="177">
        <f t="shared" si="24"/>
        <v>31875026.399999999</v>
      </c>
      <c r="Q17" s="177">
        <f t="shared" si="24"/>
        <v>35020294</v>
      </c>
      <c r="R17" s="177">
        <f t="shared" si="24"/>
        <v>36830160</v>
      </c>
      <c r="S17" s="177">
        <f t="shared" si="24"/>
        <v>37753420.387827471</v>
      </c>
      <c r="T17" s="177">
        <f t="shared" si="24"/>
        <v>39709390.767574593</v>
      </c>
      <c r="U17" s="177">
        <f t="shared" si="24"/>
        <v>43274080.453478865</v>
      </c>
      <c r="V17" s="177">
        <f t="shared" si="24"/>
        <v>47893695.397</v>
      </c>
      <c r="W17" s="177">
        <f t="shared" si="24"/>
        <v>48715213.614263885</v>
      </c>
      <c r="X17" s="177">
        <f t="shared" si="24"/>
        <v>52472376.744180001</v>
      </c>
      <c r="Y17" s="177">
        <f t="shared" si="24"/>
        <v>54893344.456663564</v>
      </c>
      <c r="Z17" s="177">
        <f t="shared" si="24"/>
        <v>60232269.321271598</v>
      </c>
      <c r="AA17" s="177">
        <f t="shared" si="24"/>
        <v>63031684.951030001</v>
      </c>
      <c r="AB17" s="177">
        <f t="shared" ref="AB17:AC17" si="26">AB8</f>
        <v>66589592.615950003</v>
      </c>
      <c r="AC17" s="177">
        <f t="shared" si="26"/>
        <v>73305092.557240009</v>
      </c>
      <c r="AD17" s="177">
        <f t="shared" ref="AD17:AE17" si="27">AD8</f>
        <v>78827120.74887</v>
      </c>
      <c r="AE17" s="177">
        <f t="shared" si="27"/>
        <v>78985655.714320004</v>
      </c>
      <c r="AF17" s="178"/>
      <c r="AG17" s="361">
        <f t="shared" si="11"/>
        <v>2.0111728545189056E-3</v>
      </c>
      <c r="AH17" s="361">
        <f t="shared" si="12"/>
        <v>0.25311033293310836</v>
      </c>
    </row>
    <row r="18" spans="2:37" ht="13" customHeight="1">
      <c r="B18" s="275" t="str">
        <f>IF('Summary | Sumário'!D$6=Names!B$3,Names!Q10,Names!R10)</f>
        <v>Risk-adjusted NIM 2.0 (%)</v>
      </c>
      <c r="C18" s="289">
        <f t="shared" ref="C18:F18" si="28">C12/C16</f>
        <v>4.8257574316724908E-2</v>
      </c>
      <c r="D18" s="289">
        <f t="shared" si="28"/>
        <v>3.9323698139541174E-2</v>
      </c>
      <c r="E18" s="289">
        <f t="shared" si="28"/>
        <v>4.3136944003390354E-2</v>
      </c>
      <c r="F18" s="289">
        <f t="shared" si="28"/>
        <v>4.034885798859994E-2</v>
      </c>
      <c r="G18" s="289">
        <f>G12/G16</f>
        <v>4.1433737564831138E-2</v>
      </c>
      <c r="H18" s="289">
        <f>H12/H16</f>
        <v>4.9151794487335095E-2</v>
      </c>
      <c r="I18" s="289">
        <f>I12/I16</f>
        <v>5.5479403412517378E-2</v>
      </c>
      <c r="J18" s="321"/>
      <c r="K18" s="289">
        <f t="shared" ref="K18:AA18" si="29">K12/K16</f>
        <v>4.4085605491636447E-2</v>
      </c>
      <c r="L18" s="289">
        <f t="shared" si="29"/>
        <v>2.6220915320290392E-2</v>
      </c>
      <c r="M18" s="289">
        <f t="shared" si="29"/>
        <v>4.6633875087625939E-2</v>
      </c>
      <c r="N18" s="289">
        <f t="shared" si="29"/>
        <v>5.061860921319894E-2</v>
      </c>
      <c r="O18" s="289">
        <f t="shared" si="29"/>
        <v>3.2782259071434061E-2</v>
      </c>
      <c r="P18" s="289">
        <f t="shared" si="29"/>
        <v>4.4347422960658245E-2</v>
      </c>
      <c r="Q18" s="289">
        <f t="shared" si="29"/>
        <v>3.8700640351518531E-2</v>
      </c>
      <c r="R18" s="289">
        <f t="shared" si="29"/>
        <v>4.8620585417595272E-2</v>
      </c>
      <c r="S18" s="289">
        <f t="shared" si="29"/>
        <v>4.0309153521016335E-2</v>
      </c>
      <c r="T18" s="289">
        <f t="shared" si="29"/>
        <v>4.4378043460152256E-2</v>
      </c>
      <c r="U18" s="289">
        <f t="shared" si="29"/>
        <v>4.2159442262429708E-2</v>
      </c>
      <c r="V18" s="289">
        <f t="shared" si="29"/>
        <v>4.4962357215369848E-2</v>
      </c>
      <c r="W18" s="289">
        <f t="shared" si="29"/>
        <v>4.8142369184789452E-2</v>
      </c>
      <c r="X18" s="289">
        <f t="shared" si="29"/>
        <v>4.9066733389372438E-2</v>
      </c>
      <c r="Y18" s="289">
        <f t="shared" si="29"/>
        <v>5.163089103848454E-2</v>
      </c>
      <c r="Z18" s="289">
        <f t="shared" si="29"/>
        <v>5.2977147751792485E-2</v>
      </c>
      <c r="AA18" s="289">
        <f t="shared" si="29"/>
        <v>5.5095613637360492E-2</v>
      </c>
      <c r="AB18" s="289">
        <f t="shared" ref="AB18:AC18" si="30">AB12/AB16</f>
        <v>5.5562359322360734E-2</v>
      </c>
      <c r="AC18" s="289">
        <f t="shared" si="30"/>
        <v>5.615052487716235E-2</v>
      </c>
      <c r="AD18" s="289">
        <f t="shared" ref="AD18:AE18" si="31">AD12/AD16</f>
        <v>5.9232693748222001E-2</v>
      </c>
      <c r="AE18" s="289">
        <f t="shared" si="31"/>
        <v>5.578671256730286E-2</v>
      </c>
      <c r="AF18" s="321"/>
      <c r="AG18" s="369">
        <f>(AE18-AD18)*100</f>
        <v>-0.34459811809191415</v>
      </c>
      <c r="AH18" s="369">
        <f>(AE18-AA18)*100</f>
        <v>6.9109892994236727E-2</v>
      </c>
    </row>
    <row r="19" spans="2:37" ht="13" customHeight="1">
      <c r="B19" s="23"/>
      <c r="C19" s="656"/>
      <c r="D19" s="656"/>
      <c r="E19" s="656"/>
      <c r="F19" s="656"/>
      <c r="G19" s="656"/>
      <c r="H19" s="656"/>
      <c r="I19" s="656"/>
      <c r="J19" s="321"/>
      <c r="K19" s="656"/>
      <c r="L19" s="656"/>
      <c r="M19" s="656"/>
      <c r="N19" s="656"/>
      <c r="O19" s="656"/>
      <c r="P19" s="656"/>
      <c r="Q19" s="656"/>
      <c r="R19" s="656"/>
      <c r="S19" s="656"/>
      <c r="T19" s="656"/>
      <c r="U19" s="656"/>
      <c r="V19" s="656"/>
      <c r="W19" s="656"/>
      <c r="X19" s="656"/>
      <c r="Y19" s="656"/>
      <c r="Z19" s="656"/>
      <c r="AA19" s="656"/>
      <c r="AB19" s="656"/>
      <c r="AC19" s="656"/>
      <c r="AD19" s="656"/>
      <c r="AE19" s="656"/>
      <c r="AF19" s="321"/>
      <c r="AG19" s="657"/>
      <c r="AH19" s="657"/>
    </row>
    <row r="20" spans="2:37" ht="13" customHeight="1">
      <c r="B20" s="3" t="str">
        <f>IF('Summary | Sumário'!D$6=Names!B$3,Names!Q18,Names!R18)</f>
        <v>NIM 1.0 (%)</v>
      </c>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row>
    <row r="21" spans="2:37" ht="13" customHeight="1">
      <c r="B21" s="276" t="str">
        <f>B5</f>
        <v>Annualized NII</v>
      </c>
      <c r="C21" s="277">
        <f>C5</f>
        <v>591527</v>
      </c>
      <c r="D21" s="277">
        <f t="shared" ref="D21:H21" si="32">D5</f>
        <v>733280.89517999999</v>
      </c>
      <c r="E21" s="277">
        <f t="shared" si="32"/>
        <v>1614134.912</v>
      </c>
      <c r="F21" s="277">
        <f t="shared" si="32"/>
        <v>2435209.1850000001</v>
      </c>
      <c r="G21" s="277">
        <f t="shared" si="32"/>
        <v>3296796.9950000001</v>
      </c>
      <c r="H21" s="277">
        <f t="shared" si="32"/>
        <v>4456744.9342886657</v>
      </c>
      <c r="I21" s="277">
        <f t="shared" ref="I21" si="33">I5</f>
        <v>6273819</v>
      </c>
      <c r="J21" s="164"/>
      <c r="K21" s="277">
        <f t="shared" ref="K21:AA21" si="34">K5</f>
        <v>1189829.3559999999</v>
      </c>
      <c r="L21" s="277">
        <f t="shared" si="34"/>
        <v>1235937.3880000003</v>
      </c>
      <c r="M21" s="277">
        <f t="shared" si="34"/>
        <v>1812643.52</v>
      </c>
      <c r="N21" s="277">
        <f t="shared" si="34"/>
        <v>2218129.3839999996</v>
      </c>
      <c r="O21" s="277">
        <f t="shared" si="34"/>
        <v>2241776.06</v>
      </c>
      <c r="P21" s="277">
        <f t="shared" si="34"/>
        <v>2346601.2440000004</v>
      </c>
      <c r="Q21" s="277">
        <f t="shared" si="34"/>
        <v>2346897.8680000002</v>
      </c>
      <c r="R21" s="277">
        <f t="shared" si="34"/>
        <v>2805561.568</v>
      </c>
      <c r="S21" s="277">
        <f t="shared" si="34"/>
        <v>2905924.4960000003</v>
      </c>
      <c r="T21" s="277">
        <f t="shared" si="34"/>
        <v>3313064</v>
      </c>
      <c r="U21" s="277">
        <f t="shared" si="34"/>
        <v>3380864.4318400002</v>
      </c>
      <c r="V21" s="277">
        <f t="shared" si="34"/>
        <v>3587335.0521599995</v>
      </c>
      <c r="W21" s="277">
        <f t="shared" si="34"/>
        <v>3969682.882079999</v>
      </c>
      <c r="X21" s="277">
        <f t="shared" si="34"/>
        <v>4167462.9032153999</v>
      </c>
      <c r="Y21" s="277">
        <f t="shared" si="34"/>
        <v>4657400.5262945322</v>
      </c>
      <c r="Z21" s="277">
        <f t="shared" si="34"/>
        <v>5032433.4255647324</v>
      </c>
      <c r="AA21" s="277">
        <f t="shared" si="34"/>
        <v>5450377.2000000002</v>
      </c>
      <c r="AB21" s="277">
        <f t="shared" ref="AB21:AC21" si="35">AB5</f>
        <v>5878028</v>
      </c>
      <c r="AC21" s="277">
        <f t="shared" si="35"/>
        <v>6490764</v>
      </c>
      <c r="AD21" s="277">
        <f t="shared" ref="AD21:AE21" si="36">AD5</f>
        <v>7276106.7999999998</v>
      </c>
      <c r="AE21" s="277">
        <f t="shared" si="36"/>
        <v>7527000</v>
      </c>
      <c r="AF21" s="164"/>
      <c r="AG21" s="344">
        <f>AE21/AD21-1</f>
        <v>3.4481791828564257E-2</v>
      </c>
      <c r="AH21" s="344">
        <f>AE21/AA21-1</f>
        <v>0.38100533665816738</v>
      </c>
    </row>
    <row r="22" spans="2:37" ht="13" customHeight="1">
      <c r="B22" s="54" t="str">
        <f>B6</f>
        <v>NII</v>
      </c>
      <c r="C22" s="164">
        <f>C6</f>
        <v>591527</v>
      </c>
      <c r="D22" s="164">
        <f t="shared" ref="D22:H22" si="37">D6</f>
        <v>733280.89517999999</v>
      </c>
      <c r="E22" s="164">
        <f t="shared" si="37"/>
        <v>1614134.912</v>
      </c>
      <c r="F22" s="164">
        <f t="shared" si="37"/>
        <v>2435209.1850000001</v>
      </c>
      <c r="G22" s="164">
        <f t="shared" si="37"/>
        <v>3296796.9950000001</v>
      </c>
      <c r="H22" s="164">
        <f t="shared" si="37"/>
        <v>4456744.9342886657</v>
      </c>
      <c r="I22" s="164">
        <f t="shared" ref="I22" si="38">I6</f>
        <v>6273819</v>
      </c>
      <c r="J22" s="164"/>
      <c r="K22" s="164">
        <f t="shared" ref="K22:AA22" si="39">K6</f>
        <v>297457.33899999998</v>
      </c>
      <c r="L22" s="164">
        <f t="shared" si="39"/>
        <v>308984.34700000007</v>
      </c>
      <c r="M22" s="164">
        <f t="shared" si="39"/>
        <v>453160.88</v>
      </c>
      <c r="N22" s="164">
        <f t="shared" si="39"/>
        <v>554532.3459999999</v>
      </c>
      <c r="O22" s="164">
        <f t="shared" si="39"/>
        <v>560444.01500000001</v>
      </c>
      <c r="P22" s="164">
        <f t="shared" si="39"/>
        <v>586650.3110000001</v>
      </c>
      <c r="Q22" s="164">
        <f t="shared" si="39"/>
        <v>586724.46700000006</v>
      </c>
      <c r="R22" s="164">
        <f t="shared" si="39"/>
        <v>701390.39199999999</v>
      </c>
      <c r="S22" s="164">
        <f t="shared" si="39"/>
        <v>726481.12400000007</v>
      </c>
      <c r="T22" s="164">
        <f t="shared" si="39"/>
        <v>828266</v>
      </c>
      <c r="U22" s="164">
        <f t="shared" si="39"/>
        <v>845216.10796000005</v>
      </c>
      <c r="V22" s="164">
        <f t="shared" si="39"/>
        <v>896833.76303999987</v>
      </c>
      <c r="W22" s="164">
        <f t="shared" si="39"/>
        <v>992420.72051999974</v>
      </c>
      <c r="X22" s="164">
        <f t="shared" si="39"/>
        <v>1041865.72580385</v>
      </c>
      <c r="Y22" s="164">
        <f t="shared" si="39"/>
        <v>1164350.1315736331</v>
      </c>
      <c r="Z22" s="164">
        <f t="shared" si="39"/>
        <v>1258108.3563911831</v>
      </c>
      <c r="AA22" s="164">
        <f t="shared" si="39"/>
        <v>1362594.3</v>
      </c>
      <c r="AB22" s="164">
        <f t="shared" ref="AB22:AC22" si="40">AB6</f>
        <v>1469507</v>
      </c>
      <c r="AC22" s="164">
        <f t="shared" si="40"/>
        <v>1622691</v>
      </c>
      <c r="AD22" s="164">
        <f t="shared" ref="AD22:AE22" si="41">AD6</f>
        <v>1819026.7</v>
      </c>
      <c r="AE22" s="164">
        <f t="shared" si="41"/>
        <v>1881750</v>
      </c>
      <c r="AF22" s="164"/>
      <c r="AG22" s="345">
        <f>AE22/AD22-1</f>
        <v>3.4481791828564257E-2</v>
      </c>
      <c r="AH22" s="345">
        <f>AE22/AA22-1</f>
        <v>0.38100533665816738</v>
      </c>
    </row>
    <row r="23" spans="2:37" ht="13" customHeight="1">
      <c r="B23" s="69" t="str">
        <f>IF('Summary | Sumário'!D$6=Names!B$3,Names!Q22,Names!R22)</f>
        <v>Avg. of IEP + non-interest credit card receivables</v>
      </c>
      <c r="C23" s="526">
        <f>C24+C25</f>
        <v>9453075</v>
      </c>
      <c r="D23" s="526">
        <f>AVERAGE((C24+C25),(D24+D25))</f>
        <v>14083860</v>
      </c>
      <c r="E23" s="526">
        <f t="shared" ref="E23:I23" si="42">AVERAGE((D24+D25),(E24+E25))</f>
        <v>26510473.360865001</v>
      </c>
      <c r="F23" s="526">
        <f t="shared" si="42"/>
        <v>38274129.860864997</v>
      </c>
      <c r="G23" s="526">
        <f t="shared" si="42"/>
        <v>48812832</v>
      </c>
      <c r="H23" s="526">
        <f t="shared" si="42"/>
        <v>62583005.568365797</v>
      </c>
      <c r="I23" s="526">
        <f t="shared" si="42"/>
        <v>80175741.568365797</v>
      </c>
      <c r="J23" s="524"/>
      <c r="K23" s="526">
        <f>AVERAGE((D24+D25),(K24+K25))</f>
        <v>19195037.672150001</v>
      </c>
      <c r="L23" s="526">
        <f t="shared" ref="L23" si="43">AVERAGE((K24+K25),(L24+L25))</f>
        <v>23964644.172650002</v>
      </c>
      <c r="M23" s="526">
        <f t="shared" ref="M23" si="44">AVERAGE((L24+L25),(M24+M25))</f>
        <v>29997936.149500001</v>
      </c>
      <c r="N23" s="526">
        <f t="shared" ref="N23" si="45">AVERAGE((M24+M25),(N24+N25))</f>
        <v>33024158.009865001</v>
      </c>
      <c r="O23" s="526">
        <f t="shared" ref="O23" si="46">AVERAGE((N24+N25),(O24+O25))</f>
        <v>34499818.360864997</v>
      </c>
      <c r="P23" s="526">
        <f t="shared" ref="P23" si="47">AVERAGE((O24+O25),(P24+P25))</f>
        <v>35732741.200000003</v>
      </c>
      <c r="Q23" s="526">
        <f t="shared" ref="Q23" si="48">AVERAGE((P24+P25),(Q24+Q25))</f>
        <v>38447190.200000003</v>
      </c>
      <c r="R23" s="526">
        <f t="shared" ref="R23" si="49">AVERAGE((Q24+Q25),(R24+R25))</f>
        <v>41182095.5</v>
      </c>
      <c r="S23" s="526">
        <f t="shared" ref="S23" si="50">AVERAGE((R24+R25),(S24+S25))</f>
        <v>42837823.5</v>
      </c>
      <c r="T23" s="526">
        <f t="shared" ref="T23" si="51">AVERAGE((S24+S25),(T24+T25))</f>
        <v>44523520</v>
      </c>
      <c r="U23" s="526">
        <f t="shared" ref="U23" si="52">AVERAGE((T24+T25),(U24+U25))</f>
        <v>47827682.24923943</v>
      </c>
      <c r="V23" s="526">
        <f t="shared" ref="V23" si="53">AVERAGE((U24+U25),(V24+V25))</f>
        <v>52712859.74923943</v>
      </c>
      <c r="W23" s="526">
        <f t="shared" ref="W23" si="54">AVERAGE((V24+V25),(W24+W25))</f>
        <v>56017000.414971948</v>
      </c>
      <c r="X23" s="526">
        <f t="shared" ref="X23" si="55">AVERAGE((W24+W25),(X24+X25))</f>
        <v>58683320.02965194</v>
      </c>
      <c r="Y23" s="526">
        <f t="shared" ref="Y23" si="56">AVERAGE((X24+X25),(Y24+Y25))</f>
        <v>62086280.520046785</v>
      </c>
      <c r="Z23" s="526">
        <f t="shared" ref="Z23" si="57">AVERAGE((Y24+Y25),(Z24+Z25))</f>
        <v>66619260.473732576</v>
      </c>
      <c r="AA23" s="526">
        <f t="shared" ref="AA23:AE23" si="58">AVERAGE((Z24+Z25),(AA24+AA25))</f>
        <v>71218327.568365797</v>
      </c>
      <c r="AB23" s="526">
        <f t="shared" si="58"/>
        <v>74687358</v>
      </c>
      <c r="AC23" s="526">
        <f t="shared" si="58"/>
        <v>80375273</v>
      </c>
      <c r="AD23" s="526">
        <f t="shared" si="58"/>
        <v>87299679</v>
      </c>
      <c r="AE23" s="526">
        <f t="shared" si="58"/>
        <v>90600608.5</v>
      </c>
      <c r="AF23" s="178"/>
      <c r="AG23" s="346">
        <f>AE23/AD23-1</f>
        <v>3.7811473510687144E-2</v>
      </c>
      <c r="AH23" s="346">
        <f>AE23/AA23-1</f>
        <v>0.27215299198128795</v>
      </c>
    </row>
    <row r="24" spans="2:37" ht="13" customHeight="1">
      <c r="B24" s="64" t="str">
        <f>B8</f>
        <v>IEP</v>
      </c>
      <c r="C24" s="164">
        <f>C8</f>
        <v>9386236.3870000001</v>
      </c>
      <c r="D24" s="164">
        <f t="shared" ref="D24:H24" si="59">D8</f>
        <v>17040214.824999999</v>
      </c>
      <c r="E24" s="164">
        <f t="shared" si="59"/>
        <v>30183988.721730001</v>
      </c>
      <c r="F24" s="164">
        <f t="shared" si="59"/>
        <v>36830160</v>
      </c>
      <c r="G24" s="164">
        <f t="shared" si="59"/>
        <v>47893695.397</v>
      </c>
      <c r="H24" s="164">
        <f t="shared" si="59"/>
        <v>60232269.321271598</v>
      </c>
      <c r="I24" s="164">
        <f t="shared" ref="I24" si="60">I8</f>
        <v>78827120.74887</v>
      </c>
      <c r="J24" s="321"/>
      <c r="K24" s="164">
        <f t="shared" ref="K24:AA24" si="61">K8</f>
        <v>17581215.344299998</v>
      </c>
      <c r="L24" s="164">
        <f t="shared" si="61"/>
        <v>25603653.001000002</v>
      </c>
      <c r="M24" s="164">
        <f t="shared" si="61"/>
        <v>28461059.298</v>
      </c>
      <c r="N24" s="164">
        <f t="shared" si="61"/>
        <v>30183988.721730001</v>
      </c>
      <c r="O24" s="164">
        <f t="shared" si="61"/>
        <v>30214049</v>
      </c>
      <c r="P24" s="164">
        <f t="shared" si="61"/>
        <v>31875026.399999999</v>
      </c>
      <c r="Q24" s="164">
        <f t="shared" si="61"/>
        <v>35020294</v>
      </c>
      <c r="R24" s="164">
        <f t="shared" si="61"/>
        <v>36830160</v>
      </c>
      <c r="S24" s="164">
        <f t="shared" si="61"/>
        <v>37753420.387827471</v>
      </c>
      <c r="T24" s="164">
        <f t="shared" si="61"/>
        <v>39709390.767574593</v>
      </c>
      <c r="U24" s="164">
        <f t="shared" si="61"/>
        <v>43274080.453478865</v>
      </c>
      <c r="V24" s="164">
        <f t="shared" si="61"/>
        <v>47893695.397</v>
      </c>
      <c r="W24" s="164">
        <f t="shared" si="61"/>
        <v>48715213.614263885</v>
      </c>
      <c r="X24" s="164">
        <f t="shared" si="61"/>
        <v>52472376.744180001</v>
      </c>
      <c r="Y24" s="164">
        <f t="shared" si="61"/>
        <v>54893344.456663564</v>
      </c>
      <c r="Z24" s="164">
        <f t="shared" si="61"/>
        <v>60232269.321271598</v>
      </c>
      <c r="AA24" s="164">
        <f t="shared" si="61"/>
        <v>63031684.951030001</v>
      </c>
      <c r="AB24" s="164">
        <f t="shared" ref="AB24:AC24" si="62">AB8</f>
        <v>66589592.615950003</v>
      </c>
      <c r="AC24" s="164">
        <f t="shared" si="62"/>
        <v>73305092.557240009</v>
      </c>
      <c r="AD24" s="164">
        <f t="shared" ref="AD24:AE24" si="63">AD8</f>
        <v>78827120.74887</v>
      </c>
      <c r="AE24" s="164">
        <f t="shared" si="63"/>
        <v>78985655.714320004</v>
      </c>
      <c r="AF24" s="321"/>
      <c r="AG24" s="345">
        <f>AE24/AD24-1</f>
        <v>2.0111728545189056E-3</v>
      </c>
      <c r="AH24" s="345">
        <f>AE24/AA24-1</f>
        <v>0.25311033293310836</v>
      </c>
    </row>
    <row r="25" spans="2:37" ht="13" customHeight="1">
      <c r="B25" s="68" t="str">
        <f>IF('Summary | Sumário'!D$6=Names!B$3,Names!Q23,Names!R23)</f>
        <v>Non-interest earning credit card receivables</v>
      </c>
      <c r="C25" s="161">
        <f>-'5. IEP'!C20</f>
        <v>66838.612999999998</v>
      </c>
      <c r="D25" s="161">
        <f>-'5. IEP'!D20</f>
        <v>1674430.175</v>
      </c>
      <c r="E25" s="161">
        <f>-'5. IEP'!E20</f>
        <v>4122313</v>
      </c>
      <c r="F25" s="161">
        <f>-'5. IEP'!F20</f>
        <v>5411798</v>
      </c>
      <c r="G25" s="161">
        <f>-'5. IEP'!G20</f>
        <v>7490010.6029999992</v>
      </c>
      <c r="H25" s="161">
        <f>-'5. IEP'!H20</f>
        <v>9550035.8154600002</v>
      </c>
      <c r="I25" s="161">
        <f>-'5. IEP'!I20</f>
        <v>11742057.25113</v>
      </c>
      <c r="J25" s="321"/>
      <c r="K25" s="161">
        <f>-'5. IEP'!K20</f>
        <v>2094215</v>
      </c>
      <c r="L25" s="161">
        <f>-'5. IEP'!L20</f>
        <v>2650205</v>
      </c>
      <c r="M25" s="161">
        <f>-'5. IEP'!M20</f>
        <v>3280955</v>
      </c>
      <c r="N25" s="161">
        <f>-'5. IEP'!N20</f>
        <v>4122313</v>
      </c>
      <c r="O25" s="161">
        <f>-'5. IEP'!O20</f>
        <v>4479286</v>
      </c>
      <c r="P25" s="161">
        <f>-'5. IEP'!P20</f>
        <v>4897121</v>
      </c>
      <c r="Q25" s="161">
        <f>-'5. IEP'!Q20</f>
        <v>5101939</v>
      </c>
      <c r="R25" s="161">
        <f>-'5. IEP'!R20</f>
        <v>5411798</v>
      </c>
      <c r="S25" s="161">
        <f>-'5. IEP'!S20</f>
        <v>5680268.6121725254</v>
      </c>
      <c r="T25" s="161">
        <f>-'5. IEP'!T20</f>
        <v>5903960.2324254084</v>
      </c>
      <c r="U25" s="161">
        <f>-'5. IEP'!U20</f>
        <v>6767933.0449999999</v>
      </c>
      <c r="V25" s="161">
        <f>-'5. IEP'!V20</f>
        <v>7490010.6029999992</v>
      </c>
      <c r="W25" s="161">
        <f>-'5. IEP'!W20</f>
        <v>7935081.2156800013</v>
      </c>
      <c r="X25" s="161">
        <f>-'5. IEP'!X20</f>
        <v>8243968.4851799998</v>
      </c>
      <c r="Y25" s="161">
        <f>-'5. IEP'!Y20</f>
        <v>8562871.3540700004</v>
      </c>
      <c r="Z25" s="161">
        <f>-'5. IEP'!Z20</f>
        <v>9550035.8154600002</v>
      </c>
      <c r="AA25" s="161">
        <f>-'5. IEP'!AA20</f>
        <v>9622665.0489700008</v>
      </c>
      <c r="AB25" s="161">
        <f>-'5. IEP'!AB20</f>
        <v>10130773.38405</v>
      </c>
      <c r="AC25" s="161">
        <f>-'5. IEP'!AC20</f>
        <v>10725087.44276</v>
      </c>
      <c r="AD25" s="161">
        <f>-'5. IEP'!AD20</f>
        <v>11742057.25113</v>
      </c>
      <c r="AE25" s="161">
        <f>-'5. IEP'!AE20</f>
        <v>11646383.285680002</v>
      </c>
      <c r="AF25" s="321"/>
      <c r="AG25" s="346">
        <f>AE25/AD25-1</f>
        <v>-8.1479730002841366E-3</v>
      </c>
      <c r="AH25" s="346">
        <f>AE25/AA25-1</f>
        <v>0.21030745915099858</v>
      </c>
    </row>
    <row r="26" spans="2:37" ht="13" customHeight="1">
      <c r="B26" s="275" t="str">
        <f>IF('Summary | Sumário'!D$6=Names!B$3,Names!Q18,Names!R18)</f>
        <v>NIM 1.0 (%)</v>
      </c>
      <c r="C26" s="289">
        <f>C21/C23</f>
        <v>6.2575088000465462E-2</v>
      </c>
      <c r="D26" s="289">
        <f t="shared" ref="D26:AA26" si="64">D21/D23</f>
        <v>5.2065335439290081E-2</v>
      </c>
      <c r="E26" s="289">
        <f t="shared" si="64"/>
        <v>6.0886687688602364E-2</v>
      </c>
      <c r="F26" s="289">
        <f t="shared" si="64"/>
        <v>6.3625461737537303E-2</v>
      </c>
      <c r="G26" s="289">
        <f t="shared" si="64"/>
        <v>6.7539555889729985E-2</v>
      </c>
      <c r="H26" s="289">
        <f t="shared" si="64"/>
        <v>7.121334128671894E-2</v>
      </c>
      <c r="I26" s="289">
        <f t="shared" ref="I26" si="65">I21/I23</f>
        <v>7.8250838436590184E-2</v>
      </c>
      <c r="J26" s="321"/>
      <c r="K26" s="289">
        <f t="shared" si="64"/>
        <v>6.1986299601084829E-2</v>
      </c>
      <c r="L26" s="289">
        <f t="shared" si="64"/>
        <v>5.1573366960755117E-2</v>
      </c>
      <c r="M26" s="289">
        <f t="shared" si="64"/>
        <v>6.0425607647351859E-2</v>
      </c>
      <c r="N26" s="289">
        <f t="shared" si="64"/>
        <v>6.7166871698512293E-2</v>
      </c>
      <c r="O26" s="289">
        <f t="shared" si="64"/>
        <v>6.4979358341867896E-2</v>
      </c>
      <c r="P26" s="289">
        <f t="shared" si="64"/>
        <v>6.5670899158444637E-2</v>
      </c>
      <c r="Q26" s="289">
        <f t="shared" si="64"/>
        <v>6.1042116622608222E-2</v>
      </c>
      <c r="R26" s="289">
        <f t="shared" si="64"/>
        <v>6.8125760331938429E-2</v>
      </c>
      <c r="S26" s="289">
        <f t="shared" si="64"/>
        <v>6.7835484125378126E-2</v>
      </c>
      <c r="T26" s="289">
        <f t="shared" si="64"/>
        <v>7.4411546975620982E-2</v>
      </c>
      <c r="U26" s="289">
        <f t="shared" si="64"/>
        <v>7.0688443864405828E-2</v>
      </c>
      <c r="V26" s="289">
        <f t="shared" si="64"/>
        <v>6.8054267387983244E-2</v>
      </c>
      <c r="W26" s="289">
        <f t="shared" si="64"/>
        <v>7.0865681001708938E-2</v>
      </c>
      <c r="X26" s="289">
        <f t="shared" si="64"/>
        <v>7.1016140550835119E-2</v>
      </c>
      <c r="Y26" s="289">
        <f t="shared" si="64"/>
        <v>7.5014970896681812E-2</v>
      </c>
      <c r="Z26" s="289">
        <f t="shared" si="64"/>
        <v>7.5540217495343995E-2</v>
      </c>
      <c r="AA26" s="289">
        <f t="shared" si="64"/>
        <v>7.6530541871654159E-2</v>
      </c>
      <c r="AB26" s="289">
        <f t="shared" ref="AB26:AC26" si="66">AB21/AB23</f>
        <v>7.8701779757693394E-2</v>
      </c>
      <c r="AC26" s="289">
        <f t="shared" si="66"/>
        <v>8.0755731927653923E-2</v>
      </c>
      <c r="AD26" s="289">
        <f t="shared" ref="AD26:AE26" si="67">AD21/AD23</f>
        <v>8.334631791715981E-2</v>
      </c>
      <c r="AE26" s="289">
        <f t="shared" si="67"/>
        <v>8.3078912212824707E-2</v>
      </c>
      <c r="AF26" s="321"/>
      <c r="AG26" s="369">
        <f>(AE26-AD26)*100</f>
        <v>-2.6740570433510247E-2</v>
      </c>
      <c r="AH26" s="369">
        <f>(AE26-AA26)*100</f>
        <v>0.65483703411705485</v>
      </c>
      <c r="AJ26" s="154"/>
      <c r="AK26" s="154"/>
    </row>
    <row r="27" spans="2:37" ht="13" customHeight="1">
      <c r="B27" s="3"/>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652"/>
      <c r="AH27" s="652"/>
    </row>
    <row r="28" spans="2:37" ht="13" customHeight="1">
      <c r="B28" s="23" t="str">
        <f>IF('Summary | Sumário'!D$6=Names!B$3,Names!Q20,Names!R20)</f>
        <v>Risk-Adjusted NIM 1.0 (%)</v>
      </c>
      <c r="C28" s="310"/>
      <c r="D28" s="310"/>
      <c r="E28" s="310"/>
      <c r="F28" s="310"/>
      <c r="G28" s="310"/>
      <c r="H28" s="310"/>
      <c r="I28" s="310"/>
      <c r="J28" s="167"/>
      <c r="K28" s="310"/>
      <c r="L28" s="310"/>
      <c r="M28" s="310"/>
      <c r="N28" s="310"/>
      <c r="O28" s="310"/>
      <c r="P28" s="310"/>
      <c r="Q28" s="310"/>
      <c r="R28" s="310"/>
      <c r="S28" s="310"/>
      <c r="T28" s="310"/>
      <c r="U28" s="310"/>
      <c r="V28" s="310"/>
      <c r="W28" s="310"/>
      <c r="X28" s="310"/>
      <c r="Y28" s="310"/>
      <c r="Z28" s="310"/>
      <c r="AA28" s="310"/>
      <c r="AB28" s="310"/>
      <c r="AC28" s="310"/>
      <c r="AD28" s="310"/>
      <c r="AE28" s="310"/>
      <c r="AF28" s="167"/>
      <c r="AG28" s="310"/>
      <c r="AH28" s="310"/>
    </row>
    <row r="29" spans="2:37" ht="13" customHeight="1">
      <c r="B29" s="279" t="str">
        <f>B12</f>
        <v>Annualized NII after impairment losses on financial assets</v>
      </c>
      <c r="C29" s="653">
        <f>C12</f>
        <v>452957</v>
      </c>
      <c r="D29" s="653">
        <f t="shared" ref="D29:H29" si="68">D12</f>
        <v>519592.89517999999</v>
      </c>
      <c r="E29" s="653">
        <f t="shared" si="68"/>
        <v>1018553.912</v>
      </c>
      <c r="F29" s="653">
        <f t="shared" si="68"/>
        <v>1351972.1850000001</v>
      </c>
      <c r="G29" s="653">
        <f t="shared" si="68"/>
        <v>1755212.9950000001</v>
      </c>
      <c r="H29" s="653">
        <f t="shared" si="68"/>
        <v>2657292.5982886655</v>
      </c>
      <c r="I29" s="653">
        <f t="shared" ref="I29" si="69">I12</f>
        <v>3857466</v>
      </c>
      <c r="J29" s="164"/>
      <c r="K29" s="653">
        <f t="shared" ref="K29:AA29" si="70">K12</f>
        <v>763153.35599999991</v>
      </c>
      <c r="L29" s="653">
        <f t="shared" si="70"/>
        <v>566173.38800000027</v>
      </c>
      <c r="M29" s="653">
        <f t="shared" si="70"/>
        <v>1260623.52</v>
      </c>
      <c r="N29" s="653">
        <f t="shared" si="70"/>
        <v>1484265.3839999996</v>
      </c>
      <c r="O29" s="653">
        <f t="shared" si="70"/>
        <v>989992.06</v>
      </c>
      <c r="P29" s="653">
        <f t="shared" si="70"/>
        <v>1376745.2440000004</v>
      </c>
      <c r="Q29" s="653">
        <f t="shared" si="70"/>
        <v>1294445.8680000002</v>
      </c>
      <c r="R29" s="653">
        <f t="shared" si="70"/>
        <v>1746705.568</v>
      </c>
      <c r="S29" s="653">
        <f t="shared" si="70"/>
        <v>1503200.4960000003</v>
      </c>
      <c r="T29" s="653">
        <f t="shared" si="70"/>
        <v>1718824</v>
      </c>
      <c r="U29" s="653">
        <f t="shared" si="70"/>
        <v>1749268.4318400002</v>
      </c>
      <c r="V29" s="653">
        <f t="shared" si="70"/>
        <v>2049559.0521599995</v>
      </c>
      <c r="W29" s="653">
        <f t="shared" si="70"/>
        <v>2325490.882079999</v>
      </c>
      <c r="X29" s="653">
        <f t="shared" si="70"/>
        <v>2482472.2592153996</v>
      </c>
      <c r="Y29" s="653">
        <f t="shared" si="70"/>
        <v>2771693.9262945321</v>
      </c>
      <c r="Z29" s="653">
        <f t="shared" si="70"/>
        <v>3049513.3255647337</v>
      </c>
      <c r="AA29" s="653">
        <f t="shared" si="70"/>
        <v>3395651.6</v>
      </c>
      <c r="AB29" s="653">
        <f t="shared" ref="AB29:AC29" si="71">AB12</f>
        <v>3601032</v>
      </c>
      <c r="AC29" s="653">
        <f t="shared" si="71"/>
        <v>3927580</v>
      </c>
      <c r="AD29" s="653">
        <f t="shared" ref="AD29:AE29" si="72">AD12</f>
        <v>4505600.3999999994</v>
      </c>
      <c r="AE29" s="653">
        <f t="shared" si="72"/>
        <v>4401928</v>
      </c>
      <c r="AF29" s="164"/>
      <c r="AG29" s="348">
        <f t="shared" ref="AG29:AG35" si="73">AE29/AD29-1</f>
        <v>-2.3009674803828428E-2</v>
      </c>
      <c r="AH29" s="348">
        <f t="shared" ref="AH29:AH35" si="74">AE29/AA29-1</f>
        <v>0.29634265187865561</v>
      </c>
    </row>
    <row r="30" spans="2:37" ht="13" customHeight="1">
      <c r="B30" s="58" t="str">
        <f>B13</f>
        <v>NII after impairment losses on financial assets</v>
      </c>
      <c r="C30" s="658">
        <f>C13</f>
        <v>452957</v>
      </c>
      <c r="D30" s="658">
        <f t="shared" ref="D30:H30" si="75">D13</f>
        <v>519592.89517999999</v>
      </c>
      <c r="E30" s="658">
        <f t="shared" si="75"/>
        <v>1018553.912</v>
      </c>
      <c r="F30" s="658">
        <f t="shared" si="75"/>
        <v>1351972.1850000001</v>
      </c>
      <c r="G30" s="658">
        <f t="shared" si="75"/>
        <v>1755212.9950000001</v>
      </c>
      <c r="H30" s="658">
        <f t="shared" si="75"/>
        <v>2657292.5982886655</v>
      </c>
      <c r="I30" s="658">
        <f t="shared" ref="I30" si="76">I13</f>
        <v>3857466</v>
      </c>
      <c r="J30" s="164"/>
      <c r="K30" s="658">
        <f t="shared" ref="K30:AA30" si="77">K13</f>
        <v>190788.33899999998</v>
      </c>
      <c r="L30" s="658">
        <f t="shared" si="77"/>
        <v>141543.34700000007</v>
      </c>
      <c r="M30" s="658">
        <f t="shared" si="77"/>
        <v>315155.88</v>
      </c>
      <c r="N30" s="658">
        <f t="shared" si="77"/>
        <v>371066.3459999999</v>
      </c>
      <c r="O30" s="658">
        <f t="shared" si="77"/>
        <v>247498.01500000001</v>
      </c>
      <c r="P30" s="658">
        <f t="shared" si="77"/>
        <v>344186.3110000001</v>
      </c>
      <c r="Q30" s="658">
        <f t="shared" si="77"/>
        <v>323611.46700000006</v>
      </c>
      <c r="R30" s="658">
        <f t="shared" si="77"/>
        <v>436676.39199999999</v>
      </c>
      <c r="S30" s="658">
        <f t="shared" si="77"/>
        <v>375800.12400000007</v>
      </c>
      <c r="T30" s="658">
        <f t="shared" si="77"/>
        <v>429706</v>
      </c>
      <c r="U30" s="658">
        <f t="shared" si="77"/>
        <v>437317.10796000005</v>
      </c>
      <c r="V30" s="658">
        <f t="shared" si="77"/>
        <v>512389.76303999987</v>
      </c>
      <c r="W30" s="658">
        <f t="shared" si="77"/>
        <v>581372.72051999974</v>
      </c>
      <c r="X30" s="658">
        <f t="shared" si="77"/>
        <v>620618.06480384991</v>
      </c>
      <c r="Y30" s="658">
        <f t="shared" si="77"/>
        <v>692923.48157363303</v>
      </c>
      <c r="Z30" s="658">
        <f t="shared" si="77"/>
        <v>762378.33139118343</v>
      </c>
      <c r="AA30" s="658">
        <f t="shared" si="77"/>
        <v>848912.9</v>
      </c>
      <c r="AB30" s="658">
        <f t="shared" ref="AB30:AC30" si="78">AB13</f>
        <v>900258</v>
      </c>
      <c r="AC30" s="658">
        <f t="shared" si="78"/>
        <v>981895</v>
      </c>
      <c r="AD30" s="658">
        <f t="shared" ref="AD30:AE30" si="79">AD13</f>
        <v>1126400.0999999999</v>
      </c>
      <c r="AE30" s="658">
        <f t="shared" si="79"/>
        <v>1100482</v>
      </c>
      <c r="AF30" s="164"/>
      <c r="AG30" s="346">
        <f t="shared" si="73"/>
        <v>-2.3009674803828428E-2</v>
      </c>
      <c r="AH30" s="346">
        <f t="shared" si="74"/>
        <v>0.29634265187865561</v>
      </c>
    </row>
    <row r="31" spans="2:37" ht="13" customHeight="1">
      <c r="B31" s="54" t="str">
        <f>B22</f>
        <v>NII</v>
      </c>
      <c r="C31" s="654">
        <f>C14</f>
        <v>591527</v>
      </c>
      <c r="D31" s="654">
        <f t="shared" ref="D31:H31" si="80">D14</f>
        <v>733280.89517999999</v>
      </c>
      <c r="E31" s="654">
        <f t="shared" si="80"/>
        <v>1614134.912</v>
      </c>
      <c r="F31" s="654">
        <f t="shared" si="80"/>
        <v>2435209.1850000001</v>
      </c>
      <c r="G31" s="654">
        <f t="shared" si="80"/>
        <v>3296796.9950000001</v>
      </c>
      <c r="H31" s="654">
        <f t="shared" si="80"/>
        <v>4456744.9342886657</v>
      </c>
      <c r="I31" s="654">
        <f t="shared" ref="I31" si="81">I14</f>
        <v>6273819</v>
      </c>
      <c r="J31" s="164"/>
      <c r="K31" s="654">
        <f t="shared" ref="K31:AA31" si="82">K14</f>
        <v>297457.33899999998</v>
      </c>
      <c r="L31" s="654">
        <f t="shared" si="82"/>
        <v>308984.34700000007</v>
      </c>
      <c r="M31" s="654">
        <f t="shared" si="82"/>
        <v>453160.88</v>
      </c>
      <c r="N31" s="654">
        <f t="shared" si="82"/>
        <v>554532.3459999999</v>
      </c>
      <c r="O31" s="654">
        <f t="shared" si="82"/>
        <v>560444.01500000001</v>
      </c>
      <c r="P31" s="654">
        <f t="shared" si="82"/>
        <v>586650.3110000001</v>
      </c>
      <c r="Q31" s="654">
        <f t="shared" si="82"/>
        <v>586724.46700000006</v>
      </c>
      <c r="R31" s="654">
        <f t="shared" si="82"/>
        <v>701390.39199999999</v>
      </c>
      <c r="S31" s="654">
        <f t="shared" si="82"/>
        <v>726481.12400000007</v>
      </c>
      <c r="T31" s="654">
        <f t="shared" si="82"/>
        <v>828266</v>
      </c>
      <c r="U31" s="654">
        <f t="shared" si="82"/>
        <v>845216.10796000005</v>
      </c>
      <c r="V31" s="654">
        <f t="shared" si="82"/>
        <v>896833.76303999987</v>
      </c>
      <c r="W31" s="654">
        <f t="shared" si="82"/>
        <v>992420.72051999974</v>
      </c>
      <c r="X31" s="654">
        <f t="shared" si="82"/>
        <v>1041865.72580385</v>
      </c>
      <c r="Y31" s="654">
        <f t="shared" si="82"/>
        <v>1164350.1315736331</v>
      </c>
      <c r="Z31" s="654">
        <f t="shared" si="82"/>
        <v>1258108.3563911831</v>
      </c>
      <c r="AA31" s="654">
        <f t="shared" si="82"/>
        <v>1362594.3</v>
      </c>
      <c r="AB31" s="654">
        <f t="shared" ref="AB31:AC31" si="83">AB14</f>
        <v>1469507</v>
      </c>
      <c r="AC31" s="654">
        <f t="shared" si="83"/>
        <v>1622691</v>
      </c>
      <c r="AD31" s="654">
        <f t="shared" ref="AD31:AE31" si="84">AD14</f>
        <v>1819026.7</v>
      </c>
      <c r="AE31" s="654">
        <f t="shared" si="84"/>
        <v>1881750</v>
      </c>
      <c r="AF31" s="164"/>
      <c r="AG31" s="345">
        <f t="shared" si="73"/>
        <v>3.4481791828564257E-2</v>
      </c>
      <c r="AH31" s="345">
        <f t="shared" si="74"/>
        <v>0.38100533665816738</v>
      </c>
    </row>
    <row r="32" spans="2:37" ht="13" customHeight="1">
      <c r="B32" s="59" t="str">
        <f>B15</f>
        <v>Impairment losses on financial assets</v>
      </c>
      <c r="C32" s="659">
        <f>C15</f>
        <v>-138570</v>
      </c>
      <c r="D32" s="659">
        <f t="shared" ref="D32:H32" si="85">D15</f>
        <v>-213688</v>
      </c>
      <c r="E32" s="659">
        <f t="shared" si="85"/>
        <v>-595581</v>
      </c>
      <c r="F32" s="659">
        <f t="shared" si="85"/>
        <v>-1083237</v>
      </c>
      <c r="G32" s="659">
        <f t="shared" si="85"/>
        <v>-1541584</v>
      </c>
      <c r="H32" s="659">
        <f t="shared" si="85"/>
        <v>-1799452.3359999999</v>
      </c>
      <c r="I32" s="659">
        <f t="shared" ref="I32" si="86">I15</f>
        <v>-2416353</v>
      </c>
      <c r="J32" s="524"/>
      <c r="K32" s="659">
        <f t="shared" ref="K32:AA32" si="87">K15</f>
        <v>-106669</v>
      </c>
      <c r="L32" s="659">
        <f t="shared" si="87"/>
        <v>-167441</v>
      </c>
      <c r="M32" s="659">
        <f t="shared" si="87"/>
        <v>-138005</v>
      </c>
      <c r="N32" s="659">
        <f t="shared" si="87"/>
        <v>-183466</v>
      </c>
      <c r="O32" s="659">
        <f t="shared" si="87"/>
        <v>-312946</v>
      </c>
      <c r="P32" s="659">
        <f t="shared" si="87"/>
        <v>-242464</v>
      </c>
      <c r="Q32" s="659">
        <f t="shared" si="87"/>
        <v>-263113</v>
      </c>
      <c r="R32" s="659">
        <f t="shared" si="87"/>
        <v>-264714</v>
      </c>
      <c r="S32" s="659">
        <f t="shared" si="87"/>
        <v>-350681</v>
      </c>
      <c r="T32" s="659">
        <f t="shared" si="87"/>
        <v>-398560</v>
      </c>
      <c r="U32" s="659">
        <f t="shared" si="87"/>
        <v>-407899</v>
      </c>
      <c r="V32" s="659">
        <f t="shared" si="87"/>
        <v>-384444</v>
      </c>
      <c r="W32" s="659">
        <f t="shared" si="87"/>
        <v>-411048</v>
      </c>
      <c r="X32" s="659">
        <f t="shared" si="87"/>
        <v>-421247.66100000002</v>
      </c>
      <c r="Y32" s="659">
        <f t="shared" si="87"/>
        <v>-471426.65</v>
      </c>
      <c r="Z32" s="659">
        <f t="shared" si="87"/>
        <v>-495730.02499999967</v>
      </c>
      <c r="AA32" s="659">
        <f t="shared" si="87"/>
        <v>-513681.4</v>
      </c>
      <c r="AB32" s="659">
        <f t="shared" ref="AB32:AC32" si="88">AB15</f>
        <v>-569249</v>
      </c>
      <c r="AC32" s="659">
        <f t="shared" si="88"/>
        <v>-640796</v>
      </c>
      <c r="AD32" s="659">
        <f t="shared" ref="AD32:AE32" si="89">AD15</f>
        <v>-692626.60000000009</v>
      </c>
      <c r="AE32" s="659">
        <f t="shared" si="89"/>
        <v>-781268</v>
      </c>
      <c r="AF32" s="178"/>
      <c r="AG32" s="346">
        <f t="shared" si="73"/>
        <v>0.12797862513510161</v>
      </c>
      <c r="AH32" s="346">
        <f t="shared" si="74"/>
        <v>0.52091938699746576</v>
      </c>
    </row>
    <row r="33" spans="2:37" ht="13" customHeight="1">
      <c r="B33" s="63" t="str">
        <f t="shared" ref="B33:C35" si="90">B23</f>
        <v>Avg. of IEP + non-interest credit card receivables</v>
      </c>
      <c r="C33" s="654">
        <f t="shared" si="90"/>
        <v>9453075</v>
      </c>
      <c r="D33" s="654">
        <f t="shared" ref="D33:H33" si="91">D23</f>
        <v>14083860</v>
      </c>
      <c r="E33" s="654">
        <f t="shared" si="91"/>
        <v>26510473.360865001</v>
      </c>
      <c r="F33" s="654">
        <f t="shared" si="91"/>
        <v>38274129.860864997</v>
      </c>
      <c r="G33" s="654">
        <f t="shared" si="91"/>
        <v>48812832</v>
      </c>
      <c r="H33" s="654">
        <f t="shared" si="91"/>
        <v>62583005.568365797</v>
      </c>
      <c r="I33" s="654">
        <f t="shared" ref="I33" si="92">I23</f>
        <v>80175741.568365797</v>
      </c>
      <c r="J33" s="321"/>
      <c r="K33" s="654">
        <f t="shared" ref="K33:AA33" si="93">K23</f>
        <v>19195037.672150001</v>
      </c>
      <c r="L33" s="654">
        <f t="shared" si="93"/>
        <v>23964644.172650002</v>
      </c>
      <c r="M33" s="654">
        <f t="shared" si="93"/>
        <v>29997936.149500001</v>
      </c>
      <c r="N33" s="654">
        <f t="shared" si="93"/>
        <v>33024158.009865001</v>
      </c>
      <c r="O33" s="654">
        <f t="shared" si="93"/>
        <v>34499818.360864997</v>
      </c>
      <c r="P33" s="654">
        <f t="shared" si="93"/>
        <v>35732741.200000003</v>
      </c>
      <c r="Q33" s="654">
        <f t="shared" si="93"/>
        <v>38447190.200000003</v>
      </c>
      <c r="R33" s="654">
        <f t="shared" si="93"/>
        <v>41182095.5</v>
      </c>
      <c r="S33" s="654">
        <f t="shared" si="93"/>
        <v>42837823.5</v>
      </c>
      <c r="T33" s="654">
        <f t="shared" si="93"/>
        <v>44523520</v>
      </c>
      <c r="U33" s="654">
        <f t="shared" si="93"/>
        <v>47827682.24923943</v>
      </c>
      <c r="V33" s="654">
        <f t="shared" si="93"/>
        <v>52712859.74923943</v>
      </c>
      <c r="W33" s="654">
        <f t="shared" si="93"/>
        <v>56017000.414971948</v>
      </c>
      <c r="X33" s="654">
        <f t="shared" si="93"/>
        <v>58683320.02965194</v>
      </c>
      <c r="Y33" s="654">
        <f t="shared" si="93"/>
        <v>62086280.520046785</v>
      </c>
      <c r="Z33" s="654">
        <f t="shared" si="93"/>
        <v>66619260.473732576</v>
      </c>
      <c r="AA33" s="654">
        <f t="shared" si="93"/>
        <v>71218327.568365797</v>
      </c>
      <c r="AB33" s="654">
        <f t="shared" ref="AB33:AC33" si="94">AB23</f>
        <v>74687358</v>
      </c>
      <c r="AC33" s="654">
        <f t="shared" si="94"/>
        <v>80375273</v>
      </c>
      <c r="AD33" s="654">
        <f t="shared" ref="AD33:AE33" si="95">AD23</f>
        <v>87299679</v>
      </c>
      <c r="AE33" s="654">
        <f t="shared" si="95"/>
        <v>90600608.5</v>
      </c>
      <c r="AF33" s="321"/>
      <c r="AG33" s="345">
        <f t="shared" si="73"/>
        <v>3.7811473510687144E-2</v>
      </c>
      <c r="AH33" s="345">
        <f t="shared" si="74"/>
        <v>0.27215299198128795</v>
      </c>
    </row>
    <row r="34" spans="2:37" ht="13" customHeight="1">
      <c r="B34" s="68" t="str">
        <f t="shared" si="90"/>
        <v>IEP</v>
      </c>
      <c r="C34" s="658">
        <f t="shared" si="90"/>
        <v>9386236.3870000001</v>
      </c>
      <c r="D34" s="658">
        <f t="shared" ref="D34:H34" si="96">D24</f>
        <v>17040214.824999999</v>
      </c>
      <c r="E34" s="658">
        <f t="shared" si="96"/>
        <v>30183988.721730001</v>
      </c>
      <c r="F34" s="658">
        <f t="shared" si="96"/>
        <v>36830160</v>
      </c>
      <c r="G34" s="658">
        <f t="shared" si="96"/>
        <v>47893695.397</v>
      </c>
      <c r="H34" s="658">
        <f t="shared" si="96"/>
        <v>60232269.321271598</v>
      </c>
      <c r="I34" s="658">
        <f t="shared" ref="I34" si="97">I24</f>
        <v>78827120.74887</v>
      </c>
      <c r="J34" s="321"/>
      <c r="K34" s="658">
        <f t="shared" ref="K34:AA34" si="98">K24</f>
        <v>17581215.344299998</v>
      </c>
      <c r="L34" s="658">
        <f t="shared" si="98"/>
        <v>25603653.001000002</v>
      </c>
      <c r="M34" s="658">
        <f t="shared" si="98"/>
        <v>28461059.298</v>
      </c>
      <c r="N34" s="658">
        <f t="shared" si="98"/>
        <v>30183988.721730001</v>
      </c>
      <c r="O34" s="658">
        <f t="shared" si="98"/>
        <v>30214049</v>
      </c>
      <c r="P34" s="658">
        <f t="shared" si="98"/>
        <v>31875026.399999999</v>
      </c>
      <c r="Q34" s="658">
        <f t="shared" si="98"/>
        <v>35020294</v>
      </c>
      <c r="R34" s="658">
        <f t="shared" si="98"/>
        <v>36830160</v>
      </c>
      <c r="S34" s="658">
        <f t="shared" si="98"/>
        <v>37753420.387827471</v>
      </c>
      <c r="T34" s="658">
        <f t="shared" si="98"/>
        <v>39709390.767574593</v>
      </c>
      <c r="U34" s="658">
        <f t="shared" si="98"/>
        <v>43274080.453478865</v>
      </c>
      <c r="V34" s="658">
        <f t="shared" si="98"/>
        <v>47893695.397</v>
      </c>
      <c r="W34" s="658">
        <f t="shared" si="98"/>
        <v>48715213.614263885</v>
      </c>
      <c r="X34" s="658">
        <f t="shared" si="98"/>
        <v>52472376.744180001</v>
      </c>
      <c r="Y34" s="658">
        <f t="shared" si="98"/>
        <v>54893344.456663564</v>
      </c>
      <c r="Z34" s="658">
        <f t="shared" si="98"/>
        <v>60232269.321271598</v>
      </c>
      <c r="AA34" s="658">
        <f t="shared" si="98"/>
        <v>63031684.951030001</v>
      </c>
      <c r="AB34" s="658">
        <f t="shared" ref="AB34:AC34" si="99">AB24</f>
        <v>66589592.615950003</v>
      </c>
      <c r="AC34" s="658">
        <f t="shared" si="99"/>
        <v>73305092.557240009</v>
      </c>
      <c r="AD34" s="658">
        <f t="shared" ref="AD34:AE34" si="100">AD24</f>
        <v>78827120.74887</v>
      </c>
      <c r="AE34" s="658">
        <f t="shared" si="100"/>
        <v>78985655.714320004</v>
      </c>
      <c r="AF34" s="321"/>
      <c r="AG34" s="346">
        <f t="shared" si="73"/>
        <v>2.0111728545189056E-3</v>
      </c>
      <c r="AH34" s="346">
        <f t="shared" si="74"/>
        <v>0.25311033293310836</v>
      </c>
    </row>
    <row r="35" spans="2:37" ht="13" customHeight="1">
      <c r="B35" s="64" t="str">
        <f t="shared" si="90"/>
        <v>Non-interest earning credit card receivables</v>
      </c>
      <c r="C35" s="655">
        <f t="shared" si="90"/>
        <v>66838.612999999998</v>
      </c>
      <c r="D35" s="655">
        <f t="shared" ref="D35:H35" si="101">D25</f>
        <v>1674430.175</v>
      </c>
      <c r="E35" s="655">
        <f t="shared" si="101"/>
        <v>4122313</v>
      </c>
      <c r="F35" s="655">
        <f t="shared" si="101"/>
        <v>5411798</v>
      </c>
      <c r="G35" s="655">
        <f t="shared" si="101"/>
        <v>7490010.6029999992</v>
      </c>
      <c r="H35" s="655">
        <f t="shared" si="101"/>
        <v>9550035.8154600002</v>
      </c>
      <c r="I35" s="655">
        <f t="shared" ref="I35" si="102">I25</f>
        <v>11742057.25113</v>
      </c>
      <c r="J35" s="321"/>
      <c r="K35" s="655">
        <f t="shared" ref="K35:AA35" si="103">K25</f>
        <v>2094215</v>
      </c>
      <c r="L35" s="655">
        <f t="shared" si="103"/>
        <v>2650205</v>
      </c>
      <c r="M35" s="655">
        <f t="shared" si="103"/>
        <v>3280955</v>
      </c>
      <c r="N35" s="655">
        <f t="shared" si="103"/>
        <v>4122313</v>
      </c>
      <c r="O35" s="655">
        <f t="shared" si="103"/>
        <v>4479286</v>
      </c>
      <c r="P35" s="655">
        <f t="shared" si="103"/>
        <v>4897121</v>
      </c>
      <c r="Q35" s="655">
        <f t="shared" si="103"/>
        <v>5101939</v>
      </c>
      <c r="R35" s="655">
        <f t="shared" si="103"/>
        <v>5411798</v>
      </c>
      <c r="S35" s="655">
        <f t="shared" si="103"/>
        <v>5680268.6121725254</v>
      </c>
      <c r="T35" s="655">
        <f t="shared" si="103"/>
        <v>5903960.2324254084</v>
      </c>
      <c r="U35" s="655">
        <f t="shared" si="103"/>
        <v>6767933.0449999999</v>
      </c>
      <c r="V35" s="655">
        <f t="shared" si="103"/>
        <v>7490010.6029999992</v>
      </c>
      <c r="W35" s="655">
        <f t="shared" si="103"/>
        <v>7935081.2156800013</v>
      </c>
      <c r="X35" s="655">
        <f t="shared" si="103"/>
        <v>8243968.4851799998</v>
      </c>
      <c r="Y35" s="655">
        <f t="shared" si="103"/>
        <v>8562871.3540700004</v>
      </c>
      <c r="Z35" s="655">
        <f t="shared" si="103"/>
        <v>9550035.8154600002</v>
      </c>
      <c r="AA35" s="655">
        <f t="shared" si="103"/>
        <v>9622665.0489700008</v>
      </c>
      <c r="AB35" s="655">
        <f t="shared" ref="AB35:AC35" si="104">AB25</f>
        <v>10130773.38405</v>
      </c>
      <c r="AC35" s="655">
        <f t="shared" si="104"/>
        <v>10725087.44276</v>
      </c>
      <c r="AD35" s="655">
        <f t="shared" ref="AD35:AE35" si="105">AD25</f>
        <v>11742057.25113</v>
      </c>
      <c r="AE35" s="655">
        <f t="shared" si="105"/>
        <v>11646383.285680002</v>
      </c>
      <c r="AF35" s="321"/>
      <c r="AG35" s="345">
        <f t="shared" si="73"/>
        <v>-8.1479730002841366E-3</v>
      </c>
      <c r="AH35" s="345">
        <f t="shared" si="74"/>
        <v>0.21030745915099858</v>
      </c>
    </row>
    <row r="36" spans="2:37" ht="13" customHeight="1">
      <c r="B36" s="274" t="str">
        <f>IF('Summary | Sumário'!D$6=Names!B$3,Names!Q21,Names!R21)</f>
        <v>Risk-adjusted NIM 1.0 (%)</v>
      </c>
      <c r="C36" s="309">
        <f>C29/C33</f>
        <v>4.7916365838629231E-2</v>
      </c>
      <c r="D36" s="309">
        <f t="shared" ref="D36:AA36" si="106">D29/D33</f>
        <v>3.6892790412571555E-2</v>
      </c>
      <c r="E36" s="309">
        <f t="shared" si="106"/>
        <v>3.8420811961192611E-2</v>
      </c>
      <c r="F36" s="309">
        <f t="shared" si="106"/>
        <v>3.5323394415881448E-2</v>
      </c>
      <c r="G36" s="309">
        <f t="shared" si="106"/>
        <v>3.5958024213796902E-2</v>
      </c>
      <c r="H36" s="309">
        <f t="shared" si="106"/>
        <v>4.2460290523852098E-2</v>
      </c>
      <c r="I36" s="309">
        <f t="shared" ref="I36" si="107">I29/I33</f>
        <v>4.8112632631040167E-2</v>
      </c>
      <c r="J36" s="321"/>
      <c r="K36" s="309">
        <f t="shared" si="106"/>
        <v>3.9757846222268994E-2</v>
      </c>
      <c r="L36" s="309">
        <f t="shared" si="106"/>
        <v>2.3625361758809416E-2</v>
      </c>
      <c r="M36" s="309">
        <f t="shared" si="106"/>
        <v>4.2023675019423355E-2</v>
      </c>
      <c r="N36" s="309">
        <f t="shared" si="106"/>
        <v>4.4944836551370021E-2</v>
      </c>
      <c r="O36" s="309">
        <f t="shared" si="106"/>
        <v>2.8695573108379068E-2</v>
      </c>
      <c r="P36" s="309">
        <f t="shared" si="106"/>
        <v>3.8528956854841027E-2</v>
      </c>
      <c r="Q36" s="309">
        <f t="shared" si="106"/>
        <v>3.3668152633947228E-2</v>
      </c>
      <c r="R36" s="309">
        <f t="shared" si="106"/>
        <v>4.2414198374145382E-2</v>
      </c>
      <c r="S36" s="309">
        <f t="shared" si="106"/>
        <v>3.5090496509469028E-2</v>
      </c>
      <c r="T36" s="309">
        <f t="shared" si="106"/>
        <v>3.8604854243330267E-2</v>
      </c>
      <c r="U36" s="309">
        <f t="shared" si="106"/>
        <v>3.6574392685897246E-2</v>
      </c>
      <c r="V36" s="309">
        <f t="shared" si="106"/>
        <v>3.8881575803512952E-2</v>
      </c>
      <c r="W36" s="309">
        <f t="shared" si="106"/>
        <v>4.151402011626551E-2</v>
      </c>
      <c r="X36" s="309">
        <f t="shared" si="106"/>
        <v>4.2302859789818265E-2</v>
      </c>
      <c r="Y36" s="309">
        <f t="shared" si="106"/>
        <v>4.4642615132977584E-2</v>
      </c>
      <c r="Z36" s="309">
        <f t="shared" si="106"/>
        <v>4.5775250338708454E-2</v>
      </c>
      <c r="AA36" s="309">
        <f t="shared" si="106"/>
        <v>4.767946280036351E-2</v>
      </c>
      <c r="AB36" s="309">
        <f t="shared" ref="AB36:AC36" si="108">AB29/AB33</f>
        <v>4.8214746061843561E-2</v>
      </c>
      <c r="AC36" s="309">
        <f t="shared" si="108"/>
        <v>4.8865526092832061E-2</v>
      </c>
      <c r="AD36" s="309">
        <f t="shared" ref="AD36:AE36" si="109">AD29/AD33</f>
        <v>5.1610732726749195E-2</v>
      </c>
      <c r="AE36" s="309">
        <f t="shared" si="109"/>
        <v>4.858607544561911E-2</v>
      </c>
      <c r="AF36" s="321"/>
      <c r="AG36" s="370">
        <f>(AE36-AD36)*100</f>
        <v>-0.30246572811300843</v>
      </c>
      <c r="AH36" s="370">
        <f>(AE36-AA36)*100</f>
        <v>9.0661264525560004E-2</v>
      </c>
      <c r="AJ36" s="154"/>
      <c r="AK36" s="154"/>
    </row>
    <row r="37" spans="2:37" ht="13" customHeight="1">
      <c r="B37" s="64"/>
      <c r="C37" s="160"/>
      <c r="D37" s="160"/>
      <c r="E37" s="160"/>
      <c r="F37" s="160"/>
      <c r="G37" s="160"/>
      <c r="H37" s="160"/>
      <c r="I37" s="160"/>
      <c r="J37" s="321"/>
      <c r="K37" s="160"/>
      <c r="L37" s="160"/>
      <c r="M37" s="160"/>
      <c r="N37" s="160"/>
      <c r="O37" s="160"/>
      <c r="P37" s="160"/>
      <c r="Q37" s="160"/>
      <c r="R37" s="160"/>
      <c r="S37" s="160"/>
      <c r="T37" s="160"/>
      <c r="U37" s="160"/>
      <c r="V37" s="160"/>
      <c r="W37" s="160"/>
      <c r="X37" s="160"/>
      <c r="Y37" s="160"/>
      <c r="Z37" s="160"/>
      <c r="AA37" s="160"/>
      <c r="AB37" s="160"/>
      <c r="AC37" s="160"/>
      <c r="AD37" s="160"/>
      <c r="AE37" s="160"/>
      <c r="AF37" s="321"/>
      <c r="AG37" s="345"/>
      <c r="AH37" s="345"/>
    </row>
    <row r="38" spans="2:37" ht="13" customHeight="1">
      <c r="B38" s="23" t="str">
        <f>IF('Summary | Sumário'!D$6=Names!B$3,Names!O69,Names!Z69)</f>
        <v>Loan interest income including hedge accounting results</v>
      </c>
      <c r="C38" s="310"/>
      <c r="D38" s="310"/>
      <c r="E38" s="310"/>
      <c r="F38" s="310"/>
      <c r="G38" s="310"/>
      <c r="H38" s="310"/>
      <c r="I38" s="310"/>
      <c r="J38" s="167"/>
      <c r="K38" s="310"/>
      <c r="L38" s="310"/>
      <c r="M38" s="310"/>
      <c r="N38" s="310"/>
      <c r="O38" s="310"/>
      <c r="P38" s="310"/>
      <c r="Q38" s="310"/>
      <c r="R38" s="310"/>
      <c r="S38" s="310"/>
      <c r="T38" s="310"/>
      <c r="U38" s="310"/>
      <c r="V38" s="310"/>
      <c r="W38" s="310"/>
      <c r="X38" s="310"/>
      <c r="Y38" s="310"/>
      <c r="Z38" s="310"/>
      <c r="AA38" s="310"/>
      <c r="AB38" s="310"/>
      <c r="AC38" s="310"/>
      <c r="AD38" s="310"/>
      <c r="AE38" s="310"/>
      <c r="AF38" s="167"/>
      <c r="AG38" s="310"/>
      <c r="AH38" s="310"/>
    </row>
    <row r="39" spans="2:37" ht="13" customHeight="1">
      <c r="B39" s="279" t="str">
        <f>IF('Summary | Sumário'!D$6=Names!B$3,Names!O70,Names!Z70)</f>
        <v>Loan interest income including hedge accounting results</v>
      </c>
      <c r="C39" s="280">
        <f t="shared" ref="C39:Z39" si="110">C40+C43+C46+C47+C48</f>
        <v>0</v>
      </c>
      <c r="D39" s="280">
        <f t="shared" si="110"/>
        <v>737699.81700066302</v>
      </c>
      <c r="E39" s="280">
        <f t="shared" si="110"/>
        <v>1269380.477</v>
      </c>
      <c r="F39" s="280">
        <f t="shared" si="110"/>
        <v>2539555.3358900002</v>
      </c>
      <c r="G39" s="280">
        <f t="shared" si="110"/>
        <v>3939985.3047600002</v>
      </c>
      <c r="H39" s="280">
        <f t="shared" si="110"/>
        <v>5136849.6064396547</v>
      </c>
      <c r="I39" s="280">
        <f t="shared" ref="I39" si="111">I40+I43+I46+I47+I48</f>
        <v>7702874.2455700003</v>
      </c>
      <c r="J39" s="164"/>
      <c r="K39" s="280">
        <f t="shared" si="110"/>
        <v>254089.647</v>
      </c>
      <c r="L39" s="280">
        <f t="shared" si="110"/>
        <v>259130.68700000001</v>
      </c>
      <c r="M39" s="280">
        <f t="shared" si="110"/>
        <v>333597.48799999995</v>
      </c>
      <c r="N39" s="280">
        <f t="shared" si="110"/>
        <v>422562.65499999997</v>
      </c>
      <c r="O39" s="280">
        <f t="shared" si="110"/>
        <v>462706.47729999997</v>
      </c>
      <c r="P39" s="280">
        <f t="shared" si="110"/>
        <v>590255.37990000006</v>
      </c>
      <c r="Q39" s="280">
        <f t="shared" si="110"/>
        <v>696713.13199000002</v>
      </c>
      <c r="R39" s="280">
        <f t="shared" si="110"/>
        <v>789880.34670000011</v>
      </c>
      <c r="S39" s="280">
        <f t="shared" si="110"/>
        <v>886304.71213999996</v>
      </c>
      <c r="T39" s="280">
        <f t="shared" si="110"/>
        <v>977301.38766000001</v>
      </c>
      <c r="U39" s="280">
        <f t="shared" si="110"/>
        <v>1003693.5776600001</v>
      </c>
      <c r="V39" s="280">
        <f t="shared" si="110"/>
        <v>1072685.6272999998</v>
      </c>
      <c r="W39" s="280">
        <f t="shared" si="110"/>
        <v>1149452.21037318</v>
      </c>
      <c r="X39" s="280">
        <f t="shared" si="110"/>
        <v>1233417.7871065245</v>
      </c>
      <c r="Y39" s="280">
        <f t="shared" si="110"/>
        <v>1319780.3339592982</v>
      </c>
      <c r="Z39" s="280">
        <f t="shared" si="110"/>
        <v>1434199.2750006525</v>
      </c>
      <c r="AA39" s="280">
        <f>AA40+AA43+AA46+AA47+AA48</f>
        <v>1620463.92</v>
      </c>
      <c r="AB39" s="280">
        <f>AB40+AB43+AB46+AB47+AB48</f>
        <v>1860406.1469999999</v>
      </c>
      <c r="AC39" s="280">
        <f>AC40+AC43+AC46+AC47+AC48</f>
        <v>2037949.6535700001</v>
      </c>
      <c r="AD39" s="280">
        <f>AD40+AD43+AD46+AD47+AD48</f>
        <v>2184054.5249999999</v>
      </c>
      <c r="AE39" s="280">
        <f>AE40+AE43+AE46+AE47+AE48</f>
        <v>2347608.9355500001</v>
      </c>
      <c r="AF39" s="164"/>
      <c r="AG39" s="333">
        <f t="shared" ref="AG39:AG58" si="112">AE39/AD39-1</f>
        <v>7.4885681047729413E-2</v>
      </c>
      <c r="AH39" s="333">
        <f t="shared" ref="AH39:AH58" si="113">AE39/AA39-1</f>
        <v>0.44872644591185962</v>
      </c>
    </row>
    <row r="40" spans="2:37" ht="13" customHeight="1">
      <c r="B40" s="59" t="str">
        <f>IF('Summary | Sumário'!D$6=Names!B$3,Names!O71,Names!Z71)</f>
        <v>Real estate net of hedge accounting</v>
      </c>
      <c r="C40" s="179">
        <f>SUM(C41:C42)</f>
        <v>0</v>
      </c>
      <c r="D40" s="179">
        <f t="shared" ref="D40:AA40" si="114">SUM(D41:D42)</f>
        <v>364047.24736066308</v>
      </c>
      <c r="E40" s="179">
        <f t="shared" si="114"/>
        <v>506152.02299999999</v>
      </c>
      <c r="F40" s="179">
        <f t="shared" si="114"/>
        <v>686426.02495000011</v>
      </c>
      <c r="G40" s="179">
        <f t="shared" si="114"/>
        <v>916460.17859000002</v>
      </c>
      <c r="H40" s="179">
        <f t="shared" si="114"/>
        <v>1289071.2848545881</v>
      </c>
      <c r="I40" s="179">
        <f t="shared" ref="I40" si="115">SUM(I41:I42)</f>
        <v>1995036.3283800001</v>
      </c>
      <c r="J40" s="180"/>
      <c r="K40" s="179">
        <f t="shared" si="114"/>
        <v>122829.734</v>
      </c>
      <c r="L40" s="179">
        <f t="shared" si="114"/>
        <v>99909.904999999999</v>
      </c>
      <c r="M40" s="179">
        <f t="shared" si="114"/>
        <v>138366.29499999998</v>
      </c>
      <c r="N40" s="179">
        <f t="shared" si="114"/>
        <v>145046.08900000001</v>
      </c>
      <c r="O40" s="179">
        <f t="shared" si="114"/>
        <v>155160.64770999999</v>
      </c>
      <c r="P40" s="179">
        <f t="shared" si="114"/>
        <v>194074.39667999998</v>
      </c>
      <c r="Q40" s="179">
        <f t="shared" si="114"/>
        <v>160131.83665000004</v>
      </c>
      <c r="R40" s="179">
        <f t="shared" si="114"/>
        <v>177059.14390999998</v>
      </c>
      <c r="S40" s="179">
        <f t="shared" si="114"/>
        <v>215435.45587999999</v>
      </c>
      <c r="T40" s="179">
        <f t="shared" si="114"/>
        <v>236226.77327000001</v>
      </c>
      <c r="U40" s="179">
        <f t="shared" si="114"/>
        <v>216442.19209</v>
      </c>
      <c r="V40" s="179">
        <f t="shared" si="114"/>
        <v>248355.75734999997</v>
      </c>
      <c r="W40" s="179">
        <f t="shared" si="114"/>
        <v>295138.91551317996</v>
      </c>
      <c r="X40" s="179">
        <f t="shared" si="114"/>
        <v>333405.19177652436</v>
      </c>
      <c r="Y40" s="179">
        <f t="shared" si="114"/>
        <v>291609.27909697121</v>
      </c>
      <c r="Z40" s="179">
        <f t="shared" si="114"/>
        <v>368917.89846791275</v>
      </c>
      <c r="AA40" s="179">
        <f t="shared" si="114"/>
        <v>428299.84499999997</v>
      </c>
      <c r="AB40" s="179">
        <f t="shared" ref="AB40:AC40" si="116">SUM(AB41:AB42)</f>
        <v>487001.54499999998</v>
      </c>
      <c r="AC40" s="179">
        <f t="shared" si="116"/>
        <v>503686.41337999998</v>
      </c>
      <c r="AD40" s="179">
        <f t="shared" ref="AD40:AE40" si="117">SUM(AD41:AD42)</f>
        <v>576048.52500000002</v>
      </c>
      <c r="AE40" s="179">
        <f t="shared" si="117"/>
        <v>581045.48554999998</v>
      </c>
      <c r="AG40" s="151">
        <f t="shared" si="112"/>
        <v>8.6745479471541653E-3</v>
      </c>
      <c r="AH40" s="151">
        <f t="shared" si="113"/>
        <v>0.35663249084295146</v>
      </c>
    </row>
    <row r="41" spans="2:37" ht="13" customHeight="1">
      <c r="B41" s="651" t="str">
        <f>IF('Summary | Sumário'!D$6=Names!B$3,Names!O72,Names!Z72)</f>
        <v>Real estate</v>
      </c>
      <c r="C41" s="178">
        <f>'6. NII'!C7</f>
        <v>0</v>
      </c>
      <c r="D41" s="178">
        <f>'6. NII'!D7</f>
        <v>435019.64619000006</v>
      </c>
      <c r="E41" s="178">
        <f>'6. NII'!E7</f>
        <v>579506.26199999999</v>
      </c>
      <c r="F41" s="178">
        <f>'6. NII'!F7</f>
        <v>714011.42595000006</v>
      </c>
      <c r="G41" s="178">
        <f>'6. NII'!G7</f>
        <v>925900</v>
      </c>
      <c r="H41" s="178">
        <f>'6. NII'!H7</f>
        <v>1080760.6800631299</v>
      </c>
      <c r="I41" s="178">
        <f>'6. NII'!I7</f>
        <v>1889846</v>
      </c>
      <c r="J41" s="160"/>
      <c r="K41" s="178">
        <f>'6. NII'!K7</f>
        <v>139297.851</v>
      </c>
      <c r="L41" s="178">
        <f>'6. NII'!L7</f>
        <v>136320.81899999999</v>
      </c>
      <c r="M41" s="178">
        <f>'6. NII'!M7</f>
        <v>141281.71</v>
      </c>
      <c r="N41" s="178">
        <f>'6. NII'!N7</f>
        <v>162605.88200000001</v>
      </c>
      <c r="O41" s="178">
        <f>'6. NII'!O7</f>
        <v>163483.92470999999</v>
      </c>
      <c r="P41" s="178">
        <f>'6. NII'!P7</f>
        <v>208572.24767999997</v>
      </c>
      <c r="Q41" s="178">
        <f>'6. NII'!Q7</f>
        <v>169001.99365000005</v>
      </c>
      <c r="R41" s="178">
        <f>'6. NII'!R7</f>
        <v>172953.25990999999</v>
      </c>
      <c r="S41" s="178">
        <f>'6. NII'!S7</f>
        <v>220549.84688</v>
      </c>
      <c r="T41" s="178">
        <f>'6. NII'!T7</f>
        <v>230186.84327000001</v>
      </c>
      <c r="U41" s="178">
        <f>'6. NII'!U7</f>
        <v>210305.65125</v>
      </c>
      <c r="V41" s="178">
        <f>'6. NII'!V7</f>
        <v>264857.65859999997</v>
      </c>
      <c r="W41" s="178">
        <f>'6. NII'!W7</f>
        <v>268726.12008999998</v>
      </c>
      <c r="X41" s="178">
        <f>'6. NII'!X7</f>
        <v>266162.86888999998</v>
      </c>
      <c r="Y41" s="178">
        <f>'6. NII'!Y7</f>
        <v>280656.44909697119</v>
      </c>
      <c r="Z41" s="178">
        <f>'6. NII'!Z7</f>
        <v>265215.24198615877</v>
      </c>
      <c r="AA41" s="178">
        <f>'6. NII'!AA7</f>
        <v>443469</v>
      </c>
      <c r="AB41" s="178">
        <f>'6. NII'!AB7</f>
        <v>507523</v>
      </c>
      <c r="AC41" s="178">
        <f>'6. NII'!AC7</f>
        <v>367166</v>
      </c>
      <c r="AD41" s="178">
        <f>'6. NII'!AD7</f>
        <v>571688</v>
      </c>
      <c r="AE41" s="178">
        <f>'6. NII'!AE7</f>
        <v>581995</v>
      </c>
      <c r="AG41" s="150">
        <f t="shared" si="112"/>
        <v>1.8029064804578665E-2</v>
      </c>
      <c r="AH41" s="150">
        <f t="shared" si="113"/>
        <v>0.31236907202081765</v>
      </c>
    </row>
    <row r="42" spans="2:37" ht="13" customHeight="1">
      <c r="B42" s="574" t="str">
        <f>IF('Summary | Sumário'!D$6=Names!B$3,Names!O73,Names!Z73)</f>
        <v>(+) Hedge accounting from real estate loans</v>
      </c>
      <c r="C42" s="177">
        <f>'6. NII'!C26</f>
        <v>0</v>
      </c>
      <c r="D42" s="177">
        <f>'6. NII'!D26</f>
        <v>-70972.398829336977</v>
      </c>
      <c r="E42" s="177">
        <f>'6. NII'!E26</f>
        <v>-73354.239000000001</v>
      </c>
      <c r="F42" s="177">
        <f>'6. NII'!F26</f>
        <v>-27585.400999999998</v>
      </c>
      <c r="G42" s="177">
        <f>'6. NII'!G26</f>
        <v>-9439.8214100000023</v>
      </c>
      <c r="H42" s="177">
        <f>'6. NII'!H26</f>
        <v>208310.60479145829</v>
      </c>
      <c r="I42" s="177">
        <f>'6. NII'!I26</f>
        <v>105190.32837999998</v>
      </c>
      <c r="J42" s="160"/>
      <c r="K42" s="177">
        <f>'6. NII'!K26</f>
        <v>-16468.116999999998</v>
      </c>
      <c r="L42" s="177">
        <f>'6. NII'!L26</f>
        <v>-36410.913999999997</v>
      </c>
      <c r="M42" s="177">
        <f>'6. NII'!M26</f>
        <v>-2915.415</v>
      </c>
      <c r="N42" s="177">
        <f>'6. NII'!N26</f>
        <v>-17559.793000000001</v>
      </c>
      <c r="O42" s="177">
        <f>'6. NII'!O26</f>
        <v>-8323.277</v>
      </c>
      <c r="P42" s="177">
        <f>'6. NII'!P26</f>
        <v>-14497.851000000001</v>
      </c>
      <c r="Q42" s="177">
        <f>'6. NII'!Q26</f>
        <v>-8870.1569999999992</v>
      </c>
      <c r="R42" s="177">
        <f>'6. NII'!R26</f>
        <v>4105.884</v>
      </c>
      <c r="S42" s="177">
        <f>'6. NII'!S26</f>
        <v>-5114.3909999999996</v>
      </c>
      <c r="T42" s="177">
        <f>'6. NII'!T26</f>
        <v>6039.93</v>
      </c>
      <c r="U42" s="177">
        <f>'6. NII'!U26</f>
        <v>6136.5408399999997</v>
      </c>
      <c r="V42" s="177">
        <f>'6. NII'!V26</f>
        <v>-16501.901250000003</v>
      </c>
      <c r="W42" s="177">
        <f>'6. NII'!W26</f>
        <v>26412.795423179959</v>
      </c>
      <c r="X42" s="177">
        <f>'6. NII'!X26</f>
        <v>67242.322886524373</v>
      </c>
      <c r="Y42" s="177">
        <f>'6. NII'!Y26</f>
        <v>10952.83</v>
      </c>
      <c r="Z42" s="177">
        <f>'6. NII'!Z26</f>
        <v>103702.65648175398</v>
      </c>
      <c r="AA42" s="177">
        <f>'6. NII'!AA26</f>
        <v>-15169.155000000001</v>
      </c>
      <c r="AB42" s="177">
        <f>'6. NII'!AB26</f>
        <v>-20521.455000000002</v>
      </c>
      <c r="AC42" s="177">
        <f>'6. NII'!AC26</f>
        <v>136520.41337999998</v>
      </c>
      <c r="AD42" s="177">
        <f>'6. NII'!AD26</f>
        <v>4360.5249999999996</v>
      </c>
      <c r="AE42" s="177">
        <f>'6. NII'!AE26</f>
        <v>-949.51445000000194</v>
      </c>
      <c r="AG42" s="151">
        <f t="shared" si="112"/>
        <v>-1.2177523234014258</v>
      </c>
      <c r="AH42" s="151">
        <f t="shared" si="113"/>
        <v>-0.93740492136839515</v>
      </c>
    </row>
    <row r="43" spans="2:37" ht="13" customHeight="1">
      <c r="B43" s="54" t="str">
        <f>IF('Summary | Sumário'!D$6=Names!B$3,Names!O74,Names!Z74)</f>
        <v>Personal net of hedge accounting</v>
      </c>
      <c r="C43" s="180">
        <f>SUM(C44:C45)</f>
        <v>0</v>
      </c>
      <c r="D43" s="180">
        <f t="shared" ref="D43:AA43" si="118">SUM(D44:D45)</f>
        <v>194589.16927000001</v>
      </c>
      <c r="E43" s="180">
        <f t="shared" si="118"/>
        <v>319455.67200000002</v>
      </c>
      <c r="F43" s="180">
        <f t="shared" si="118"/>
        <v>583197.69805000001</v>
      </c>
      <c r="G43" s="180">
        <f t="shared" si="118"/>
        <v>1012664.1261700001</v>
      </c>
      <c r="H43" s="180">
        <f t="shared" si="118"/>
        <v>1383732.0246502999</v>
      </c>
      <c r="I43" s="180">
        <f t="shared" ref="I43" si="119">SUM(I44:I45)</f>
        <v>2347436.9171899999</v>
      </c>
      <c r="J43" s="180"/>
      <c r="K43" s="180">
        <f t="shared" si="118"/>
        <v>63981.644999999997</v>
      </c>
      <c r="L43" s="180">
        <f t="shared" si="118"/>
        <v>73178.934000000008</v>
      </c>
      <c r="M43" s="180">
        <f t="shared" si="118"/>
        <v>85052.814000000013</v>
      </c>
      <c r="N43" s="180">
        <f t="shared" si="118"/>
        <v>97242.27900000001</v>
      </c>
      <c r="O43" s="180">
        <f t="shared" si="118"/>
        <v>108222.83400999999</v>
      </c>
      <c r="P43" s="180">
        <f t="shared" si="118"/>
        <v>133460.16244000001</v>
      </c>
      <c r="Q43" s="180">
        <f t="shared" si="118"/>
        <v>159493.41924999998</v>
      </c>
      <c r="R43" s="180">
        <f t="shared" si="118"/>
        <v>182021.28234999996</v>
      </c>
      <c r="S43" s="180">
        <f t="shared" si="118"/>
        <v>209198.23068999997</v>
      </c>
      <c r="T43" s="180">
        <f t="shared" si="118"/>
        <v>253833.49125999992</v>
      </c>
      <c r="U43" s="180">
        <f t="shared" si="118"/>
        <v>261285.72764000003</v>
      </c>
      <c r="V43" s="180">
        <f t="shared" si="118"/>
        <v>288346.67658000003</v>
      </c>
      <c r="W43" s="180">
        <f t="shared" si="118"/>
        <v>317612.29486000002</v>
      </c>
      <c r="X43" s="180">
        <f t="shared" si="118"/>
        <v>325101.85233000002</v>
      </c>
      <c r="Y43" s="180">
        <f t="shared" si="118"/>
        <v>365865.23014069098</v>
      </c>
      <c r="Z43" s="180">
        <f t="shared" si="118"/>
        <v>375152.64731960883</v>
      </c>
      <c r="AA43" s="180">
        <f t="shared" si="118"/>
        <v>420569.07500000001</v>
      </c>
      <c r="AB43" s="180">
        <f t="shared" ref="AB43:AC43" si="120">SUM(AB44:AB45)</f>
        <v>543861.60199999996</v>
      </c>
      <c r="AC43" s="180">
        <f t="shared" si="120"/>
        <v>676286.24019000004</v>
      </c>
      <c r="AD43" s="180">
        <f t="shared" ref="AD43:AE43" si="121">SUM(AD44:AD45)</f>
        <v>706720</v>
      </c>
      <c r="AE43" s="180">
        <f t="shared" si="121"/>
        <v>727100.45</v>
      </c>
      <c r="AG43" s="150">
        <f t="shared" si="112"/>
        <v>2.8838082974869783E-2</v>
      </c>
      <c r="AH43" s="150">
        <f t="shared" si="113"/>
        <v>0.72884906005036143</v>
      </c>
    </row>
    <row r="44" spans="2:37" ht="13" customHeight="1">
      <c r="B44" s="574" t="str">
        <f>IF('Summary | Sumário'!D$6=Names!B$3,Names!O75,Names!Z75)</f>
        <v>Personal</v>
      </c>
      <c r="C44" s="177">
        <f>'6. NII'!C8</f>
        <v>0</v>
      </c>
      <c r="D44" s="177">
        <f>'6. NII'!D8</f>
        <v>194589.16927000001</v>
      </c>
      <c r="E44" s="177">
        <f>'6. NII'!E8</f>
        <v>319455.67200000002</v>
      </c>
      <c r="F44" s="177">
        <f>'6. NII'!F8</f>
        <v>583197.69805000001</v>
      </c>
      <c r="G44" s="177">
        <f>'6. NII'!G8</f>
        <v>1117470</v>
      </c>
      <c r="H44" s="177">
        <f>'6. NII'!H8</f>
        <v>1040254.5429802999</v>
      </c>
      <c r="I44" s="177">
        <f>'6. NII'!I8</f>
        <v>2447331</v>
      </c>
      <c r="J44" s="160"/>
      <c r="K44" s="177">
        <f>'6. NII'!K8</f>
        <v>63981.644999999997</v>
      </c>
      <c r="L44" s="177">
        <f>'6. NII'!L8</f>
        <v>73178.934000000008</v>
      </c>
      <c r="M44" s="177">
        <f>'6. NII'!M8</f>
        <v>85052.814000000013</v>
      </c>
      <c r="N44" s="177">
        <f>'6. NII'!N8</f>
        <v>97242.27900000001</v>
      </c>
      <c r="O44" s="177">
        <f>'6. NII'!O8</f>
        <v>108222.83400999999</v>
      </c>
      <c r="P44" s="177">
        <f>'6. NII'!P8</f>
        <v>133460.16244000001</v>
      </c>
      <c r="Q44" s="177">
        <f>'6. NII'!Q8</f>
        <v>159493.41924999998</v>
      </c>
      <c r="R44" s="177">
        <f>'6. NII'!R8</f>
        <v>182021.28234999996</v>
      </c>
      <c r="S44" s="177">
        <f>'6. NII'!S8</f>
        <v>223476.20140999998</v>
      </c>
      <c r="T44" s="177">
        <f>'6. NII'!T8</f>
        <v>318868.07952999993</v>
      </c>
      <c r="U44" s="177">
        <f>'6. NII'!U8</f>
        <v>215827.96117000002</v>
      </c>
      <c r="V44" s="177">
        <f>'6. NII'!V8</f>
        <v>359297.75789000001</v>
      </c>
      <c r="W44" s="177">
        <f>'6. NII'!W8</f>
        <v>275126</v>
      </c>
      <c r="X44" s="177">
        <f>'6. NII'!X8</f>
        <v>204785.36600000001</v>
      </c>
      <c r="Y44" s="177">
        <f>'6. NII'!Y8</f>
        <v>355360.76014069101</v>
      </c>
      <c r="Z44" s="177">
        <f>'6. NII'!Z8</f>
        <v>204982.41683960881</v>
      </c>
      <c r="AA44" s="177">
        <f>'6. NII'!AA8</f>
        <v>473524</v>
      </c>
      <c r="AB44" s="177">
        <f>'6. NII'!AB8</f>
        <v>609166</v>
      </c>
      <c r="AC44" s="177">
        <f>'6. NII'!AC8</f>
        <v>662784</v>
      </c>
      <c r="AD44" s="177">
        <f>'6. NII'!AD8</f>
        <v>701857</v>
      </c>
      <c r="AE44" s="177">
        <f>'6. NII'!AE8</f>
        <v>698514</v>
      </c>
      <c r="AG44" s="151">
        <f t="shared" si="112"/>
        <v>-4.7630785188436109E-3</v>
      </c>
      <c r="AH44" s="151">
        <f t="shared" si="113"/>
        <v>0.47513959165744502</v>
      </c>
    </row>
    <row r="45" spans="2:37" ht="13" customHeight="1">
      <c r="B45" s="651" t="str">
        <f>IF('Summary | Sumário'!D$6=Names!B$3,Names!O76,Names!Z76)</f>
        <v>(+) Hedge accounting from personal loans</v>
      </c>
      <c r="C45" s="178">
        <f>'6. NII'!C27</f>
        <v>0</v>
      </c>
      <c r="D45" s="178">
        <f>'6. NII'!D27</f>
        <v>0</v>
      </c>
      <c r="E45" s="178">
        <f>'6. NII'!E27</f>
        <v>0</v>
      </c>
      <c r="F45" s="178">
        <f>'6. NII'!F27</f>
        <v>0</v>
      </c>
      <c r="G45" s="178">
        <f>'6. NII'!G27</f>
        <v>-104805.87383</v>
      </c>
      <c r="H45" s="178">
        <f>'6. NII'!H27</f>
        <v>343477.48167000001</v>
      </c>
      <c r="I45" s="178">
        <f>'6. NII'!I27</f>
        <v>-99894.082809999993</v>
      </c>
      <c r="J45" s="160"/>
      <c r="K45" s="178">
        <f>'6. NII'!K27</f>
        <v>0</v>
      </c>
      <c r="L45" s="178">
        <f>'6. NII'!L27</f>
        <v>0</v>
      </c>
      <c r="M45" s="178">
        <f>'6. NII'!M27</f>
        <v>0</v>
      </c>
      <c r="N45" s="178">
        <f>'6. NII'!N27</f>
        <v>0</v>
      </c>
      <c r="O45" s="178">
        <f>'6. NII'!O27</f>
        <v>0</v>
      </c>
      <c r="P45" s="178">
        <f>'6. NII'!P27</f>
        <v>0</v>
      </c>
      <c r="Q45" s="178">
        <f>'6. NII'!Q27</f>
        <v>0</v>
      </c>
      <c r="R45" s="178">
        <f>'6. NII'!R27</f>
        <v>0</v>
      </c>
      <c r="S45" s="178">
        <f>'6. NII'!S27</f>
        <v>-14277.970720000001</v>
      </c>
      <c r="T45" s="178">
        <f>'6. NII'!T27</f>
        <v>-65034.58827</v>
      </c>
      <c r="U45" s="178">
        <f>'6. NII'!U27</f>
        <v>45457.766470000002</v>
      </c>
      <c r="V45" s="178">
        <f>'6. NII'!V27</f>
        <v>-70951.081309999994</v>
      </c>
      <c r="W45" s="178">
        <f>'6. NII'!W27</f>
        <v>42486.294860000002</v>
      </c>
      <c r="X45" s="178">
        <f>'6. NII'!X27</f>
        <v>120316.48633000001</v>
      </c>
      <c r="Y45" s="178">
        <f>'6. NII'!Y27</f>
        <v>10504.47</v>
      </c>
      <c r="Z45" s="178">
        <f>'6. NII'!Z27</f>
        <v>170170.23048</v>
      </c>
      <c r="AA45" s="178">
        <f>'6. NII'!AA27</f>
        <v>-52954.925000000003</v>
      </c>
      <c r="AB45" s="178">
        <f>'6. NII'!AB27</f>
        <v>-65304.398000000001</v>
      </c>
      <c r="AC45" s="178">
        <f>'6. NII'!AC27</f>
        <v>13502.240190000006</v>
      </c>
      <c r="AD45" s="178">
        <f>'6. NII'!AD27</f>
        <v>4863</v>
      </c>
      <c r="AE45" s="178">
        <f>'6. NII'!AE27</f>
        <v>28586.45</v>
      </c>
      <c r="AG45" s="150">
        <f t="shared" si="112"/>
        <v>4.8783569812872711</v>
      </c>
      <c r="AH45" s="150">
        <f t="shared" si="113"/>
        <v>-1.5398260879417731</v>
      </c>
    </row>
    <row r="46" spans="2:37" ht="13" customHeight="1">
      <c r="B46" s="59" t="str">
        <f>IF('Summary | Sumário'!D$6=Names!B$3,Names!O77,Names!Z77)</f>
        <v>SME</v>
      </c>
      <c r="C46" s="177">
        <f>'6. NII'!C9</f>
        <v>0</v>
      </c>
      <c r="D46" s="177">
        <f>'6. NII'!D9</f>
        <v>59990.754910000003</v>
      </c>
      <c r="E46" s="177">
        <f>'6. NII'!E9</f>
        <v>186131.85699999999</v>
      </c>
      <c r="F46" s="177">
        <f>'6. NII'!F9</f>
        <v>450650.24199999997</v>
      </c>
      <c r="G46" s="177">
        <f>'6. NII'!G9</f>
        <v>521929</v>
      </c>
      <c r="H46" s="177">
        <f>'6. NII'!H9</f>
        <v>567087.72747602698</v>
      </c>
      <c r="I46" s="177">
        <f>'6. NII'!I9</f>
        <v>571431</v>
      </c>
      <c r="J46" s="160"/>
      <c r="K46" s="177">
        <f>'6. NII'!K9</f>
        <v>20454.21</v>
      </c>
      <c r="L46" s="177">
        <f>'6. NII'!L9</f>
        <v>37744.78</v>
      </c>
      <c r="M46" s="177">
        <f>'6. NII'!M9</f>
        <v>42772.136999999988</v>
      </c>
      <c r="N46" s="177">
        <f>'6. NII'!N9</f>
        <v>85160.73000000001</v>
      </c>
      <c r="O46" s="177">
        <f>'6. NII'!O9</f>
        <v>84615.255999999994</v>
      </c>
      <c r="P46" s="177">
        <f>'6. NII'!P9</f>
        <v>107134.802</v>
      </c>
      <c r="Q46" s="177">
        <f>'6. NII'!Q9</f>
        <v>112397.92600000002</v>
      </c>
      <c r="R46" s="177">
        <f>'6. NII'!R9</f>
        <v>146502.258</v>
      </c>
      <c r="S46" s="177">
        <f>'6. NII'!S9</f>
        <v>124265.87599999999</v>
      </c>
      <c r="T46" s="177">
        <f>'6. NII'!T9</f>
        <v>120750</v>
      </c>
      <c r="U46" s="177">
        <f>'6. NII'!U9</f>
        <v>131787.38165</v>
      </c>
      <c r="V46" s="177">
        <f>'6. NII'!V9</f>
        <v>145125.74235000001</v>
      </c>
      <c r="W46" s="177">
        <f>'6. NII'!W9</f>
        <v>124639</v>
      </c>
      <c r="X46" s="177">
        <f>'6. NII'!X9</f>
        <v>152217.704</v>
      </c>
      <c r="Y46" s="177">
        <f>'6. NII'!Y9</f>
        <v>145605.608548077</v>
      </c>
      <c r="Z46" s="177">
        <f>'6. NII'!Z9</f>
        <v>144625.41492794995</v>
      </c>
      <c r="AA46" s="177">
        <f>'6. NII'!AA9</f>
        <v>127223</v>
      </c>
      <c r="AB46" s="177">
        <f>'6. NII'!AB9</f>
        <v>136543</v>
      </c>
      <c r="AC46" s="177">
        <f>'6. NII'!AC9</f>
        <v>143359</v>
      </c>
      <c r="AD46" s="177">
        <f>'6. NII'!AD9</f>
        <v>164306</v>
      </c>
      <c r="AE46" s="177">
        <f>'6. NII'!AE9</f>
        <v>155714</v>
      </c>
      <c r="AG46" s="151">
        <f t="shared" si="112"/>
        <v>-5.229267342641164E-2</v>
      </c>
      <c r="AH46" s="151">
        <f t="shared" si="113"/>
        <v>0.22394535579258457</v>
      </c>
    </row>
    <row r="47" spans="2:37" ht="13" customHeight="1">
      <c r="B47" s="54" t="str">
        <f>IF('Summary | Sumário'!D$6=Names!B$3,Names!O78,Names!Z78)</f>
        <v>Credit Cards</v>
      </c>
      <c r="C47" s="178">
        <f>'6. NII'!C10</f>
        <v>0</v>
      </c>
      <c r="D47" s="178">
        <f>'6. NII'!D10</f>
        <v>118278.86974999998</v>
      </c>
      <c r="E47" s="178">
        <f>'6. NII'!E10</f>
        <v>245100.40700000001</v>
      </c>
      <c r="F47" s="178">
        <f>'6. NII'!F10</f>
        <v>717577.09288999997</v>
      </c>
      <c r="G47" s="178">
        <f>'6. NII'!G10</f>
        <v>1246489</v>
      </c>
      <c r="H47" s="178">
        <f>'6. NII'!H10</f>
        <v>1478234.26339874</v>
      </c>
      <c r="I47" s="178">
        <f>'6. NII'!I10</f>
        <v>1997184</v>
      </c>
      <c r="J47" s="160"/>
      <c r="K47" s="178">
        <f>'6. NII'!K10</f>
        <v>44269.502</v>
      </c>
      <c r="L47" s="178">
        <f>'6. NII'!L10</f>
        <v>45538.873</v>
      </c>
      <c r="M47" s="178">
        <f>'6. NII'!M10</f>
        <v>66073.068999999989</v>
      </c>
      <c r="N47" s="178">
        <f>'6. NII'!N10</f>
        <v>89218.963000000018</v>
      </c>
      <c r="O47" s="178">
        <f>'6. NII'!O10</f>
        <v>109464.90658000001</v>
      </c>
      <c r="P47" s="178">
        <f>'6. NII'!P10</f>
        <v>137867.95378000001</v>
      </c>
      <c r="Q47" s="178">
        <f>'6. NII'!Q10</f>
        <v>231785.95109000002</v>
      </c>
      <c r="R47" s="178">
        <f>'6. NII'!R10</f>
        <v>238458.28143999999</v>
      </c>
      <c r="S47" s="178">
        <f>'6. NII'!S10</f>
        <v>272598.95357000001</v>
      </c>
      <c r="T47" s="178">
        <f>'6. NII'!T10</f>
        <v>306514.12313000002</v>
      </c>
      <c r="U47" s="178">
        <f>'6. NII'!U10</f>
        <v>333795.27627999999</v>
      </c>
      <c r="V47" s="178">
        <f>'6. NII'!V10</f>
        <v>333580.64701999992</v>
      </c>
      <c r="W47" s="178">
        <f>'6. NII'!W10</f>
        <v>352400</v>
      </c>
      <c r="X47" s="178">
        <f>'6. NII'!X10</f>
        <v>369047.58500000002</v>
      </c>
      <c r="Y47" s="178">
        <f>'6. NII'!Y10</f>
        <v>379767.67666355905</v>
      </c>
      <c r="Z47" s="178">
        <f>'6. NII'!Z10</f>
        <v>377019.00173518108</v>
      </c>
      <c r="AA47" s="178">
        <f>'6. NII'!AA10</f>
        <v>403675</v>
      </c>
      <c r="AB47" s="178">
        <f>'6. NII'!AB10</f>
        <v>446533</v>
      </c>
      <c r="AC47" s="178">
        <f>'6. NII'!AC10</f>
        <v>551464</v>
      </c>
      <c r="AD47" s="178">
        <f>'6. NII'!AD10</f>
        <v>595512</v>
      </c>
      <c r="AE47" s="178">
        <f>'6. NII'!AE10</f>
        <v>691664</v>
      </c>
      <c r="AF47" s="178"/>
      <c r="AG47" s="150">
        <f t="shared" si="112"/>
        <v>0.16146106207767441</v>
      </c>
      <c r="AH47" s="150">
        <f t="shared" si="113"/>
        <v>0.71341797237877014</v>
      </c>
    </row>
    <row r="48" spans="2:37" ht="13" customHeight="1">
      <c r="B48" s="59" t="str">
        <f>IF('Summary | Sumário'!D$6=Names!B$3,Names!O80,Names!Z80)</f>
        <v>Prepayment of receivables</v>
      </c>
      <c r="C48" s="177">
        <f>'6. NII'!C11</f>
        <v>0</v>
      </c>
      <c r="D48" s="177">
        <f>'6. NII'!D11</f>
        <v>793.77571</v>
      </c>
      <c r="E48" s="177">
        <f>'6. NII'!E11</f>
        <v>12540.518</v>
      </c>
      <c r="F48" s="177">
        <f>'6. NII'!F11</f>
        <v>101704.27800000001</v>
      </c>
      <c r="G48" s="177">
        <f>'6. NII'!G11</f>
        <v>242443</v>
      </c>
      <c r="H48" s="177">
        <f>'6. NII'!H11</f>
        <v>418724.30605999997</v>
      </c>
      <c r="I48" s="177">
        <f>'6. NII'!I11</f>
        <v>791786</v>
      </c>
      <c r="J48" s="160"/>
      <c r="K48" s="177">
        <f>'6. NII'!K11</f>
        <v>2554.556</v>
      </c>
      <c r="L48" s="177">
        <f>'6. NII'!L11</f>
        <v>2758.1950000000002</v>
      </c>
      <c r="M48" s="177">
        <f>'6. NII'!M11</f>
        <v>1333.1729999999998</v>
      </c>
      <c r="N48" s="177">
        <f>'6. NII'!N11</f>
        <v>5894.594000000001</v>
      </c>
      <c r="O48" s="177">
        <f>'6. NII'!O11</f>
        <v>5242.8329999999996</v>
      </c>
      <c r="P48" s="177">
        <f>'6. NII'!P11</f>
        <v>17718.065000000002</v>
      </c>
      <c r="Q48" s="177">
        <f>'6. NII'!Q11</f>
        <v>32903.998999999996</v>
      </c>
      <c r="R48" s="177">
        <f>'6. NII'!R11</f>
        <v>45839.381000000008</v>
      </c>
      <c r="S48" s="177">
        <f>'6. NII'!S11</f>
        <v>64806.196000000004</v>
      </c>
      <c r="T48" s="177">
        <f>'6. NII'!T11</f>
        <v>59977</v>
      </c>
      <c r="U48" s="177">
        <f>'6. NII'!U11</f>
        <v>60383</v>
      </c>
      <c r="V48" s="177">
        <f>'6. NII'!V11</f>
        <v>57276.804000000004</v>
      </c>
      <c r="W48" s="177">
        <f>'6. NII'!W11</f>
        <v>59662</v>
      </c>
      <c r="X48" s="177">
        <f>'6. NII'!X11</f>
        <v>53645.453999999998</v>
      </c>
      <c r="Y48" s="177">
        <f>'6. NII'!Y11</f>
        <v>136932.53951</v>
      </c>
      <c r="Z48" s="177">
        <f>'6. NII'!Z11</f>
        <v>168484.31254999997</v>
      </c>
      <c r="AA48" s="177">
        <f>'6. NII'!AA11</f>
        <v>240697</v>
      </c>
      <c r="AB48" s="177">
        <f>'6. NII'!AB11</f>
        <v>246467</v>
      </c>
      <c r="AC48" s="177">
        <f>'6. NII'!AC11</f>
        <v>163154</v>
      </c>
      <c r="AD48" s="177">
        <f>'6. NII'!AD11</f>
        <v>141468</v>
      </c>
      <c r="AE48" s="177">
        <f>'6. NII'!AE11</f>
        <v>192085</v>
      </c>
      <c r="AG48" s="151">
        <f t="shared" si="112"/>
        <v>0.35779822998840727</v>
      </c>
      <c r="AH48" s="151">
        <f t="shared" si="113"/>
        <v>-0.20196346443869262</v>
      </c>
    </row>
    <row r="49" spans="2:36" ht="13" customHeight="1">
      <c r="B49" s="50" t="str">
        <f>IF('Summary | Sumário'!D$6=Names!B$3,Names!O81,Names!Z81)</f>
        <v>Amounts due from financial institutions</v>
      </c>
      <c r="C49" s="178">
        <v>0</v>
      </c>
      <c r="D49" s="178">
        <f>'6. NII'!D12</f>
        <v>126619</v>
      </c>
      <c r="E49" s="178">
        <f>'6. NII'!E12</f>
        <v>71106.437999999995</v>
      </c>
      <c r="F49" s="178">
        <f>'6. NII'!F12</f>
        <v>221136.43900000001</v>
      </c>
      <c r="G49" s="178">
        <f>'6. NII'!G12</f>
        <v>497054</v>
      </c>
      <c r="H49" s="178">
        <f>'6. NII'!H12</f>
        <v>338955.05183999997</v>
      </c>
      <c r="I49" s="178">
        <f>'6. NII'!I12</f>
        <v>379823</v>
      </c>
      <c r="J49" s="160"/>
      <c r="K49" s="178">
        <f>'6. NII'!K12</f>
        <v>14427.704</v>
      </c>
      <c r="L49" s="178">
        <f>'6. NII'!L12</f>
        <v>7946.8799999999992</v>
      </c>
      <c r="M49" s="178">
        <f>'6. NII'!M12</f>
        <v>24631.656000000003</v>
      </c>
      <c r="N49" s="178">
        <f>'6. NII'!N12</f>
        <v>24100.197999999997</v>
      </c>
      <c r="O49" s="178">
        <f>'6. NII'!O12</f>
        <v>30138.153999999999</v>
      </c>
      <c r="P49" s="178">
        <f>'6. NII'!P12</f>
        <v>31814.657000000003</v>
      </c>
      <c r="Q49" s="178">
        <f>'6. NII'!Q12</f>
        <v>78399.862000000008</v>
      </c>
      <c r="R49" s="178">
        <f>'6. NII'!R12</f>
        <v>80783.765999999989</v>
      </c>
      <c r="S49" s="178">
        <f>'6. NII'!S12</f>
        <v>97468.479000000007</v>
      </c>
      <c r="T49" s="178">
        <f>'6. NII'!T12</f>
        <v>114751</v>
      </c>
      <c r="U49" s="178">
        <f>'6. NII'!U12</f>
        <v>147490</v>
      </c>
      <c r="V49" s="178">
        <f>'6. NII'!V12</f>
        <v>137344.52100000001</v>
      </c>
      <c r="W49" s="178">
        <f>'6. NII'!W12</f>
        <v>117428</v>
      </c>
      <c r="X49" s="178">
        <f>'6. NII'!X12</f>
        <v>99401.437999999995</v>
      </c>
      <c r="Y49" s="178">
        <f>'6. NII'!Y12</f>
        <v>71615.8989899999</v>
      </c>
      <c r="Z49" s="178">
        <f>'6. NII'!Z12</f>
        <v>50509.714850000106</v>
      </c>
      <c r="AA49" s="178">
        <f>'6. NII'!AA12</f>
        <v>31738</v>
      </c>
      <c r="AB49" s="178">
        <f>'6. NII'!AB12</f>
        <v>65647</v>
      </c>
      <c r="AC49" s="178">
        <f>'6. NII'!AC12</f>
        <v>170971</v>
      </c>
      <c r="AD49" s="178">
        <f>'6. NII'!AD12</f>
        <v>111467</v>
      </c>
      <c r="AE49" s="178">
        <f>'6. NII'!AE12</f>
        <v>50945</v>
      </c>
      <c r="AG49" s="150">
        <f t="shared" si="112"/>
        <v>-0.54295890263486046</v>
      </c>
      <c r="AH49" s="150">
        <f t="shared" si="113"/>
        <v>0.60517360892305749</v>
      </c>
    </row>
    <row r="50" spans="2:36" ht="13" customHeight="1">
      <c r="B50" s="52" t="str">
        <f>IF('Summary | Sumário'!D$6=Names!B$3,Names!O57,Names!Z57)</f>
        <v>Income from securities</v>
      </c>
      <c r="C50" s="177">
        <v>0</v>
      </c>
      <c r="D50" s="177">
        <f>'6. NII'!D19</f>
        <v>12060</v>
      </c>
      <c r="E50" s="177">
        <f>'6. NII'!E19</f>
        <v>745613</v>
      </c>
      <c r="F50" s="177">
        <f>'6. NII'!F19</f>
        <v>1471737</v>
      </c>
      <c r="G50" s="177">
        <f>'6. NII'!G19</f>
        <v>1615108</v>
      </c>
      <c r="H50" s="177">
        <f>'6. NII'!H19</f>
        <v>2007869.4701800002</v>
      </c>
      <c r="I50" s="177">
        <f>'6. NII'!I19</f>
        <v>3331154</v>
      </c>
      <c r="J50" s="160"/>
      <c r="K50" s="177">
        <f>'6. NII'!K19</f>
        <v>88068</v>
      </c>
      <c r="L50" s="177">
        <f>'6. NII'!L19</f>
        <v>106662</v>
      </c>
      <c r="M50" s="177">
        <f>'6. NII'!M19</f>
        <v>228420</v>
      </c>
      <c r="N50" s="177">
        <f>'6. NII'!N19</f>
        <v>322463</v>
      </c>
      <c r="O50" s="177">
        <f>'6. NII'!O19</f>
        <v>348013</v>
      </c>
      <c r="P50" s="177">
        <f>'6. NII'!P19</f>
        <v>406846</v>
      </c>
      <c r="Q50" s="177">
        <f>'6. NII'!Q19</f>
        <v>340982</v>
      </c>
      <c r="R50" s="177">
        <f>'6. NII'!R19</f>
        <v>375896</v>
      </c>
      <c r="S50" s="177">
        <f>'6. NII'!S19</f>
        <v>370924</v>
      </c>
      <c r="T50" s="177">
        <f>'6. NII'!T19</f>
        <v>402038</v>
      </c>
      <c r="U50" s="177">
        <f>'6. NII'!U19</f>
        <v>417887</v>
      </c>
      <c r="V50" s="177">
        <f>'6. NII'!V19</f>
        <v>424259</v>
      </c>
      <c r="W50" s="177">
        <f>'6. NII'!W19</f>
        <v>446719</v>
      </c>
      <c r="X50" s="177">
        <f>'6. NII'!X19</f>
        <v>456585.37339384999</v>
      </c>
      <c r="Y50" s="177">
        <f>'6. NII'!Y19</f>
        <v>513731</v>
      </c>
      <c r="Z50" s="177">
        <f>'6. NII'!Z19</f>
        <v>590834.09678615024</v>
      </c>
      <c r="AA50" s="177">
        <f>'6. NII'!AA19</f>
        <v>737446</v>
      </c>
      <c r="AB50" s="177">
        <f>'6. NII'!AB19</f>
        <v>802844</v>
      </c>
      <c r="AC50" s="177">
        <f>'6. NII'!AC19</f>
        <v>832987</v>
      </c>
      <c r="AD50" s="177">
        <f>'6. NII'!AD19</f>
        <v>957877</v>
      </c>
      <c r="AE50" s="177">
        <f>'6. NII'!AE19</f>
        <v>954052</v>
      </c>
      <c r="AG50" s="151">
        <f t="shared" si="112"/>
        <v>-3.9932058082613464E-3</v>
      </c>
      <c r="AH50" s="151">
        <f t="shared" si="113"/>
        <v>0.29372455745912252</v>
      </c>
    </row>
    <row r="51" spans="2:36" ht="13" customHeight="1">
      <c r="B51" s="50" t="str">
        <f>IF('Summary | Sumário'!D$6=Names!B$3,Names!O41,Names!Z41)</f>
        <v xml:space="preserve">Others </v>
      </c>
      <c r="C51" s="178">
        <f t="shared" ref="C51:Z51" si="122">C52+C56+C57</f>
        <v>0</v>
      </c>
      <c r="D51" s="178">
        <f t="shared" si="122"/>
        <v>41237.078179336975</v>
      </c>
      <c r="E51" s="178">
        <f t="shared" si="122"/>
        <v>71276.997000000003</v>
      </c>
      <c r="F51" s="178">
        <f t="shared" si="122"/>
        <v>175630.41011000003</v>
      </c>
      <c r="G51" s="178">
        <f t="shared" si="122"/>
        <v>132222.69524</v>
      </c>
      <c r="H51" s="178">
        <f t="shared" si="122"/>
        <v>284708.22488701076</v>
      </c>
      <c r="I51" s="178">
        <f t="shared" ref="I51" si="123">I52+I56+I57</f>
        <v>837094.75442999997</v>
      </c>
      <c r="J51" s="160"/>
      <c r="K51" s="178">
        <f t="shared" si="122"/>
        <v>6430.9879999999966</v>
      </c>
      <c r="L51" s="178">
        <f t="shared" si="122"/>
        <v>21505.78</v>
      </c>
      <c r="M51" s="178">
        <f t="shared" si="122"/>
        <v>5098.7360000000008</v>
      </c>
      <c r="N51" s="178">
        <f t="shared" si="122"/>
        <v>38241.493000000002</v>
      </c>
      <c r="O51" s="178">
        <f t="shared" si="122"/>
        <v>56357.383700000006</v>
      </c>
      <c r="P51" s="178">
        <f t="shared" si="122"/>
        <v>22775.274100000002</v>
      </c>
      <c r="Q51" s="178">
        <f t="shared" si="122"/>
        <v>50307.473010000016</v>
      </c>
      <c r="R51" s="178">
        <f t="shared" si="122"/>
        <v>46190.279300000002</v>
      </c>
      <c r="S51" s="178">
        <f t="shared" si="122"/>
        <v>44554.932860000015</v>
      </c>
      <c r="T51" s="178">
        <f t="shared" si="122"/>
        <v>26381.612340000036</v>
      </c>
      <c r="U51" s="178">
        <f t="shared" si="122"/>
        <v>46543.530299999984</v>
      </c>
      <c r="V51" s="178">
        <f t="shared" si="122"/>
        <v>14742.619739999966</v>
      </c>
      <c r="W51" s="178">
        <f t="shared" si="122"/>
        <v>41067.400446820073</v>
      </c>
      <c r="X51" s="178">
        <f t="shared" si="122"/>
        <v>25103.736303475634</v>
      </c>
      <c r="Y51" s="178">
        <f t="shared" si="122"/>
        <v>94839.616624334885</v>
      </c>
      <c r="Z51" s="178">
        <f t="shared" si="122"/>
        <v>123697.47151238013</v>
      </c>
      <c r="AA51" s="178">
        <f>AA52+AA56+AA57</f>
        <v>151966.38</v>
      </c>
      <c r="AB51" s="178">
        <f>AB52+AB56+AB57</f>
        <v>164567.853</v>
      </c>
      <c r="AC51" s="178">
        <f>AC52+AC56+AC57</f>
        <v>234542.34643000001</v>
      </c>
      <c r="AD51" s="178">
        <f>AD52+AD56+AD57</f>
        <v>286018.17499999999</v>
      </c>
      <c r="AE51" s="178">
        <f>AE52+AE56+AE57</f>
        <v>280624.06445000001</v>
      </c>
      <c r="AG51" s="150">
        <f t="shared" si="112"/>
        <v>-1.8859327908095302E-2</v>
      </c>
      <c r="AH51" s="150">
        <f t="shared" si="113"/>
        <v>0.84661939338161507</v>
      </c>
    </row>
    <row r="52" spans="2:36" ht="13" customHeight="1">
      <c r="B52" s="59" t="str">
        <f>IF('Summary | Sumário'!D$6=Names!B$3,Names!P4,Names!Q4)</f>
        <v>Income from derivatives excl. loan hedge accouting</v>
      </c>
      <c r="C52" s="179">
        <v>0</v>
      </c>
      <c r="D52" s="179">
        <f t="shared" ref="D52:Z52" si="124">SUM(D53:D55)</f>
        <v>16554.398829336977</v>
      </c>
      <c r="E52" s="179">
        <f t="shared" si="124"/>
        <v>25023.904999999999</v>
      </c>
      <c r="F52" s="179">
        <f t="shared" si="124"/>
        <v>61469.504000000001</v>
      </c>
      <c r="G52" s="179">
        <f t="shared" si="124"/>
        <v>44972.695240000001</v>
      </c>
      <c r="H52" s="179">
        <f t="shared" si="124"/>
        <v>-5075.5435114582651</v>
      </c>
      <c r="I52" s="179">
        <f t="shared" ref="I52" si="125">SUM(I53:I55)</f>
        <v>139747.75443000003</v>
      </c>
      <c r="J52" s="180"/>
      <c r="K52" s="179">
        <f t="shared" si="124"/>
        <v>-3463.479000000003</v>
      </c>
      <c r="L52" s="179">
        <f t="shared" si="124"/>
        <v>12645.509999999998</v>
      </c>
      <c r="M52" s="179">
        <f t="shared" si="124"/>
        <v>-6953.585</v>
      </c>
      <c r="N52" s="179">
        <f t="shared" si="124"/>
        <v>22795.459000000003</v>
      </c>
      <c r="O52" s="179">
        <f t="shared" si="124"/>
        <v>19332.66</v>
      </c>
      <c r="P52" s="179">
        <f t="shared" si="124"/>
        <v>11467.525000000001</v>
      </c>
      <c r="Q52" s="179">
        <f t="shared" si="124"/>
        <v>14810.892999999998</v>
      </c>
      <c r="R52" s="179">
        <f t="shared" si="124"/>
        <v>15858.426000000001</v>
      </c>
      <c r="S52" s="179">
        <f t="shared" si="124"/>
        <v>19874.66372</v>
      </c>
      <c r="T52" s="179">
        <f t="shared" si="124"/>
        <v>132.6582699999999</v>
      </c>
      <c r="U52" s="179">
        <f t="shared" si="124"/>
        <v>12538.71191000002</v>
      </c>
      <c r="V52" s="179">
        <f t="shared" si="124"/>
        <v>12426.661339999984</v>
      </c>
      <c r="W52" s="179">
        <f t="shared" si="124"/>
        <v>-237.47946317993046</v>
      </c>
      <c r="X52" s="179">
        <f t="shared" si="124"/>
        <v>-14247.986806524365</v>
      </c>
      <c r="Y52" s="179">
        <f t="shared" si="124"/>
        <v>22967.409440000098</v>
      </c>
      <c r="Z52" s="179">
        <f t="shared" si="124"/>
        <v>-13557.48668175409</v>
      </c>
      <c r="AA52" s="179">
        <f>SUM(AA53:AA55)</f>
        <v>48937.08</v>
      </c>
      <c r="AB52" s="179">
        <f>SUM(AB53:AB55)</f>
        <v>31276.853000000003</v>
      </c>
      <c r="AC52" s="179">
        <f>SUM(AC53:AC55)</f>
        <v>32609.346430000012</v>
      </c>
      <c r="AD52" s="179">
        <f>SUM(AD53:AD55)</f>
        <v>26924.474999999999</v>
      </c>
      <c r="AE52" s="179">
        <f>SUM(AE53:AE55)</f>
        <v>85600.064450000005</v>
      </c>
      <c r="AG52" s="151">
        <f t="shared" si="112"/>
        <v>2.1792658705508652</v>
      </c>
      <c r="AH52" s="151">
        <f t="shared" si="113"/>
        <v>0.74918618867329245</v>
      </c>
    </row>
    <row r="53" spans="2:36" ht="13" customHeight="1">
      <c r="B53" s="651" t="str">
        <f>IF('Summary | Sumário'!D$6=Names!B$3,Names!O61,Names!Z61)</f>
        <v>Income from derivatives</v>
      </c>
      <c r="C53" s="178">
        <v>0</v>
      </c>
      <c r="D53" s="178">
        <f>'6. NII'!D23</f>
        <v>-54418</v>
      </c>
      <c r="E53" s="178">
        <f>'6. NII'!E23</f>
        <v>-48330.334000000003</v>
      </c>
      <c r="F53" s="178">
        <f>'6. NII'!F23</f>
        <v>33884.103000000003</v>
      </c>
      <c r="G53" s="178">
        <f>'6. NII'!G23</f>
        <v>-69273</v>
      </c>
      <c r="H53" s="178">
        <f>'6. NII'!H23</f>
        <v>546712.54295000003</v>
      </c>
      <c r="I53" s="178">
        <f>'6. NII'!I23</f>
        <v>145044</v>
      </c>
      <c r="J53" s="160"/>
      <c r="K53" s="178">
        <f>'6. NII'!K23</f>
        <v>-19931.596000000001</v>
      </c>
      <c r="L53" s="178">
        <f>'6. NII'!L23</f>
        <v>-23765.403999999999</v>
      </c>
      <c r="M53" s="178">
        <f>'6. NII'!M23</f>
        <v>-9869</v>
      </c>
      <c r="N53" s="178">
        <f>'6. NII'!N23</f>
        <v>5235.6660000000011</v>
      </c>
      <c r="O53" s="178">
        <f>'6. NII'!O23</f>
        <v>11009.383</v>
      </c>
      <c r="P53" s="178">
        <f>'6. NII'!P23</f>
        <v>-3030.3259999999982</v>
      </c>
      <c r="Q53" s="178">
        <f>'6. NII'!Q23</f>
        <v>5940.735999999999</v>
      </c>
      <c r="R53" s="178">
        <f>'6. NII'!R23</f>
        <v>19964.310000000001</v>
      </c>
      <c r="S53" s="178">
        <f>'6. NII'!S23</f>
        <v>482.30199999999877</v>
      </c>
      <c r="T53" s="178">
        <f>'6. NII'!T23</f>
        <v>-58862</v>
      </c>
      <c r="U53" s="178">
        <f>'6. NII'!U23</f>
        <v>64133.019220000024</v>
      </c>
      <c r="V53" s="178">
        <f>'6. NII'!V23</f>
        <v>-75026.321220000013</v>
      </c>
      <c r="W53" s="178">
        <f>'6. NII'!W23</f>
        <v>68661.610820000031</v>
      </c>
      <c r="X53" s="178">
        <f>'6. NII'!X23</f>
        <v>173310.82241000002</v>
      </c>
      <c r="Y53" s="178">
        <f>'6. NII'!Y23</f>
        <v>44424.709440000101</v>
      </c>
      <c r="Z53" s="178">
        <f>'6. NII'!Z23</f>
        <v>260315.40027999989</v>
      </c>
      <c r="AA53" s="178">
        <f>'6. NII'!AA23</f>
        <v>-19187</v>
      </c>
      <c r="AB53" s="178">
        <f>'6. NII'!AB23</f>
        <v>-54549</v>
      </c>
      <c r="AC53" s="178">
        <f>'6. NII'!AC23</f>
        <v>182632</v>
      </c>
      <c r="AD53" s="178">
        <f>'6. NII'!AD23</f>
        <v>36148</v>
      </c>
      <c r="AE53" s="178">
        <f>'6. NII'!AE23</f>
        <v>113237</v>
      </c>
      <c r="AF53" s="178"/>
      <c r="AG53" s="150">
        <f t="shared" si="112"/>
        <v>2.1325937811220537</v>
      </c>
      <c r="AH53" s="150">
        <f t="shared" si="113"/>
        <v>-6.9017563975608489</v>
      </c>
    </row>
    <row r="54" spans="2:36" ht="13" customHeight="1">
      <c r="B54" s="574" t="str">
        <f>IF('Summary | Sumário'!D$6=Names!B$3,Names!P2,Names!Q2)</f>
        <v>(-) Hedge accounting from real estate loans</v>
      </c>
      <c r="C54" s="179">
        <f t="shared" ref="C54:H54" si="126">-C42</f>
        <v>0</v>
      </c>
      <c r="D54" s="179">
        <f t="shared" si="126"/>
        <v>70972.398829336977</v>
      </c>
      <c r="E54" s="179">
        <f t="shared" si="126"/>
        <v>73354.239000000001</v>
      </c>
      <c r="F54" s="179">
        <f t="shared" si="126"/>
        <v>27585.400999999998</v>
      </c>
      <c r="G54" s="179">
        <f t="shared" si="126"/>
        <v>9439.8214100000023</v>
      </c>
      <c r="H54" s="179">
        <f t="shared" si="126"/>
        <v>-208310.60479145829</v>
      </c>
      <c r="I54" s="179">
        <f t="shared" ref="I54" si="127">-I42</f>
        <v>-105190.32837999998</v>
      </c>
      <c r="J54" s="180"/>
      <c r="K54" s="179">
        <f t="shared" ref="K54:AA54" si="128">-K42</f>
        <v>16468.116999999998</v>
      </c>
      <c r="L54" s="179">
        <f t="shared" si="128"/>
        <v>36410.913999999997</v>
      </c>
      <c r="M54" s="179">
        <f t="shared" si="128"/>
        <v>2915.415</v>
      </c>
      <c r="N54" s="179">
        <f t="shared" si="128"/>
        <v>17559.793000000001</v>
      </c>
      <c r="O54" s="179">
        <f t="shared" si="128"/>
        <v>8323.277</v>
      </c>
      <c r="P54" s="179">
        <f t="shared" si="128"/>
        <v>14497.851000000001</v>
      </c>
      <c r="Q54" s="179">
        <f t="shared" si="128"/>
        <v>8870.1569999999992</v>
      </c>
      <c r="R54" s="179">
        <f t="shared" si="128"/>
        <v>-4105.884</v>
      </c>
      <c r="S54" s="179">
        <f t="shared" si="128"/>
        <v>5114.3909999999996</v>
      </c>
      <c r="T54" s="179">
        <f t="shared" si="128"/>
        <v>-6039.93</v>
      </c>
      <c r="U54" s="179">
        <f t="shared" si="128"/>
        <v>-6136.5408399999997</v>
      </c>
      <c r="V54" s="179">
        <f t="shared" si="128"/>
        <v>16501.901250000003</v>
      </c>
      <c r="W54" s="179">
        <f t="shared" si="128"/>
        <v>-26412.795423179959</v>
      </c>
      <c r="X54" s="179">
        <f t="shared" si="128"/>
        <v>-67242.322886524373</v>
      </c>
      <c r="Y54" s="179">
        <f t="shared" si="128"/>
        <v>-10952.83</v>
      </c>
      <c r="Z54" s="179">
        <f t="shared" si="128"/>
        <v>-103702.65648175398</v>
      </c>
      <c r="AA54" s="179">
        <f t="shared" si="128"/>
        <v>15169.155000000001</v>
      </c>
      <c r="AB54" s="179">
        <f t="shared" ref="AB54:AC54" si="129">-AB42</f>
        <v>20521.455000000002</v>
      </c>
      <c r="AC54" s="179">
        <f t="shared" si="129"/>
        <v>-136520.41337999998</v>
      </c>
      <c r="AD54" s="179">
        <f t="shared" ref="AD54:AE54" si="130">-AD42</f>
        <v>-4360.5249999999996</v>
      </c>
      <c r="AE54" s="179">
        <f t="shared" si="130"/>
        <v>949.51445000000194</v>
      </c>
      <c r="AG54" s="151">
        <f t="shared" si="112"/>
        <v>-1.2177523234014258</v>
      </c>
      <c r="AH54" s="151">
        <f t="shared" si="113"/>
        <v>-0.93740492136839515</v>
      </c>
    </row>
    <row r="55" spans="2:36" ht="13" customHeight="1">
      <c r="B55" s="651" t="str">
        <f>IF('Summary | Sumário'!D$6=Names!B$3,Names!P3,Names!Q3)</f>
        <v>(-) Hedge accounting from personal loans</v>
      </c>
      <c r="C55" s="180">
        <f t="shared" ref="C55:H55" si="131">-C45</f>
        <v>0</v>
      </c>
      <c r="D55" s="180">
        <f t="shared" si="131"/>
        <v>0</v>
      </c>
      <c r="E55" s="180">
        <f t="shared" si="131"/>
        <v>0</v>
      </c>
      <c r="F55" s="180">
        <f t="shared" si="131"/>
        <v>0</v>
      </c>
      <c r="G55" s="180">
        <f t="shared" si="131"/>
        <v>104805.87383</v>
      </c>
      <c r="H55" s="180">
        <f t="shared" si="131"/>
        <v>-343477.48167000001</v>
      </c>
      <c r="I55" s="180">
        <f t="shared" ref="I55" si="132">-I45</f>
        <v>99894.082809999993</v>
      </c>
      <c r="J55" s="180"/>
      <c r="K55" s="180">
        <f t="shared" ref="K55:AA55" si="133">-K45</f>
        <v>0</v>
      </c>
      <c r="L55" s="180">
        <f t="shared" si="133"/>
        <v>0</v>
      </c>
      <c r="M55" s="180">
        <f t="shared" si="133"/>
        <v>0</v>
      </c>
      <c r="N55" s="180">
        <f t="shared" si="133"/>
        <v>0</v>
      </c>
      <c r="O55" s="180">
        <f t="shared" si="133"/>
        <v>0</v>
      </c>
      <c r="P55" s="180">
        <f t="shared" si="133"/>
        <v>0</v>
      </c>
      <c r="Q55" s="180">
        <f t="shared" si="133"/>
        <v>0</v>
      </c>
      <c r="R55" s="180">
        <f t="shared" si="133"/>
        <v>0</v>
      </c>
      <c r="S55" s="180">
        <f t="shared" si="133"/>
        <v>14277.970720000001</v>
      </c>
      <c r="T55" s="180">
        <f t="shared" si="133"/>
        <v>65034.58827</v>
      </c>
      <c r="U55" s="180">
        <f t="shared" si="133"/>
        <v>-45457.766470000002</v>
      </c>
      <c r="V55" s="180">
        <f t="shared" si="133"/>
        <v>70951.081309999994</v>
      </c>
      <c r="W55" s="180">
        <f t="shared" si="133"/>
        <v>-42486.294860000002</v>
      </c>
      <c r="X55" s="180">
        <f t="shared" si="133"/>
        <v>-120316.48633000001</v>
      </c>
      <c r="Y55" s="180">
        <f t="shared" si="133"/>
        <v>-10504.47</v>
      </c>
      <c r="Z55" s="180">
        <f t="shared" si="133"/>
        <v>-170170.23048</v>
      </c>
      <c r="AA55" s="180">
        <f t="shared" si="133"/>
        <v>52954.925000000003</v>
      </c>
      <c r="AB55" s="180">
        <f t="shared" ref="AB55:AC55" si="134">-AB45</f>
        <v>65304.398000000001</v>
      </c>
      <c r="AC55" s="180">
        <f t="shared" si="134"/>
        <v>-13502.240190000006</v>
      </c>
      <c r="AD55" s="180">
        <f t="shared" ref="AD55:AE55" si="135">-AD45</f>
        <v>-4863</v>
      </c>
      <c r="AE55" s="180">
        <f t="shared" si="135"/>
        <v>-28586.45</v>
      </c>
      <c r="AG55" s="150">
        <f t="shared" si="112"/>
        <v>4.8783569812872711</v>
      </c>
      <c r="AH55" s="150">
        <f t="shared" si="113"/>
        <v>-1.5398260879417731</v>
      </c>
    </row>
    <row r="56" spans="2:36" ht="13" customHeight="1">
      <c r="B56" s="59" t="str">
        <f>IF('Summary | Sumário'!D$6=Names!B$3,Names!O68,Names!Z68)</f>
        <v>Revenue foreign exchange</v>
      </c>
      <c r="C56" s="177">
        <v>0</v>
      </c>
      <c r="D56" s="177">
        <f>'6. NII'!D29</f>
        <v>17318</v>
      </c>
      <c r="E56" s="177">
        <f>'6. NII'!E29</f>
        <v>24667</v>
      </c>
      <c r="F56" s="177">
        <f>'6. NII'!F29</f>
        <v>99780</v>
      </c>
      <c r="G56" s="177">
        <f>'6. NII'!G29</f>
        <v>88708</v>
      </c>
      <c r="H56" s="177">
        <f>'6. NII'!H29</f>
        <v>74587.800272134002</v>
      </c>
      <c r="I56" s="177">
        <f>'6. NII'!I29</f>
        <v>136271</v>
      </c>
      <c r="J56" s="160"/>
      <c r="K56" s="177">
        <f>'6. NII'!K29</f>
        <v>5876</v>
      </c>
      <c r="L56" s="177">
        <f>'6. NII'!L29</f>
        <v>6689</v>
      </c>
      <c r="M56" s="177">
        <f>'6. NII'!M29</f>
        <v>5791</v>
      </c>
      <c r="N56" s="177">
        <f>'6. NII'!N29</f>
        <v>6311</v>
      </c>
      <c r="O56" s="177">
        <f>'6. NII'!O29</f>
        <v>17033</v>
      </c>
      <c r="P56" s="177">
        <f>'6. NII'!P29</f>
        <v>25563</v>
      </c>
      <c r="Q56" s="177">
        <f>'6. NII'!Q29</f>
        <v>31137</v>
      </c>
      <c r="R56" s="177">
        <f>'6. NII'!R29</f>
        <v>26047</v>
      </c>
      <c r="S56" s="177">
        <f>'6. NII'!S29</f>
        <v>14919</v>
      </c>
      <c r="T56" s="177">
        <f>'6. NII'!T29</f>
        <v>26191</v>
      </c>
      <c r="U56" s="177">
        <f>'6. NII'!U29</f>
        <v>26659</v>
      </c>
      <c r="V56" s="177">
        <f>'6. NII'!V29</f>
        <v>20939</v>
      </c>
      <c r="W56" s="177">
        <f>'6. NII'!W29</f>
        <v>21756</v>
      </c>
      <c r="X56" s="177">
        <f>'6. NII'!X29</f>
        <v>12197</v>
      </c>
      <c r="Y56" s="177">
        <f>'6. NII'!Y29</f>
        <v>29585</v>
      </c>
      <c r="Z56" s="177">
        <f>'6. NII'!Z29</f>
        <v>11049.800272134002</v>
      </c>
      <c r="AA56" s="177">
        <f>'6. NII'!AA29</f>
        <v>16485.3</v>
      </c>
      <c r="AB56" s="177">
        <f>'6. NII'!AB29</f>
        <v>16956</v>
      </c>
      <c r="AC56" s="177">
        <f>'6. NII'!AC29</f>
        <v>34408</v>
      </c>
      <c r="AD56" s="177">
        <f>'6. NII'!AD29</f>
        <v>68421.7</v>
      </c>
      <c r="AE56" s="177">
        <f>'6. NII'!AE29</f>
        <v>-3509</v>
      </c>
      <c r="AG56" s="151">
        <f t="shared" si="112"/>
        <v>-1.0512848993813366</v>
      </c>
      <c r="AH56" s="151">
        <f t="shared" si="113"/>
        <v>-1.2128563022814265</v>
      </c>
    </row>
    <row r="57" spans="2:36" ht="13" customHeight="1">
      <c r="B57" s="54" t="str">
        <f>IF('Summary | Sumário'!D$6=Names!B$3,Names!O41,Names!Z41)</f>
        <v xml:space="preserve">Others </v>
      </c>
      <c r="C57" s="178">
        <f>'6. NII'!C13</f>
        <v>0</v>
      </c>
      <c r="D57" s="178">
        <f>'6. NII'!D13</f>
        <v>7364.6793500000003</v>
      </c>
      <c r="E57" s="178">
        <f>'6. NII'!E13</f>
        <v>21586.092000000001</v>
      </c>
      <c r="F57" s="178">
        <f>'6. NII'!F13</f>
        <v>14380.906110000018</v>
      </c>
      <c r="G57" s="178">
        <f>'6. NII'!G13</f>
        <v>-1458</v>
      </c>
      <c r="H57" s="178">
        <f>'6. NII'!H13</f>
        <v>215195.96812633501</v>
      </c>
      <c r="I57" s="178">
        <f>'6. NII'!I13</f>
        <v>561076</v>
      </c>
      <c r="J57" s="160"/>
      <c r="K57" s="178">
        <f>'6. NII'!K13</f>
        <v>4018.4669999999996</v>
      </c>
      <c r="L57" s="178">
        <f>'6. NII'!L13</f>
        <v>2171.27</v>
      </c>
      <c r="M57" s="178">
        <f>'6. NII'!M13</f>
        <v>6261.3210000000008</v>
      </c>
      <c r="N57" s="178">
        <f>'6. NII'!N13</f>
        <v>9135.0339999999997</v>
      </c>
      <c r="O57" s="178">
        <f>'6. NII'!O13</f>
        <v>19991.723699999999</v>
      </c>
      <c r="P57" s="178">
        <f>'6. NII'!P13</f>
        <v>-14255.250899999999</v>
      </c>
      <c r="Q57" s="178">
        <f>'6. NII'!Q13</f>
        <v>4359.5800100000197</v>
      </c>
      <c r="R57" s="178">
        <f>'6. NII'!R13</f>
        <v>4284.8532999999998</v>
      </c>
      <c r="S57" s="178">
        <f>'6. NII'!S13</f>
        <v>9761.2691400000203</v>
      </c>
      <c r="T57" s="178">
        <f>'6. NII'!T13</f>
        <v>57.954070000036197</v>
      </c>
      <c r="U57" s="178">
        <f>'6. NII'!U13</f>
        <v>7345.8183899999603</v>
      </c>
      <c r="V57" s="178">
        <f>'6. NII'!V13</f>
        <v>-18623.041600000019</v>
      </c>
      <c r="W57" s="178">
        <f>'6. NII'!W13</f>
        <v>19548.879910000003</v>
      </c>
      <c r="X57" s="178">
        <f>'6. NII'!X13</f>
        <v>27154.723109999999</v>
      </c>
      <c r="Y57" s="178">
        <f>'6. NII'!Y13</f>
        <v>42287.207184334788</v>
      </c>
      <c r="Z57" s="178">
        <f>'6. NII'!Z13</f>
        <v>126205.15792200022</v>
      </c>
      <c r="AA57" s="178">
        <f>'6. NII'!AA13</f>
        <v>86544</v>
      </c>
      <c r="AB57" s="178">
        <f>'6. NII'!AB13</f>
        <v>116335</v>
      </c>
      <c r="AC57" s="178">
        <f>'6. NII'!AC13</f>
        <v>167525</v>
      </c>
      <c r="AD57" s="178">
        <f>'6. NII'!AD13</f>
        <v>190672</v>
      </c>
      <c r="AE57" s="178">
        <f>'6. NII'!AE13</f>
        <v>198533</v>
      </c>
      <c r="AG57" s="150">
        <f t="shared" si="112"/>
        <v>4.1227867751951086E-2</v>
      </c>
      <c r="AH57" s="150">
        <f t="shared" si="113"/>
        <v>1.2940122943242742</v>
      </c>
    </row>
    <row r="58" spans="2:36" ht="13" customHeight="1">
      <c r="B58" s="274" t="str">
        <f>IF('Summary | Sumário'!D$6=Names!B$3,Names!P5,Names!Q5)</f>
        <v>Gross interest income</v>
      </c>
      <c r="C58" s="547">
        <f t="shared" ref="C58:Z58" si="136">C39+C49+C50+C51</f>
        <v>0</v>
      </c>
      <c r="D58" s="547">
        <f t="shared" si="136"/>
        <v>917615.89517999999</v>
      </c>
      <c r="E58" s="547">
        <f t="shared" si="136"/>
        <v>2157376.912</v>
      </c>
      <c r="F58" s="547">
        <f t="shared" si="136"/>
        <v>4408059.1849999996</v>
      </c>
      <c r="G58" s="547">
        <f t="shared" si="136"/>
        <v>6184370</v>
      </c>
      <c r="H58" s="547">
        <f t="shared" si="136"/>
        <v>7768382.3533466654</v>
      </c>
      <c r="I58" s="547">
        <f t="shared" ref="I58" si="137">I39+I49+I50+I51</f>
        <v>12250946</v>
      </c>
      <c r="J58" s="169"/>
      <c r="K58" s="547">
        <f t="shared" si="136"/>
        <v>363016.33900000004</v>
      </c>
      <c r="L58" s="547">
        <f t="shared" si="136"/>
        <v>395245.34699999995</v>
      </c>
      <c r="M58" s="547">
        <f t="shared" si="136"/>
        <v>591747.88</v>
      </c>
      <c r="N58" s="547">
        <f t="shared" si="136"/>
        <v>807367.3459999999</v>
      </c>
      <c r="O58" s="547">
        <f t="shared" si="136"/>
        <v>897215.01500000001</v>
      </c>
      <c r="P58" s="547">
        <f t="shared" si="136"/>
        <v>1051691.311</v>
      </c>
      <c r="Q58" s="547">
        <f t="shared" si="136"/>
        <v>1166402.4669999999</v>
      </c>
      <c r="R58" s="547">
        <f t="shared" si="136"/>
        <v>1292750.392</v>
      </c>
      <c r="S58" s="547">
        <f t="shared" si="136"/>
        <v>1399252.1240000001</v>
      </c>
      <c r="T58" s="547">
        <f t="shared" si="136"/>
        <v>1520472</v>
      </c>
      <c r="U58" s="547">
        <f t="shared" si="136"/>
        <v>1615614.1079599999</v>
      </c>
      <c r="V58" s="547">
        <f t="shared" si="136"/>
        <v>1649031.7680399998</v>
      </c>
      <c r="W58" s="547">
        <f t="shared" si="136"/>
        <v>1754666.6108200001</v>
      </c>
      <c r="X58" s="547">
        <f t="shared" si="136"/>
        <v>1814508.3348038502</v>
      </c>
      <c r="Y58" s="547">
        <f t="shared" si="136"/>
        <v>1999966.8495736329</v>
      </c>
      <c r="Z58" s="547">
        <f t="shared" si="136"/>
        <v>2199240.5581491832</v>
      </c>
      <c r="AA58" s="547">
        <f>AA39+AA49+AA50+AA51</f>
        <v>2541614.2999999998</v>
      </c>
      <c r="AB58" s="547">
        <f>AB39+AB49+AB50+AB51</f>
        <v>2893465</v>
      </c>
      <c r="AC58" s="547">
        <f>AC39+AC49+AC50+AC51</f>
        <v>3276450</v>
      </c>
      <c r="AD58" s="547">
        <f>AD39+AD49+AD50+AD51</f>
        <v>3539416.6999999997</v>
      </c>
      <c r="AE58" s="547">
        <f>AE39+AE49+AE50+AE51</f>
        <v>3633230</v>
      </c>
      <c r="AF58" s="321"/>
      <c r="AG58" s="309">
        <f t="shared" si="112"/>
        <v>2.6505299587923803E-2</v>
      </c>
      <c r="AH58" s="309">
        <f t="shared" si="113"/>
        <v>0.42949699330854418</v>
      </c>
    </row>
    <row r="60" spans="2:36" ht="13" customHeight="1">
      <c r="B60" s="23" t="str">
        <f>IF('Summary | Sumário'!D$6=Names!B$3,Names!V14,Names!W14)</f>
        <v>Gross IEP</v>
      </c>
      <c r="C60" s="310"/>
      <c r="D60" s="310"/>
      <c r="E60" s="310"/>
      <c r="F60" s="310"/>
      <c r="G60" s="310"/>
      <c r="H60" s="310"/>
      <c r="I60" s="310"/>
      <c r="J60" s="167"/>
      <c r="K60" s="310"/>
      <c r="L60" s="310"/>
      <c r="M60" s="310"/>
      <c r="N60" s="310"/>
      <c r="O60" s="310"/>
      <c r="P60" s="310"/>
      <c r="Q60" s="310"/>
      <c r="R60" s="310"/>
      <c r="S60" s="310"/>
      <c r="T60" s="310"/>
      <c r="U60" s="310"/>
      <c r="V60" s="310"/>
      <c r="W60" s="310"/>
      <c r="X60" s="310"/>
      <c r="Y60" s="310"/>
      <c r="Z60" s="310"/>
      <c r="AA60" s="310"/>
      <c r="AB60" s="310"/>
      <c r="AC60" s="310"/>
      <c r="AD60" s="310"/>
      <c r="AE60" s="310"/>
      <c r="AF60" s="167"/>
      <c r="AG60" s="310"/>
      <c r="AH60" s="310"/>
    </row>
    <row r="61" spans="2:36" ht="13" customHeight="1">
      <c r="B61" s="279" t="str">
        <f>IF('Summary | Sumário'!D$6=Names!B$3,Names!V18,Names!W18)</f>
        <v>Gross loans and advances to customers excl. rural</v>
      </c>
      <c r="C61" s="280">
        <f>SUM(C62:C66)</f>
        <v>4710548.3870000001</v>
      </c>
      <c r="D61" s="280">
        <f t="shared" ref="D61:AA61" si="138">SUM(D62:D66)</f>
        <v>6937990.8250000002</v>
      </c>
      <c r="E61" s="280">
        <f t="shared" si="138"/>
        <v>12691962</v>
      </c>
      <c r="F61" s="280">
        <f t="shared" si="138"/>
        <v>18412526</v>
      </c>
      <c r="G61" s="280">
        <f t="shared" si="138"/>
        <v>22785868.397</v>
      </c>
      <c r="H61" s="280">
        <f t="shared" si="138"/>
        <v>31291943.489700001</v>
      </c>
      <c r="I61" s="280">
        <f t="shared" ref="I61" si="139">SUM(I62:I66)</f>
        <v>40435987.74887</v>
      </c>
      <c r="J61" s="164"/>
      <c r="K61" s="280">
        <f t="shared" ref="K61" si="140">SUM(K62:K66)</f>
        <v>8018109.7009899989</v>
      </c>
      <c r="L61" s="280">
        <f t="shared" ref="L61" si="141">SUM(L62:L66)</f>
        <v>9523986.0610000007</v>
      </c>
      <c r="M61" s="280">
        <f t="shared" ref="M61" si="142">SUM(M62:M66)</f>
        <v>11131449.932</v>
      </c>
      <c r="N61" s="280">
        <f t="shared" ref="N61" si="143">SUM(N62:N66)</f>
        <v>12691962</v>
      </c>
      <c r="O61" s="280">
        <f t="shared" ref="O61" si="144">SUM(O62:O66)</f>
        <v>13401177.585999999</v>
      </c>
      <c r="P61" s="280">
        <f t="shared" ref="P61" si="145">SUM(P62:P66)</f>
        <v>14477433.610000001</v>
      </c>
      <c r="Q61" s="280">
        <f t="shared" ref="Q61" si="146">SUM(Q62:Q66)</f>
        <v>16305725</v>
      </c>
      <c r="R61" s="280">
        <f t="shared" ref="R61" si="147">SUM(R62:R66)</f>
        <v>18412526</v>
      </c>
      <c r="S61" s="280">
        <f t="shared" ref="S61" si="148">SUM(S62:S66)</f>
        <v>18698095.387827475</v>
      </c>
      <c r="T61" s="280">
        <f t="shared" ref="T61" si="149">SUM(T62:T66)</f>
        <v>19846256.767574593</v>
      </c>
      <c r="U61" s="280">
        <f t="shared" ref="U61" si="150">SUM(U62:U66)</f>
        <v>20726741.954999998</v>
      </c>
      <c r="V61" s="280">
        <f t="shared" ref="V61" si="151">SUM(V62:V66)</f>
        <v>22785868.397</v>
      </c>
      <c r="W61" s="280">
        <f t="shared" ref="W61" si="152">SUM(W62:W66)</f>
        <v>23400618.588550199</v>
      </c>
      <c r="X61" s="280">
        <f t="shared" ref="X61" si="153">SUM(X62:X66)</f>
        <v>26585297.931400001</v>
      </c>
      <c r="Y61" s="280">
        <f t="shared" ref="Y61" si="154">SUM(Y62:Y66)</f>
        <v>28980163.44898</v>
      </c>
      <c r="Z61" s="280">
        <f t="shared" ref="Z61" si="155">SUM(Z62:Z66)</f>
        <v>31291943.489700001</v>
      </c>
      <c r="AA61" s="280">
        <f t="shared" si="138"/>
        <v>32686813.951030001</v>
      </c>
      <c r="AB61" s="280">
        <f t="shared" ref="AB61" si="156">SUM(AB62:AB66)</f>
        <v>33419230.61595</v>
      </c>
      <c r="AC61" s="280">
        <f>SUM(AC62:AC66)</f>
        <v>35622059.557240002</v>
      </c>
      <c r="AD61" s="280">
        <f t="shared" ref="AD61:AE61" si="157">SUM(AD62:AD66)</f>
        <v>40435987.74887</v>
      </c>
      <c r="AE61" s="280">
        <f t="shared" si="157"/>
        <v>41788091.714319997</v>
      </c>
      <c r="AF61" s="164"/>
      <c r="AG61" s="333">
        <f t="shared" ref="AG61:AG81" si="158">AE61/AD61-1</f>
        <v>3.3438133720074203E-2</v>
      </c>
      <c r="AH61" s="333">
        <f t="shared" ref="AH61:AH81" si="159">AE61/AA61-1</f>
        <v>0.27843881563143924</v>
      </c>
      <c r="AJ61" s="175"/>
    </row>
    <row r="62" spans="2:36" ht="13" customHeight="1">
      <c r="B62" s="59" t="str">
        <f>IF('Summary | Sumário'!D$6=Names!B$3,Names!O4,Names!Z4)</f>
        <v>Real estate</v>
      </c>
      <c r="C62" s="177">
        <f>'5. IEP'!C15</f>
        <v>2519153</v>
      </c>
      <c r="D62" s="177">
        <f>'5. IEP'!D15</f>
        <v>3471356</v>
      </c>
      <c r="E62" s="177">
        <f>'5. IEP'!E15</f>
        <v>5121411</v>
      </c>
      <c r="F62" s="177">
        <f>'5. IEP'!F15</f>
        <v>6251813</v>
      </c>
      <c r="G62" s="177">
        <f>'5. IEP'!G15</f>
        <v>8583568</v>
      </c>
      <c r="H62" s="177">
        <f>'5. IEP'!H15</f>
        <v>11250187</v>
      </c>
      <c r="I62" s="177">
        <f>'5. IEP'!I15</f>
        <v>16194722</v>
      </c>
      <c r="J62" s="160"/>
      <c r="K62" s="177">
        <f>'5. IEP'!K15</f>
        <v>3925594.9876600001</v>
      </c>
      <c r="L62" s="177">
        <f>'5. IEP'!L15</f>
        <v>4211173</v>
      </c>
      <c r="M62" s="177">
        <f>'5. IEP'!M15</f>
        <v>4703223</v>
      </c>
      <c r="N62" s="177">
        <f>'5. IEP'!N15</f>
        <v>5121411</v>
      </c>
      <c r="O62" s="177">
        <f>'5. IEP'!O15</f>
        <v>5350879</v>
      </c>
      <c r="P62" s="177">
        <f>'5. IEP'!P15</f>
        <v>5647720</v>
      </c>
      <c r="Q62" s="177">
        <f>'5. IEP'!Q15</f>
        <v>5930070</v>
      </c>
      <c r="R62" s="177">
        <f>'5. IEP'!R15</f>
        <v>6251813</v>
      </c>
      <c r="S62" s="177">
        <f>'5. IEP'!S15</f>
        <v>6616802</v>
      </c>
      <c r="T62" s="177">
        <f>'5. IEP'!T15</f>
        <v>7020433</v>
      </c>
      <c r="U62" s="177">
        <f>'5. IEP'!U15</f>
        <v>7527810</v>
      </c>
      <c r="V62" s="177">
        <f>'5. IEP'!V15</f>
        <v>8583568</v>
      </c>
      <c r="W62" s="177">
        <f>'5. IEP'!W15</f>
        <v>9124375.4985301998</v>
      </c>
      <c r="X62" s="177">
        <f>'5. IEP'!X15</f>
        <v>9703768</v>
      </c>
      <c r="Y62" s="177">
        <f>'5. IEP'!Y15</f>
        <v>10266209</v>
      </c>
      <c r="Z62" s="177">
        <f>'5. IEP'!Z15</f>
        <v>11250187</v>
      </c>
      <c r="AA62" s="177">
        <f>'5. IEP'!AA15</f>
        <v>12200387</v>
      </c>
      <c r="AB62" s="177">
        <f>'5. IEP'!AB15</f>
        <v>13312029</v>
      </c>
      <c r="AC62" s="177">
        <f>'5. IEP'!AC15</f>
        <v>14524260</v>
      </c>
      <c r="AD62" s="177">
        <f>'5. IEP'!AD15</f>
        <v>16194722</v>
      </c>
      <c r="AE62" s="177">
        <f>'5. IEP'!AE15</f>
        <v>17330928</v>
      </c>
      <c r="AF62" s="178"/>
      <c r="AG62" s="151">
        <f t="shared" si="158"/>
        <v>7.0159030824981095E-2</v>
      </c>
      <c r="AH62" s="151">
        <f t="shared" si="159"/>
        <v>0.42052280800600839</v>
      </c>
      <c r="AJ62" s="175"/>
    </row>
    <row r="63" spans="2:36" ht="13" customHeight="1">
      <c r="B63" s="54" t="str">
        <f>IF('Summary | Sumário'!D$6=Names!B$3,Names!O5,Names!Z5)</f>
        <v>Personal</v>
      </c>
      <c r="C63" s="178">
        <f>'5. IEP'!C16</f>
        <v>1002386</v>
      </c>
      <c r="D63" s="178">
        <f>'5. IEP'!D16</f>
        <v>1653554</v>
      </c>
      <c r="E63" s="178">
        <f>'5. IEP'!E16</f>
        <v>3579283</v>
      </c>
      <c r="F63" s="178">
        <f>'5. IEP'!F16</f>
        <v>5463781</v>
      </c>
      <c r="G63" s="178">
        <f>'5. IEP'!G16</f>
        <v>7138744</v>
      </c>
      <c r="H63" s="178">
        <f>'5. IEP'!H16</f>
        <v>8236791</v>
      </c>
      <c r="I63" s="178">
        <f>'5. IEP'!I16</f>
        <v>12113979</v>
      </c>
      <c r="J63" s="160"/>
      <c r="K63" s="178">
        <f>'5. IEP'!K16</f>
        <v>2123654.0038399999</v>
      </c>
      <c r="L63" s="178">
        <f>'5. IEP'!L16</f>
        <v>2620848</v>
      </c>
      <c r="M63" s="178">
        <f>'5. IEP'!M16</f>
        <v>3100640</v>
      </c>
      <c r="N63" s="178">
        <f>'5. IEP'!N16</f>
        <v>3579283</v>
      </c>
      <c r="O63" s="178">
        <f>'5. IEP'!O16</f>
        <v>3936755</v>
      </c>
      <c r="P63" s="178">
        <f>'5. IEP'!P16</f>
        <v>4460508.5</v>
      </c>
      <c r="Q63" s="178">
        <f>'5. IEP'!Q16</f>
        <v>5057444</v>
      </c>
      <c r="R63" s="178">
        <f>'5. IEP'!R16</f>
        <v>5463781</v>
      </c>
      <c r="S63" s="178">
        <f>'5. IEP'!S16</f>
        <v>6081266</v>
      </c>
      <c r="T63" s="178">
        <f>'5. IEP'!T16</f>
        <v>6500480</v>
      </c>
      <c r="U63" s="178">
        <f>'5. IEP'!U16</f>
        <v>6663058</v>
      </c>
      <c r="V63" s="178">
        <f>'5. IEP'!V16</f>
        <v>7138744</v>
      </c>
      <c r="W63" s="178">
        <f>'5. IEP'!W16</f>
        <v>7437794.5190500002</v>
      </c>
      <c r="X63" s="178">
        <f>'5. IEP'!X16</f>
        <v>7555457</v>
      </c>
      <c r="Y63" s="178">
        <f>'5. IEP'!Y16</f>
        <v>8003536</v>
      </c>
      <c r="Z63" s="178">
        <f>'5. IEP'!Z16</f>
        <v>8236791</v>
      </c>
      <c r="AA63" s="178">
        <f>'5. IEP'!AA16</f>
        <v>8909592</v>
      </c>
      <c r="AB63" s="178">
        <f>'5. IEP'!AB16</f>
        <v>9955975</v>
      </c>
      <c r="AC63" s="178">
        <f>'5. IEP'!AC16</f>
        <v>11070559</v>
      </c>
      <c r="AD63" s="178">
        <f>'5. IEP'!AD16</f>
        <v>12113979</v>
      </c>
      <c r="AE63" s="178">
        <f>'5. IEP'!AE16</f>
        <v>12777050</v>
      </c>
      <c r="AF63" s="178"/>
      <c r="AG63" s="150">
        <f t="shared" si="158"/>
        <v>5.4736020262211138E-2</v>
      </c>
      <c r="AH63" s="150">
        <f t="shared" si="159"/>
        <v>0.43407801389783063</v>
      </c>
      <c r="AJ63" s="175"/>
    </row>
    <row r="64" spans="2:36" ht="13" customHeight="1">
      <c r="B64" s="59" t="str">
        <f>IF('Summary | Sumário'!D$6=Names!B$3,Names!O6,Names!Z6)</f>
        <v>SME</v>
      </c>
      <c r="C64" s="177">
        <f>'5. IEP'!C17</f>
        <v>472304</v>
      </c>
      <c r="D64" s="177">
        <f>'5. IEP'!D17</f>
        <v>1582869</v>
      </c>
      <c r="E64" s="177">
        <f>'5. IEP'!E17</f>
        <v>3017159</v>
      </c>
      <c r="F64" s="177">
        <f>'5. IEP'!F17</f>
        <v>3392500</v>
      </c>
      <c r="G64" s="177">
        <f>'5. IEP'!G17</f>
        <v>3855754</v>
      </c>
      <c r="H64" s="177">
        <f>'5. IEP'!H17</f>
        <v>3968591</v>
      </c>
      <c r="I64" s="177">
        <f>'5. IEP'!I17</f>
        <v>4293595</v>
      </c>
      <c r="J64" s="160"/>
      <c r="K64" s="177">
        <f>'5. IEP'!K17</f>
        <v>1572378.93881</v>
      </c>
      <c r="L64" s="177">
        <f>'5. IEP'!L17</f>
        <v>2153921</v>
      </c>
      <c r="M64" s="177">
        <f>'5. IEP'!M17</f>
        <v>2703302</v>
      </c>
      <c r="N64" s="177">
        <f>'5. IEP'!N17</f>
        <v>3017159</v>
      </c>
      <c r="O64" s="177">
        <f>'5. IEP'!O17</f>
        <v>2929546</v>
      </c>
      <c r="P64" s="177">
        <f>'5. IEP'!P17</f>
        <v>2905002.5</v>
      </c>
      <c r="Q64" s="177">
        <f>'5. IEP'!Q17</f>
        <v>2978792</v>
      </c>
      <c r="R64" s="177">
        <f>'5. IEP'!R17</f>
        <v>3392500</v>
      </c>
      <c r="S64" s="177">
        <f>'5. IEP'!S17</f>
        <v>3110840</v>
      </c>
      <c r="T64" s="177">
        <f>'5. IEP'!T17</f>
        <v>3215316</v>
      </c>
      <c r="U64" s="177">
        <f>'5. IEP'!U17</f>
        <v>3438526</v>
      </c>
      <c r="V64" s="177">
        <f>'5. IEP'!V17</f>
        <v>3855754</v>
      </c>
      <c r="W64" s="177">
        <f>'5. IEP'!W17</f>
        <v>3376688</v>
      </c>
      <c r="X64" s="177">
        <f>'5. IEP'!X17</f>
        <v>4359140</v>
      </c>
      <c r="Y64" s="177">
        <f>'5. IEP'!Y17</f>
        <v>4149476</v>
      </c>
      <c r="Z64" s="177">
        <f>'5. IEP'!Z17</f>
        <v>3968591</v>
      </c>
      <c r="AA64" s="177">
        <f>'5. IEP'!AA17</f>
        <v>3747963</v>
      </c>
      <c r="AB64" s="177">
        <f>'5. IEP'!AB17</f>
        <v>3683260</v>
      </c>
      <c r="AC64" s="177">
        <f>'5. IEP'!AC17</f>
        <v>3916890</v>
      </c>
      <c r="AD64" s="177">
        <f>'5. IEP'!AD17</f>
        <v>4293595</v>
      </c>
      <c r="AE64" s="177">
        <f>'5. IEP'!AE17</f>
        <v>3677790</v>
      </c>
      <c r="AF64" s="178"/>
      <c r="AG64" s="151">
        <f t="shared" si="158"/>
        <v>-0.14342410031686736</v>
      </c>
      <c r="AH64" s="151">
        <f t="shared" si="159"/>
        <v>-1.8722970317476495E-2</v>
      </c>
      <c r="AJ64" s="175"/>
    </row>
    <row r="65" spans="2:36" ht="13" customHeight="1">
      <c r="B65" s="54" t="str">
        <f>IF('Summary | Sumário'!D6=Names!B3,Names!V7,Names!W7)</f>
        <v>Non-transactor credit card portfolio</v>
      </c>
      <c r="C65" s="178">
        <f>'5. IEP'!C18</f>
        <v>716705.38699999999</v>
      </c>
      <c r="D65" s="178">
        <f>'5. IEP'!D18</f>
        <v>230211.82499999995</v>
      </c>
      <c r="E65" s="178">
        <f>'5. IEP'!E18</f>
        <v>676005</v>
      </c>
      <c r="F65" s="178">
        <f>'5. IEP'!F18</f>
        <v>1458767</v>
      </c>
      <c r="G65" s="178">
        <f>'5. IEP'!G18</f>
        <v>1971266.3970000008</v>
      </c>
      <c r="H65" s="178">
        <f>'5. IEP'!H18</f>
        <v>2249854.1845399998</v>
      </c>
      <c r="I65" s="178">
        <f>'5. IEP'!I18</f>
        <v>3520120.7488700002</v>
      </c>
      <c r="J65" s="160"/>
      <c r="K65" s="178">
        <f>'5. IEP'!K18</f>
        <v>310705.48867999995</v>
      </c>
      <c r="L65" s="178">
        <f>'5. IEP'!L18</f>
        <v>466529</v>
      </c>
      <c r="M65" s="178">
        <f>'5. IEP'!M18</f>
        <v>526729</v>
      </c>
      <c r="N65" s="178">
        <f>'5. IEP'!N18</f>
        <v>676005</v>
      </c>
      <c r="O65" s="178">
        <f>'5. IEP'!O18</f>
        <v>836644</v>
      </c>
      <c r="P65" s="178">
        <f>'5. IEP'!P18</f>
        <v>1084285.4000000004</v>
      </c>
      <c r="Q65" s="178">
        <f>'5. IEP'!Q18</f>
        <v>1309633</v>
      </c>
      <c r="R65" s="178">
        <f>'5. IEP'!R18</f>
        <v>1458767</v>
      </c>
      <c r="S65" s="178">
        <f>'5. IEP'!S18</f>
        <v>1592763.3878274746</v>
      </c>
      <c r="T65" s="178">
        <f>'5. IEP'!T18</f>
        <v>1777050.7675745916</v>
      </c>
      <c r="U65" s="178">
        <f>'5. IEP'!U18</f>
        <v>1882205.9550000001</v>
      </c>
      <c r="V65" s="178">
        <f>'5. IEP'!V18</f>
        <v>1971266.3970000008</v>
      </c>
      <c r="W65" s="178">
        <f>'5. IEP'!W18</f>
        <v>2176763.9201100003</v>
      </c>
      <c r="X65" s="178">
        <f>'5. IEP'!X18</f>
        <v>2264113.5148200002</v>
      </c>
      <c r="Y65" s="178">
        <f>'5. IEP'!Y18</f>
        <v>2206943.6459299996</v>
      </c>
      <c r="Z65" s="178">
        <f>'5. IEP'!Z18</f>
        <v>2249854.1845399998</v>
      </c>
      <c r="AA65" s="178">
        <f>'5. IEP'!AA18</f>
        <v>2629254.9510299992</v>
      </c>
      <c r="AB65" s="178">
        <f>'5. IEP'!AB18</f>
        <v>2865086.6159499995</v>
      </c>
      <c r="AC65" s="177">
        <f>'5. IEP'!AC18</f>
        <v>3242380.55724</v>
      </c>
      <c r="AD65" s="178">
        <f>'5. IEP'!AD18</f>
        <v>3520120.7488700002</v>
      </c>
      <c r="AE65" s="178">
        <f>'5. IEP'!AE18</f>
        <v>3957298.7143199984</v>
      </c>
      <c r="AF65" s="178"/>
      <c r="AG65" s="150">
        <f t="shared" si="158"/>
        <v>0.12419402533005086</v>
      </c>
      <c r="AH65" s="150">
        <f t="shared" si="159"/>
        <v>0.50510269563997356</v>
      </c>
      <c r="AJ65" s="175"/>
    </row>
    <row r="66" spans="2:36" ht="13" customHeight="1">
      <c r="B66" s="59" t="str">
        <f>IF('Summary | Sumário'!D6=Names!B3,Names!V11,Names!W11)</f>
        <v>Prepayment of receivables</v>
      </c>
      <c r="C66" s="177">
        <f>'9.1 Asset Quality'!C11</f>
        <v>0</v>
      </c>
      <c r="D66" s="177">
        <f>'9.1 Asset Quality'!D11</f>
        <v>0</v>
      </c>
      <c r="E66" s="177">
        <f>'9.1 Asset Quality'!E11</f>
        <v>298104</v>
      </c>
      <c r="F66" s="177">
        <f>'9.1 Asset Quality'!F11</f>
        <v>1845665</v>
      </c>
      <c r="G66" s="177">
        <f>'9.1 Asset Quality'!G11</f>
        <v>1236536</v>
      </c>
      <c r="H66" s="177">
        <f>'9.1 Asset Quality'!H11</f>
        <v>5586520.30516</v>
      </c>
      <c r="I66" s="177">
        <f>'9.1 Asset Quality'!I11</f>
        <v>4313571</v>
      </c>
      <c r="J66" s="160"/>
      <c r="K66" s="177">
        <f>'9.1 Asset Quality'!K11</f>
        <v>85776.282000000007</v>
      </c>
      <c r="L66" s="177">
        <f>'9.1 Asset Quality'!L11</f>
        <v>71515.061000000002</v>
      </c>
      <c r="M66" s="177">
        <f>'9.1 Asset Quality'!M11</f>
        <v>97555.932000000001</v>
      </c>
      <c r="N66" s="177">
        <f>'9.1 Asset Quality'!N11</f>
        <v>298104</v>
      </c>
      <c r="O66" s="177">
        <f>'9.1 Asset Quality'!O11</f>
        <v>347353.58600000001</v>
      </c>
      <c r="P66" s="177">
        <f>'9.1 Asset Quality'!P11</f>
        <v>379917.21</v>
      </c>
      <c r="Q66" s="177">
        <f>'9.1 Asset Quality'!Q11</f>
        <v>1029786.0000000001</v>
      </c>
      <c r="R66" s="177">
        <f>'9.1 Asset Quality'!R11</f>
        <v>1845665</v>
      </c>
      <c r="S66" s="177">
        <f>'9.1 Asset Quality'!S11</f>
        <v>1296424</v>
      </c>
      <c r="T66" s="177">
        <f>'9.1 Asset Quality'!T11</f>
        <v>1332977</v>
      </c>
      <c r="U66" s="177">
        <f>'9.1 Asset Quality'!U11</f>
        <v>1215142</v>
      </c>
      <c r="V66" s="177">
        <f>'9.1 Asset Quality'!V11</f>
        <v>1236536</v>
      </c>
      <c r="W66" s="177">
        <f>'9.1 Asset Quality'!W11</f>
        <v>1284996.6508599999</v>
      </c>
      <c r="X66" s="177">
        <f>'9.1 Asset Quality'!X11</f>
        <v>2702819.41658</v>
      </c>
      <c r="Y66" s="177">
        <f>'9.1 Asset Quality'!Y11</f>
        <v>4353998.8030500002</v>
      </c>
      <c r="Z66" s="177">
        <f>'9.1 Asset Quality'!Z11</f>
        <v>5586520.30516</v>
      </c>
      <c r="AA66" s="177">
        <f>'9.1 Asset Quality'!AA11</f>
        <v>5199617</v>
      </c>
      <c r="AB66" s="177">
        <f>'9.1 Asset Quality'!AB11</f>
        <v>3602880</v>
      </c>
      <c r="AC66" s="177">
        <f>'9.1 Asset Quality'!AC11</f>
        <v>2867970</v>
      </c>
      <c r="AD66" s="177">
        <f>'9.1 Asset Quality'!AD11</f>
        <v>4313571</v>
      </c>
      <c r="AE66" s="177">
        <f>'9.1 Asset Quality'!AE11</f>
        <v>4045025</v>
      </c>
      <c r="AF66" s="178"/>
      <c r="AG66" s="151">
        <f t="shared" si="158"/>
        <v>-6.2256075070979522E-2</v>
      </c>
      <c r="AH66" s="151">
        <f t="shared" si="159"/>
        <v>-0.22205327815491027</v>
      </c>
      <c r="AJ66" s="175"/>
    </row>
    <row r="67" spans="2:36" ht="13" customHeight="1">
      <c r="B67" s="50" t="str">
        <f>IF('Summary | Sumário'!D6=Names!B3,Names!V10,Names!W10)</f>
        <v>Amounts due from financial institutions</v>
      </c>
      <c r="C67" s="180">
        <f t="shared" ref="C67:Z67" si="160">C68+C69</f>
        <v>3249765</v>
      </c>
      <c r="D67" s="180">
        <f t="shared" si="160"/>
        <v>2155044</v>
      </c>
      <c r="E67" s="180">
        <f t="shared" si="160"/>
        <v>1765267</v>
      </c>
      <c r="F67" s="180">
        <f t="shared" si="160"/>
        <v>3103024</v>
      </c>
      <c r="G67" s="180">
        <f t="shared" si="160"/>
        <v>5544223</v>
      </c>
      <c r="H67" s="180">
        <f t="shared" si="160"/>
        <v>704918.00316999992</v>
      </c>
      <c r="I67" s="180">
        <f t="shared" ref="I67" si="161">I68+I69</f>
        <v>930446</v>
      </c>
      <c r="J67" s="180"/>
      <c r="K67" s="180">
        <f t="shared" si="160"/>
        <v>508295</v>
      </c>
      <c r="L67" s="180">
        <f t="shared" si="160"/>
        <v>588650</v>
      </c>
      <c r="M67" s="180">
        <f t="shared" si="160"/>
        <v>1310627.068</v>
      </c>
      <c r="N67" s="180">
        <f t="shared" si="160"/>
        <v>1765267</v>
      </c>
      <c r="O67" s="180">
        <f t="shared" si="160"/>
        <v>1533440.4139999999</v>
      </c>
      <c r="P67" s="180">
        <f t="shared" si="160"/>
        <v>1858830.79</v>
      </c>
      <c r="Q67" s="180">
        <f t="shared" si="160"/>
        <v>2663637</v>
      </c>
      <c r="R67" s="180">
        <f t="shared" si="160"/>
        <v>3103024</v>
      </c>
      <c r="S67" s="180">
        <f t="shared" si="160"/>
        <v>3336565</v>
      </c>
      <c r="T67" s="180">
        <f t="shared" si="160"/>
        <v>4056311</v>
      </c>
      <c r="U67" s="180">
        <f t="shared" si="160"/>
        <v>5294009</v>
      </c>
      <c r="V67" s="180">
        <f t="shared" si="160"/>
        <v>5544223</v>
      </c>
      <c r="W67" s="180">
        <f t="shared" si="160"/>
        <v>4589841.4213999994</v>
      </c>
      <c r="X67" s="180">
        <f t="shared" si="160"/>
        <v>4341752.1309200004</v>
      </c>
      <c r="Y67" s="180">
        <f t="shared" si="160"/>
        <v>2225564.6693000002</v>
      </c>
      <c r="Z67" s="180">
        <f t="shared" si="160"/>
        <v>704918.00316999992</v>
      </c>
      <c r="AA67" s="180">
        <f>AA68+AA69</f>
        <v>1112090</v>
      </c>
      <c r="AB67" s="180">
        <f>AB68+AB69</f>
        <v>4476177</v>
      </c>
      <c r="AC67" s="180">
        <f>AC68+AC69</f>
        <v>4270294</v>
      </c>
      <c r="AD67" s="180">
        <f>AD68+AD69</f>
        <v>930446</v>
      </c>
      <c r="AE67" s="180">
        <f>AE68+AE69</f>
        <v>2988625</v>
      </c>
      <c r="AG67" s="150">
        <f t="shared" si="158"/>
        <v>2.2120348735982529</v>
      </c>
      <c r="AH67" s="150">
        <f t="shared" si="159"/>
        <v>1.6873949050886168</v>
      </c>
      <c r="AJ67" s="175"/>
    </row>
    <row r="68" spans="2:36" ht="13" customHeight="1">
      <c r="B68" s="59" t="str">
        <f>IF('Summary | Sumário'!D6=Names!B3,Names!V12,Names!W12)</f>
        <v>Interbank deposit investments</v>
      </c>
      <c r="C68" s="208">
        <v>229088</v>
      </c>
      <c r="D68" s="208">
        <v>502347</v>
      </c>
      <c r="E68" s="208">
        <f>N68</f>
        <v>1729676</v>
      </c>
      <c r="F68" s="208">
        <f>R68</f>
        <v>2383526</v>
      </c>
      <c r="G68" s="208">
        <f>V68</f>
        <v>2451736</v>
      </c>
      <c r="H68" s="208">
        <f>Z68</f>
        <v>579720.22265999997</v>
      </c>
      <c r="I68" s="208">
        <f>AD68</f>
        <v>267305</v>
      </c>
      <c r="J68" s="207"/>
      <c r="K68" s="208">
        <v>508295</v>
      </c>
      <c r="L68" s="208">
        <v>588650</v>
      </c>
      <c r="M68" s="208">
        <v>1310627.068</v>
      </c>
      <c r="N68" s="208">
        <v>1729676</v>
      </c>
      <c r="O68" s="208">
        <v>1092110.4139999999</v>
      </c>
      <c r="P68" s="208">
        <v>1038630.79</v>
      </c>
      <c r="Q68" s="208">
        <v>2376438</v>
      </c>
      <c r="R68" s="208">
        <v>2383526</v>
      </c>
      <c r="S68" s="208">
        <v>2445298</v>
      </c>
      <c r="T68" s="208">
        <v>1209154</v>
      </c>
      <c r="U68" s="208">
        <v>2126047</v>
      </c>
      <c r="V68" s="208">
        <v>2451736</v>
      </c>
      <c r="W68" s="208">
        <v>2609001.0491299992</v>
      </c>
      <c r="X68" s="208">
        <v>2402910.8812500006</v>
      </c>
      <c r="Y68" s="208">
        <v>564054.04582</v>
      </c>
      <c r="Z68" s="208">
        <v>579720.22265999997</v>
      </c>
      <c r="AA68" s="208">
        <v>554051</v>
      </c>
      <c r="AB68" s="208">
        <v>466977</v>
      </c>
      <c r="AC68" s="208">
        <v>200982</v>
      </c>
      <c r="AD68" s="208">
        <v>267305</v>
      </c>
      <c r="AE68" s="208">
        <v>555130</v>
      </c>
      <c r="AG68" s="151">
        <f t="shared" si="158"/>
        <v>1.0767662408110583</v>
      </c>
      <c r="AH68" s="151">
        <f t="shared" si="159"/>
        <v>1.9474741494915904E-3</v>
      </c>
      <c r="AJ68" s="175"/>
    </row>
    <row r="69" spans="2:36" ht="13" customHeight="1">
      <c r="B69" s="54" t="str">
        <f>IF('Summary | Sumário'!D6=Names!B3,Names!V13,Names!W13)</f>
        <v>Reverse repurchase agreements</v>
      </c>
      <c r="C69" s="207">
        <v>3020677</v>
      </c>
      <c r="D69" s="207">
        <v>1652697</v>
      </c>
      <c r="E69" s="207">
        <f>N69</f>
        <v>35591</v>
      </c>
      <c r="F69" s="207">
        <f>R69</f>
        <v>719498</v>
      </c>
      <c r="G69" s="207">
        <f>V69</f>
        <v>3092487</v>
      </c>
      <c r="H69" s="207">
        <f>Z69</f>
        <v>125197.78051000001</v>
      </c>
      <c r="I69" s="207">
        <f>AD69</f>
        <v>663141</v>
      </c>
      <c r="J69" s="207"/>
      <c r="K69" s="207">
        <v>0</v>
      </c>
      <c r="L69" s="207">
        <v>0</v>
      </c>
      <c r="M69" s="207">
        <v>0</v>
      </c>
      <c r="N69" s="207">
        <v>35591</v>
      </c>
      <c r="O69" s="207">
        <v>441330</v>
      </c>
      <c r="P69" s="207">
        <v>820200</v>
      </c>
      <c r="Q69" s="207">
        <v>287199</v>
      </c>
      <c r="R69" s="207">
        <v>719498</v>
      </c>
      <c r="S69" s="207">
        <v>891267</v>
      </c>
      <c r="T69" s="207">
        <v>2847157</v>
      </c>
      <c r="U69" s="207">
        <v>3167962</v>
      </c>
      <c r="V69" s="207">
        <v>3092487</v>
      </c>
      <c r="W69" s="207">
        <v>1980840.3722699999</v>
      </c>
      <c r="X69" s="207">
        <v>1938841.2496699998</v>
      </c>
      <c r="Y69" s="207">
        <v>1661510.6234800001</v>
      </c>
      <c r="Z69" s="207">
        <v>125197.78051000001</v>
      </c>
      <c r="AA69" s="207">
        <v>558039</v>
      </c>
      <c r="AB69" s="207">
        <v>4009200</v>
      </c>
      <c r="AC69" s="207">
        <v>4069312</v>
      </c>
      <c r="AD69" s="207">
        <v>663141</v>
      </c>
      <c r="AE69" s="207">
        <v>2433495</v>
      </c>
      <c r="AG69" s="150">
        <f t="shared" si="158"/>
        <v>2.6696494410690939</v>
      </c>
      <c r="AH69" s="150">
        <f t="shared" si="159"/>
        <v>3.3607973636251227</v>
      </c>
      <c r="AJ69" s="175"/>
    </row>
    <row r="70" spans="2:36" ht="13" customHeight="1">
      <c r="B70" s="52" t="str">
        <f>IF('Summary | Sumário'!D6=Names!B3,Names!K6,Names!L6)</f>
        <v>Securities, net of provisions for expected credit losses</v>
      </c>
      <c r="C70" s="177">
        <f>'5. IEP'!C10</f>
        <v>1155094</v>
      </c>
      <c r="D70" s="177">
        <f>'5. IEP'!D10</f>
        <v>5812622</v>
      </c>
      <c r="E70" s="177">
        <f>'5. IEP'!E10</f>
        <v>12757687</v>
      </c>
      <c r="F70" s="177">
        <f>'5. IEP'!F10</f>
        <v>12448565</v>
      </c>
      <c r="G70" s="177">
        <f>'5. IEP'!G10</f>
        <v>16868112</v>
      </c>
      <c r="H70" s="177">
        <f>'5. IEP'!H10</f>
        <v>23899551.020405103</v>
      </c>
      <c r="I70" s="177">
        <f>'5. IEP'!I10</f>
        <v>29010323</v>
      </c>
      <c r="J70" s="160"/>
      <c r="K70" s="177">
        <f>'5. IEP'!K10</f>
        <v>6619726</v>
      </c>
      <c r="L70" s="177">
        <f>'5. IEP'!L10</f>
        <v>8230481</v>
      </c>
      <c r="M70" s="177">
        <f>'5. IEP'!M10</f>
        <v>13241180</v>
      </c>
      <c r="N70" s="177">
        <f>'5. IEP'!N10</f>
        <v>12757687</v>
      </c>
      <c r="O70" s="177">
        <f>'5. IEP'!O10</f>
        <v>12335401</v>
      </c>
      <c r="P70" s="177">
        <f>'5. IEP'!P10</f>
        <v>12710051</v>
      </c>
      <c r="Q70" s="177">
        <f>'5. IEP'!Q10</f>
        <v>13373465</v>
      </c>
      <c r="R70" s="177">
        <f>'5. IEP'!R10</f>
        <v>12448565</v>
      </c>
      <c r="S70" s="177">
        <f>'5. IEP'!S10</f>
        <v>12535351</v>
      </c>
      <c r="T70" s="177">
        <f>'5. IEP'!T10</f>
        <v>14169684</v>
      </c>
      <c r="U70" s="177">
        <f>'5. IEP'!U10</f>
        <v>14908297</v>
      </c>
      <c r="V70" s="177">
        <f>'5. IEP'!V10</f>
        <v>16868112</v>
      </c>
      <c r="W70" s="177">
        <f>'5. IEP'!W10</f>
        <v>18167251</v>
      </c>
      <c r="X70" s="177">
        <f>'5. IEP'!X10</f>
        <v>18276425.519000001</v>
      </c>
      <c r="Y70" s="177">
        <f>'5. IEP'!Y10</f>
        <v>20586354.700983003</v>
      </c>
      <c r="Z70" s="177">
        <f>'5. IEP'!Z10</f>
        <v>23899551.020405103</v>
      </c>
      <c r="AA70" s="177">
        <f>'5. IEP'!AA10</f>
        <v>24703003</v>
      </c>
      <c r="AB70" s="177">
        <f>'5. IEP'!AB10</f>
        <v>23860348</v>
      </c>
      <c r="AC70" s="177">
        <f>'5. IEP'!AC10</f>
        <v>27078010</v>
      </c>
      <c r="AD70" s="177">
        <f>'5. IEP'!AD10</f>
        <v>29010323</v>
      </c>
      <c r="AE70" s="177">
        <f>'5. IEP'!AE10</f>
        <v>27340856</v>
      </c>
      <c r="AG70" s="151">
        <f t="shared" si="158"/>
        <v>-5.7547342716590899E-2</v>
      </c>
      <c r="AH70" s="151">
        <f t="shared" si="159"/>
        <v>0.10678268548969538</v>
      </c>
      <c r="AJ70" s="175"/>
    </row>
    <row r="71" spans="2:36" ht="13" customHeight="1">
      <c r="B71" s="50" t="str">
        <f>IF('Summary | Sumário'!D6=Names!B3,Names!V15,Names!W15)</f>
        <v>Other IEPs</v>
      </c>
      <c r="C71" s="180">
        <f>C72+C75+C76+C77</f>
        <v>486392</v>
      </c>
      <c r="D71" s="180">
        <f t="shared" ref="D71:AA71" si="162">D72+D75+D76+D77</f>
        <v>2416869</v>
      </c>
      <c r="E71" s="180">
        <f t="shared" si="162"/>
        <v>3651482</v>
      </c>
      <c r="F71" s="180">
        <f t="shared" si="162"/>
        <v>4186597</v>
      </c>
      <c r="G71" s="180">
        <f t="shared" si="162"/>
        <v>4580503</v>
      </c>
      <c r="H71" s="180">
        <f t="shared" si="162"/>
        <v>6609994.6947964998</v>
      </c>
      <c r="I71" s="180">
        <f t="shared" ref="I71" si="163">I72+I75+I76+I77</f>
        <v>11451651</v>
      </c>
      <c r="J71" s="180"/>
      <c r="K71" s="180">
        <f t="shared" si="162"/>
        <v>2785445.9253099998</v>
      </c>
      <c r="L71" s="180">
        <f t="shared" si="162"/>
        <v>7760559.0010000002</v>
      </c>
      <c r="M71" s="180">
        <f t="shared" si="162"/>
        <v>3336348.298</v>
      </c>
      <c r="N71" s="180">
        <f t="shared" si="162"/>
        <v>3651482</v>
      </c>
      <c r="O71" s="180">
        <f t="shared" si="162"/>
        <v>3745702</v>
      </c>
      <c r="P71" s="180">
        <f t="shared" si="162"/>
        <v>3803168</v>
      </c>
      <c r="Q71" s="180">
        <f t="shared" si="162"/>
        <v>3865325</v>
      </c>
      <c r="R71" s="180">
        <f t="shared" si="162"/>
        <v>4186597</v>
      </c>
      <c r="S71" s="180">
        <f t="shared" si="162"/>
        <v>4646112</v>
      </c>
      <c r="T71" s="180">
        <f t="shared" si="162"/>
        <v>3256699</v>
      </c>
      <c r="U71" s="180">
        <f t="shared" si="162"/>
        <v>4093444.6461388674</v>
      </c>
      <c r="V71" s="180">
        <f t="shared" si="162"/>
        <v>4580503</v>
      </c>
      <c r="W71" s="180">
        <f t="shared" si="162"/>
        <v>4590443.8267636886</v>
      </c>
      <c r="X71" s="180">
        <f t="shared" si="162"/>
        <v>5436555.2713299999</v>
      </c>
      <c r="Y71" s="180">
        <f t="shared" si="162"/>
        <v>5332550.9482305599</v>
      </c>
      <c r="Z71" s="180">
        <f t="shared" si="162"/>
        <v>6609994.6947964998</v>
      </c>
      <c r="AA71" s="180">
        <f t="shared" si="162"/>
        <v>6842412</v>
      </c>
      <c r="AB71" s="180">
        <f t="shared" ref="AB71:AC71" si="164">AB72+AB75+AB76+AB77</f>
        <v>7294919</v>
      </c>
      <c r="AC71" s="180">
        <f t="shared" si="164"/>
        <v>9040190</v>
      </c>
      <c r="AD71" s="180">
        <f t="shared" ref="AD71:AE71" si="165">AD72+AD75+AD76+AD77</f>
        <v>11451651</v>
      </c>
      <c r="AE71" s="180">
        <f t="shared" si="165"/>
        <v>10215069</v>
      </c>
      <c r="AG71" s="150">
        <f t="shared" si="158"/>
        <v>-0.10798285766829607</v>
      </c>
      <c r="AH71" s="150">
        <f t="shared" si="159"/>
        <v>0.4929046950110576</v>
      </c>
      <c r="AJ71" s="175"/>
    </row>
    <row r="72" spans="2:36" ht="13" customHeight="1">
      <c r="B72" s="59" t="str">
        <f>IF('Summary | Sumário'!D6=Names!B3,Names!V17,Names!W17)</f>
        <v>Cash and equivalents excl. reverse repurchase agreements</v>
      </c>
      <c r="C72" s="177">
        <f>C73+C74</f>
        <v>94112</v>
      </c>
      <c r="D72" s="177">
        <f t="shared" ref="D72:AA72" si="166">D73+D74</f>
        <v>501990</v>
      </c>
      <c r="E72" s="177">
        <f t="shared" si="166"/>
        <v>464855</v>
      </c>
      <c r="F72" s="177">
        <f t="shared" si="166"/>
        <v>612150</v>
      </c>
      <c r="G72" s="177">
        <f t="shared" si="166"/>
        <v>1166892</v>
      </c>
      <c r="H72" s="177">
        <f t="shared" si="166"/>
        <v>983196.16579649993</v>
      </c>
      <c r="I72" s="177">
        <f t="shared" ref="I72" si="167">I73+I74</f>
        <v>3138372</v>
      </c>
      <c r="J72" s="160"/>
      <c r="K72" s="177">
        <f t="shared" si="166"/>
        <v>906123</v>
      </c>
      <c r="L72" s="177">
        <f t="shared" si="166"/>
        <v>5731007.0010000002</v>
      </c>
      <c r="M72" s="177">
        <f t="shared" si="166"/>
        <v>451774.29800000001</v>
      </c>
      <c r="N72" s="177">
        <f t="shared" si="166"/>
        <v>464855</v>
      </c>
      <c r="O72" s="177">
        <f t="shared" si="166"/>
        <v>730324</v>
      </c>
      <c r="P72" s="177">
        <f t="shared" si="166"/>
        <v>728958</v>
      </c>
      <c r="Q72" s="177">
        <f t="shared" si="166"/>
        <v>551111</v>
      </c>
      <c r="R72" s="177">
        <f t="shared" si="166"/>
        <v>612150</v>
      </c>
      <c r="S72" s="177">
        <f t="shared" si="166"/>
        <v>900440</v>
      </c>
      <c r="T72" s="177">
        <f t="shared" si="166"/>
        <v>825062</v>
      </c>
      <c r="U72" s="177">
        <f t="shared" si="166"/>
        <v>1129115.8057988677</v>
      </c>
      <c r="V72" s="177">
        <f t="shared" si="166"/>
        <v>1166892</v>
      </c>
      <c r="W72" s="177">
        <f t="shared" si="166"/>
        <v>849469.61702368804</v>
      </c>
      <c r="X72" s="177">
        <f t="shared" si="166"/>
        <v>858498.07433000021</v>
      </c>
      <c r="Y72" s="177">
        <f t="shared" si="166"/>
        <v>612054.08900055988</v>
      </c>
      <c r="Z72" s="177">
        <f t="shared" si="166"/>
        <v>983196.16579649993</v>
      </c>
      <c r="AA72" s="177">
        <f t="shared" si="166"/>
        <v>900549</v>
      </c>
      <c r="AB72" s="177">
        <f t="shared" ref="AB72:AC72" si="168">AB73+AB74</f>
        <v>824925</v>
      </c>
      <c r="AC72" s="177">
        <f t="shared" si="168"/>
        <v>1626008</v>
      </c>
      <c r="AD72" s="177">
        <f t="shared" ref="AD72:AE72" si="169">AD73+AD74</f>
        <v>3138372</v>
      </c>
      <c r="AE72" s="177">
        <f t="shared" si="169"/>
        <v>1863134</v>
      </c>
      <c r="AG72" s="151">
        <f t="shared" si="158"/>
        <v>-0.40633742590107225</v>
      </c>
      <c r="AH72" s="151">
        <f t="shared" si="159"/>
        <v>1.0688868678994701</v>
      </c>
      <c r="AJ72" s="175"/>
    </row>
    <row r="73" spans="2:36" ht="13" customHeight="1">
      <c r="B73" s="651" t="str">
        <f>IF('Summary | Sumário'!D6=Names!B3,Names!K3,Names!L3)</f>
        <v>Cash and equivalents</v>
      </c>
      <c r="C73" s="178">
        <f>'5. IEP'!C5</f>
        <v>3114789</v>
      </c>
      <c r="D73" s="178">
        <f>'5. IEP'!D5</f>
        <v>2154687</v>
      </c>
      <c r="E73" s="178">
        <f>'5. IEP'!E5</f>
        <v>500446</v>
      </c>
      <c r="F73" s="178">
        <f>'5. IEP'!F5</f>
        <v>1331648</v>
      </c>
      <c r="G73" s="178">
        <f>'5. IEP'!G5</f>
        <v>4259379</v>
      </c>
      <c r="H73" s="178">
        <f>'5. IEP'!H5</f>
        <v>1108393.9463064999</v>
      </c>
      <c r="I73" s="178">
        <f>'5. IEP'!I5</f>
        <v>3801513</v>
      </c>
      <c r="J73" s="160"/>
      <c r="K73" s="178">
        <f>'5. IEP'!K5</f>
        <v>906123</v>
      </c>
      <c r="L73" s="178">
        <f>'5. IEP'!L5</f>
        <v>5731007.0010000002</v>
      </c>
      <c r="M73" s="178">
        <f>'5. IEP'!M5</f>
        <v>451774.29800000001</v>
      </c>
      <c r="N73" s="178">
        <f>'5. IEP'!N5</f>
        <v>500446</v>
      </c>
      <c r="O73" s="178">
        <f>'5. IEP'!O5</f>
        <v>1171654</v>
      </c>
      <c r="P73" s="178">
        <f>'5. IEP'!P5</f>
        <v>1549158</v>
      </c>
      <c r="Q73" s="178">
        <f>'5. IEP'!Q5</f>
        <v>838310</v>
      </c>
      <c r="R73" s="178">
        <f>'5. IEP'!R5</f>
        <v>1331648</v>
      </c>
      <c r="S73" s="178">
        <f>'5. IEP'!S5</f>
        <v>1791707</v>
      </c>
      <c r="T73" s="178">
        <f>'5. IEP'!T5</f>
        <v>3672219</v>
      </c>
      <c r="U73" s="178">
        <f>'5. IEP'!U5</f>
        <v>4297077.8057988677</v>
      </c>
      <c r="V73" s="178">
        <f>'5. IEP'!V5</f>
        <v>4259379</v>
      </c>
      <c r="W73" s="178">
        <f>'5. IEP'!W5</f>
        <v>2830309.989293688</v>
      </c>
      <c r="X73" s="178">
        <f>'5. IEP'!X5</f>
        <v>2797339.324</v>
      </c>
      <c r="Y73" s="178">
        <f>'5. IEP'!Y5</f>
        <v>2273564.7124805599</v>
      </c>
      <c r="Z73" s="178">
        <f>'5. IEP'!Z5</f>
        <v>1108393.9463064999</v>
      </c>
      <c r="AA73" s="178">
        <f>'5. IEP'!AA5</f>
        <v>1458588</v>
      </c>
      <c r="AB73" s="178">
        <f>'5. IEP'!AB5</f>
        <v>4834125</v>
      </c>
      <c r="AC73" s="178">
        <f>'5. IEP'!AC5</f>
        <v>5695320</v>
      </c>
      <c r="AD73" s="178">
        <f>'5. IEP'!AD5</f>
        <v>3801513</v>
      </c>
      <c r="AE73" s="178">
        <f>'5. IEP'!AE5</f>
        <v>4296629</v>
      </c>
      <c r="AG73" s="150">
        <f t="shared" si="158"/>
        <v>0.13024182739872248</v>
      </c>
      <c r="AH73" s="150">
        <f t="shared" si="159"/>
        <v>1.9457454743903009</v>
      </c>
      <c r="AJ73" s="175"/>
    </row>
    <row r="74" spans="2:36" ht="13" customHeight="1">
      <c r="B74" s="574" t="str">
        <f>IF('Summary | Sumário'!D6=Names!B3,Names!V16,Names!W16)</f>
        <v>(-) Reverse repurchase agreements</v>
      </c>
      <c r="C74" s="177">
        <f>-C69</f>
        <v>-3020677</v>
      </c>
      <c r="D74" s="177">
        <f t="shared" ref="D74:AA74" si="170">-D69</f>
        <v>-1652697</v>
      </c>
      <c r="E74" s="177">
        <f t="shared" si="170"/>
        <v>-35591</v>
      </c>
      <c r="F74" s="177">
        <f t="shared" si="170"/>
        <v>-719498</v>
      </c>
      <c r="G74" s="177">
        <f t="shared" si="170"/>
        <v>-3092487</v>
      </c>
      <c r="H74" s="177">
        <f t="shared" si="170"/>
        <v>-125197.78051000001</v>
      </c>
      <c r="I74" s="177">
        <f t="shared" ref="I74" si="171">-I69</f>
        <v>-663141</v>
      </c>
      <c r="J74" s="160"/>
      <c r="K74" s="177">
        <f t="shared" si="170"/>
        <v>0</v>
      </c>
      <c r="L74" s="177">
        <f t="shared" si="170"/>
        <v>0</v>
      </c>
      <c r="M74" s="177">
        <f t="shared" si="170"/>
        <v>0</v>
      </c>
      <c r="N74" s="177">
        <f t="shared" si="170"/>
        <v>-35591</v>
      </c>
      <c r="O74" s="177">
        <f t="shared" si="170"/>
        <v>-441330</v>
      </c>
      <c r="P74" s="177">
        <f t="shared" si="170"/>
        <v>-820200</v>
      </c>
      <c r="Q74" s="177">
        <f t="shared" si="170"/>
        <v>-287199</v>
      </c>
      <c r="R74" s="177">
        <f t="shared" si="170"/>
        <v>-719498</v>
      </c>
      <c r="S74" s="177">
        <f t="shared" si="170"/>
        <v>-891267</v>
      </c>
      <c r="T74" s="177">
        <f t="shared" si="170"/>
        <v>-2847157</v>
      </c>
      <c r="U74" s="177">
        <f t="shared" si="170"/>
        <v>-3167962</v>
      </c>
      <c r="V74" s="177">
        <f t="shared" si="170"/>
        <v>-3092487</v>
      </c>
      <c r="W74" s="177">
        <f t="shared" si="170"/>
        <v>-1980840.3722699999</v>
      </c>
      <c r="X74" s="177">
        <f t="shared" si="170"/>
        <v>-1938841.2496699998</v>
      </c>
      <c r="Y74" s="177">
        <f t="shared" si="170"/>
        <v>-1661510.6234800001</v>
      </c>
      <c r="Z74" s="177">
        <f t="shared" si="170"/>
        <v>-125197.78051000001</v>
      </c>
      <c r="AA74" s="177">
        <f t="shared" si="170"/>
        <v>-558039</v>
      </c>
      <c r="AB74" s="177">
        <f t="shared" ref="AB74:AC74" si="172">-AB69</f>
        <v>-4009200</v>
      </c>
      <c r="AC74" s="177">
        <f t="shared" si="172"/>
        <v>-4069312</v>
      </c>
      <c r="AD74" s="177">
        <f t="shared" ref="AD74:AE74" si="173">-AD69</f>
        <v>-663141</v>
      </c>
      <c r="AE74" s="177">
        <f t="shared" si="173"/>
        <v>-2433495</v>
      </c>
      <c r="AG74" s="151">
        <f t="shared" si="158"/>
        <v>2.6696494410690939</v>
      </c>
      <c r="AH74" s="151">
        <f t="shared" si="159"/>
        <v>3.3607973636251227</v>
      </c>
      <c r="AJ74" s="175"/>
    </row>
    <row r="75" spans="2:36" ht="13" customHeight="1">
      <c r="B75" s="54" t="str">
        <f>IF('Summary | Sumário'!D6=Names!B3,Names!K5,Names!L5)</f>
        <v>Deposits at Central Bank of Brazil</v>
      </c>
      <c r="C75" s="178">
        <f>'5. IEP'!C9</f>
        <v>392280</v>
      </c>
      <c r="D75" s="178">
        <f>'5. IEP'!D9</f>
        <v>1709729</v>
      </c>
      <c r="E75" s="178">
        <f>'5. IEP'!E9</f>
        <v>2399488</v>
      </c>
      <c r="F75" s="178">
        <f>'5. IEP'!F9</f>
        <v>2854778</v>
      </c>
      <c r="G75" s="178">
        <f>'5. IEP'!G9</f>
        <v>2664415</v>
      </c>
      <c r="H75" s="178">
        <f>'5. IEP'!H9</f>
        <v>5285401.7280000001</v>
      </c>
      <c r="I75" s="178">
        <f>'5. IEP'!I9</f>
        <v>7867658</v>
      </c>
      <c r="J75" s="160"/>
      <c r="K75" s="178">
        <f>'5. IEP'!K9</f>
        <v>1644359</v>
      </c>
      <c r="L75" s="178">
        <f>'5. IEP'!L9</f>
        <v>1593298</v>
      </c>
      <c r="M75" s="178">
        <f>'5. IEP'!M9</f>
        <v>2331697</v>
      </c>
      <c r="N75" s="178">
        <f>'5. IEP'!N9</f>
        <v>2399488</v>
      </c>
      <c r="O75" s="178">
        <f>'5. IEP'!O9</f>
        <v>2361774</v>
      </c>
      <c r="P75" s="178">
        <f>'5. IEP'!P9</f>
        <v>2580989</v>
      </c>
      <c r="Q75" s="178">
        <f>'5. IEP'!Q9</f>
        <v>2686243</v>
      </c>
      <c r="R75" s="178">
        <f>'5. IEP'!R9</f>
        <v>2854778</v>
      </c>
      <c r="S75" s="178">
        <f>'5. IEP'!S9</f>
        <v>2993616</v>
      </c>
      <c r="T75" s="178">
        <f>'5. IEP'!T9</f>
        <v>1703869</v>
      </c>
      <c r="U75" s="178">
        <f>'5. IEP'!U9</f>
        <v>2190872.3033499997</v>
      </c>
      <c r="V75" s="178">
        <f>'5. IEP'!V9</f>
        <v>2664415</v>
      </c>
      <c r="W75" s="178">
        <f>'5. IEP'!W9</f>
        <v>2925658.3690599999</v>
      </c>
      <c r="X75" s="178">
        <f>'5. IEP'!X9</f>
        <v>3725774.7710000002</v>
      </c>
      <c r="Y75" s="178">
        <f>'5. IEP'!Y9</f>
        <v>4185155.9511100003</v>
      </c>
      <c r="Z75" s="178">
        <f>'5. IEP'!Z9</f>
        <v>5285401.7280000001</v>
      </c>
      <c r="AA75" s="178">
        <f>'5. IEP'!AA9</f>
        <v>5648238</v>
      </c>
      <c r="AB75" s="178">
        <f>'5. IEP'!AB9</f>
        <v>6179662</v>
      </c>
      <c r="AC75" s="178">
        <f>'5. IEP'!AC9</f>
        <v>7072746</v>
      </c>
      <c r="AD75" s="178">
        <f>'5. IEP'!AD9</f>
        <v>7867658</v>
      </c>
      <c r="AE75" s="178">
        <f>'5. IEP'!AE9</f>
        <v>7887762</v>
      </c>
      <c r="AG75" s="150">
        <f t="shared" si="158"/>
        <v>2.5552712128564803E-3</v>
      </c>
      <c r="AH75" s="150">
        <f t="shared" si="159"/>
        <v>0.39649958093125681</v>
      </c>
      <c r="AJ75" s="175"/>
    </row>
    <row r="76" spans="2:36" ht="13" customHeight="1">
      <c r="B76" s="59" t="str">
        <f>IF('Summary | Sumário'!D6=Names!B3,Names!K7,Names!L7)</f>
        <v>Derivative financial assets</v>
      </c>
      <c r="C76" s="177">
        <f>'5. IEP'!C13</f>
        <v>0</v>
      </c>
      <c r="D76" s="177">
        <f>'5. IEP'!D13</f>
        <v>27513</v>
      </c>
      <c r="E76" s="177">
        <f>'5. IEP'!E13</f>
        <v>86948</v>
      </c>
      <c r="F76" s="177">
        <f>'5. IEP'!F13</f>
        <v>0</v>
      </c>
      <c r="G76" s="177">
        <f>'5. IEP'!G13</f>
        <v>4238</v>
      </c>
      <c r="H76" s="177">
        <f>'5. IEP'!H13</f>
        <v>562.80100000000004</v>
      </c>
      <c r="I76" s="177">
        <f>'5. IEP'!I13</f>
        <v>58915</v>
      </c>
      <c r="J76" s="160"/>
      <c r="K76" s="177">
        <f>'5. IEP'!K13</f>
        <v>18603</v>
      </c>
      <c r="L76" s="177">
        <f>'5. IEP'!L13</f>
        <v>11684</v>
      </c>
      <c r="M76" s="177">
        <f>'5. IEP'!M13</f>
        <v>7643</v>
      </c>
      <c r="N76" s="177">
        <f>'5. IEP'!N13</f>
        <v>86948</v>
      </c>
      <c r="O76" s="177">
        <f>'5. IEP'!O13</f>
        <v>10410</v>
      </c>
      <c r="P76" s="177">
        <f>'5. IEP'!P13</f>
        <v>3212</v>
      </c>
      <c r="Q76" s="177">
        <f>'5. IEP'!Q13</f>
        <v>581</v>
      </c>
      <c r="R76" s="177">
        <f>'5. IEP'!R13</f>
        <v>0</v>
      </c>
      <c r="S76" s="177">
        <f>'5. IEP'!S13</f>
        <v>1122</v>
      </c>
      <c r="T76" s="177">
        <f>'5. IEP'!T13</f>
        <v>3625</v>
      </c>
      <c r="U76" s="177">
        <f>'5. IEP'!U13</f>
        <v>9388.5369900000005</v>
      </c>
      <c r="V76" s="177">
        <f>'5. IEP'!V13</f>
        <v>4238</v>
      </c>
      <c r="W76" s="177">
        <f>'5. IEP'!W13</f>
        <v>7392.1129600000004</v>
      </c>
      <c r="X76" s="177">
        <f>'5. IEP'!X13</f>
        <v>7177.4260000000004</v>
      </c>
      <c r="Y76" s="177">
        <f>'5. IEP'!Y13</f>
        <v>18488.90812</v>
      </c>
      <c r="Z76" s="177">
        <f>'5. IEP'!Z13</f>
        <v>562.80100000000004</v>
      </c>
      <c r="AA76" s="177">
        <f>'5. IEP'!AA13</f>
        <v>8163</v>
      </c>
      <c r="AB76" s="177">
        <f>'5. IEP'!AB13</f>
        <v>690</v>
      </c>
      <c r="AC76" s="177">
        <f>'5. IEP'!AC13</f>
        <v>2493</v>
      </c>
      <c r="AD76" s="177">
        <f>'5. IEP'!AD13</f>
        <v>58915</v>
      </c>
      <c r="AE76" s="177">
        <f>'5. IEP'!AE13</f>
        <v>31548</v>
      </c>
      <c r="AG76" s="151">
        <f t="shared" si="158"/>
        <v>-0.46451667656793683</v>
      </c>
      <c r="AH76" s="151">
        <f t="shared" si="159"/>
        <v>2.8647556045571481</v>
      </c>
      <c r="AJ76" s="175"/>
    </row>
    <row r="77" spans="2:36" ht="13" customHeight="1">
      <c r="B77" s="54" t="str">
        <f>IF('Summary | Sumário'!D$6=Names!B$3,Names!O8,Names!Z8)</f>
        <v>Agribusiness</v>
      </c>
      <c r="C77" s="178">
        <f>'5. IEP'!C21</f>
        <v>0</v>
      </c>
      <c r="D77" s="178">
        <f>'5. IEP'!D21</f>
        <v>177637</v>
      </c>
      <c r="E77" s="178">
        <f>'5. IEP'!E21</f>
        <v>700191</v>
      </c>
      <c r="F77" s="178">
        <f>'5. IEP'!F21</f>
        <v>719669</v>
      </c>
      <c r="G77" s="178">
        <f>'5. IEP'!G21</f>
        <v>744958</v>
      </c>
      <c r="H77" s="178">
        <f>'5. IEP'!H21</f>
        <v>340834</v>
      </c>
      <c r="I77" s="178">
        <f>'5. IEP'!I21</f>
        <v>386706</v>
      </c>
      <c r="J77" s="160"/>
      <c r="K77" s="178">
        <f>'5. IEP'!K21</f>
        <v>216360.92530999999</v>
      </c>
      <c r="L77" s="178">
        <f>'5. IEP'!L21</f>
        <v>424570</v>
      </c>
      <c r="M77" s="178">
        <f>'5. IEP'!M21</f>
        <v>545234</v>
      </c>
      <c r="N77" s="178">
        <f>'5. IEP'!N21</f>
        <v>700191</v>
      </c>
      <c r="O77" s="178">
        <f>'5. IEP'!O21</f>
        <v>643194</v>
      </c>
      <c r="P77" s="178">
        <f>'5. IEP'!P21</f>
        <v>490009</v>
      </c>
      <c r="Q77" s="178">
        <f>'5. IEP'!Q21</f>
        <v>627390</v>
      </c>
      <c r="R77" s="178">
        <f>'5. IEP'!R21</f>
        <v>719669</v>
      </c>
      <c r="S77" s="178">
        <f>'5. IEP'!S21</f>
        <v>750934</v>
      </c>
      <c r="T77" s="178">
        <f>'5. IEP'!T21</f>
        <v>724143</v>
      </c>
      <c r="U77" s="178">
        <f>'5. IEP'!U21</f>
        <v>764068</v>
      </c>
      <c r="V77" s="178">
        <f>'5. IEP'!V21</f>
        <v>744958</v>
      </c>
      <c r="W77" s="178">
        <f>'5. IEP'!W21</f>
        <v>807923.72771999997</v>
      </c>
      <c r="X77" s="178">
        <f>'5. IEP'!X21</f>
        <v>845105</v>
      </c>
      <c r="Y77" s="178">
        <f>'5. IEP'!Y21</f>
        <v>516852</v>
      </c>
      <c r="Z77" s="178">
        <f>'5. IEP'!Z21</f>
        <v>340834</v>
      </c>
      <c r="AA77" s="178">
        <f>'5. IEP'!AA21</f>
        <v>285462</v>
      </c>
      <c r="AB77" s="178">
        <f>'5. IEP'!AB21</f>
        <v>289642</v>
      </c>
      <c r="AC77" s="178">
        <f>'5. IEP'!AC21</f>
        <v>338943</v>
      </c>
      <c r="AD77" s="178">
        <f>'5. IEP'!AD21</f>
        <v>386706</v>
      </c>
      <c r="AE77" s="178">
        <f>'5. IEP'!AE21</f>
        <v>432625</v>
      </c>
      <c r="AG77" s="150">
        <f t="shared" si="158"/>
        <v>0.11874395535626547</v>
      </c>
      <c r="AH77" s="150">
        <f t="shared" si="159"/>
        <v>0.51552570920122465</v>
      </c>
    </row>
    <row r="78" spans="2:36" ht="13" customHeight="1">
      <c r="B78" s="274" t="str">
        <f>IF('Summary | Sumário'!D$6=Names!B$3,Names!V14,Names!W14)</f>
        <v>Gross IEP</v>
      </c>
      <c r="C78" s="547">
        <f>C61+C67+C70+C71</f>
        <v>9601799.3870000001</v>
      </c>
      <c r="D78" s="547">
        <f t="shared" ref="D78:AA78" si="174">D61+D67+D70+D71</f>
        <v>17322525.824999999</v>
      </c>
      <c r="E78" s="547">
        <f t="shared" si="174"/>
        <v>30866398</v>
      </c>
      <c r="F78" s="547">
        <f t="shared" si="174"/>
        <v>38150712</v>
      </c>
      <c r="G78" s="547">
        <f t="shared" si="174"/>
        <v>49778706.397</v>
      </c>
      <c r="H78" s="547">
        <f t="shared" si="174"/>
        <v>62506407.208071604</v>
      </c>
      <c r="I78" s="547">
        <f t="shared" ref="I78" si="175">I61+I67+I70+I71</f>
        <v>81828407.74887</v>
      </c>
      <c r="J78" s="169"/>
      <c r="K78" s="547">
        <f t="shared" si="174"/>
        <v>17931576.6263</v>
      </c>
      <c r="L78" s="547">
        <f t="shared" si="174"/>
        <v>26103676.061999999</v>
      </c>
      <c r="M78" s="547">
        <f t="shared" si="174"/>
        <v>29019605.298</v>
      </c>
      <c r="N78" s="547">
        <f t="shared" si="174"/>
        <v>30866398</v>
      </c>
      <c r="O78" s="547">
        <f t="shared" si="174"/>
        <v>31015721</v>
      </c>
      <c r="P78" s="547">
        <f t="shared" si="174"/>
        <v>32849483.400000002</v>
      </c>
      <c r="Q78" s="547">
        <f t="shared" si="174"/>
        <v>36208152</v>
      </c>
      <c r="R78" s="547">
        <f t="shared" si="174"/>
        <v>38150712</v>
      </c>
      <c r="S78" s="547">
        <f t="shared" si="174"/>
        <v>39216123.387827471</v>
      </c>
      <c r="T78" s="547">
        <f t="shared" si="174"/>
        <v>41328950.767574593</v>
      </c>
      <c r="U78" s="547">
        <f t="shared" si="174"/>
        <v>45022492.601138867</v>
      </c>
      <c r="V78" s="547">
        <f t="shared" si="174"/>
        <v>49778706.397</v>
      </c>
      <c r="W78" s="547">
        <f t="shared" si="174"/>
        <v>50748154.836713888</v>
      </c>
      <c r="X78" s="547">
        <f t="shared" si="174"/>
        <v>54640030.852650002</v>
      </c>
      <c r="Y78" s="547">
        <f t="shared" si="174"/>
        <v>57124633.767493561</v>
      </c>
      <c r="Z78" s="547">
        <f t="shared" si="174"/>
        <v>62506407.208071604</v>
      </c>
      <c r="AA78" s="547">
        <f t="shared" si="174"/>
        <v>65344318.951030001</v>
      </c>
      <c r="AB78" s="547">
        <f t="shared" ref="AB78:AC78" si="176">AB61+AB67+AB70+AB71</f>
        <v>69050674.615950003</v>
      </c>
      <c r="AC78" s="547">
        <f t="shared" si="176"/>
        <v>76010553.557240009</v>
      </c>
      <c r="AD78" s="547">
        <f t="shared" ref="AD78:AE78" si="177">AD61+AD67+AD70+AD71</f>
        <v>81828407.74887</v>
      </c>
      <c r="AE78" s="547">
        <f t="shared" si="177"/>
        <v>82332641.714320004</v>
      </c>
      <c r="AF78" s="321"/>
      <c r="AG78" s="309">
        <f t="shared" si="158"/>
        <v>6.1620894176199759E-3</v>
      </c>
      <c r="AH78" s="309">
        <f t="shared" si="159"/>
        <v>0.25998163323151791</v>
      </c>
    </row>
    <row r="79" spans="2:36" ht="13" customHeight="1">
      <c r="B79" s="50" t="str">
        <f>IF('Summary | Sumário'!D$6=Names!B$3,Names!P10,Names!Q11)</f>
        <v>(-) Provision for expected loss on loans on loans to customers</v>
      </c>
      <c r="C79" s="178">
        <f>'5. IEP'!C22</f>
        <v>-215563</v>
      </c>
      <c r="D79" s="178">
        <f>'5. IEP'!D22</f>
        <v>-282355</v>
      </c>
      <c r="E79" s="178">
        <f>'5. IEP'!E22</f>
        <v>-680932.27827000001</v>
      </c>
      <c r="F79" s="178">
        <f>'5. IEP'!F22</f>
        <v>-1318412</v>
      </c>
      <c r="G79" s="178">
        <f>'5. IEP'!G22</f>
        <v>-1883758</v>
      </c>
      <c r="H79" s="178">
        <f>'5. IEP'!H22</f>
        <v>-2268938</v>
      </c>
      <c r="I79" s="178">
        <f>'5. IEP'!I22</f>
        <v>-3000076</v>
      </c>
      <c r="J79" s="160"/>
      <c r="K79" s="178">
        <f>'5. IEP'!K22</f>
        <v>-334789</v>
      </c>
      <c r="L79" s="178">
        <f>'5. IEP'!L22</f>
        <v>-486763</v>
      </c>
      <c r="M79" s="178">
        <f>'5. IEP'!M22</f>
        <v>-558546</v>
      </c>
      <c r="N79" s="178">
        <f>'5. IEP'!N22</f>
        <v>-680932.27827000001</v>
      </c>
      <c r="O79" s="178">
        <f>'5. IEP'!O22</f>
        <v>-801672</v>
      </c>
      <c r="P79" s="178">
        <f>'5. IEP'!P22</f>
        <v>-974457</v>
      </c>
      <c r="Q79" s="178">
        <f>'5. IEP'!Q22</f>
        <v>-1184365</v>
      </c>
      <c r="R79" s="178">
        <f>'5. IEP'!R22</f>
        <v>-1318412</v>
      </c>
      <c r="S79" s="178">
        <f>'5. IEP'!S22</f>
        <v>-1461707</v>
      </c>
      <c r="T79" s="178">
        <f>'5. IEP'!T22</f>
        <v>-1617401</v>
      </c>
      <c r="U79" s="178">
        <f>'5. IEP'!U22</f>
        <v>-1746981</v>
      </c>
      <c r="V79" s="178">
        <f>'5. IEP'!V22</f>
        <v>-1883758</v>
      </c>
      <c r="W79" s="178">
        <f>'5. IEP'!W22</f>
        <v>-2031628</v>
      </c>
      <c r="X79" s="178">
        <f>'5. IEP'!X22</f>
        <v>-2164911.7689999999</v>
      </c>
      <c r="Y79" s="178">
        <f>'5. IEP'!Y22</f>
        <v>-2227466</v>
      </c>
      <c r="Z79" s="178">
        <f>'5. IEP'!Z22</f>
        <v>-2268938</v>
      </c>
      <c r="AA79" s="178">
        <f>'5. IEP'!AA22</f>
        <v>-2307044</v>
      </c>
      <c r="AB79" s="178">
        <f>'5. IEP'!AB22</f>
        <v>-2457260</v>
      </c>
      <c r="AC79" s="178">
        <f>'5. IEP'!AC22</f>
        <v>-2704536</v>
      </c>
      <c r="AD79" s="178">
        <f>'5. IEP'!AD22</f>
        <v>-3000076</v>
      </c>
      <c r="AE79" s="178">
        <f>'5. IEP'!AE22</f>
        <v>-3336710</v>
      </c>
      <c r="AG79" s="150">
        <f t="shared" si="158"/>
        <v>0.11220849071823524</v>
      </c>
      <c r="AH79" s="150">
        <f t="shared" si="159"/>
        <v>0.44631398447537185</v>
      </c>
    </row>
    <row r="80" spans="2:36" ht="13" customHeight="1">
      <c r="B80" s="52" t="str">
        <f>IF('Summary | Sumário'!D$6=Names!B$3,Names!P11,Names!Q12)</f>
        <v>(-) Provision for expected loss on loans on loans to financial institutions</v>
      </c>
      <c r="C80" s="177">
        <v>0</v>
      </c>
      <c r="D80" s="177">
        <v>0</v>
      </c>
      <c r="E80" s="177">
        <f>N80</f>
        <v>-1477</v>
      </c>
      <c r="F80" s="177">
        <f>R80</f>
        <v>-2140</v>
      </c>
      <c r="G80" s="177">
        <f>V80</f>
        <v>-1253</v>
      </c>
      <c r="H80" s="177">
        <f>Z80</f>
        <v>-5199.8868000000002</v>
      </c>
      <c r="I80" s="177">
        <f>AD80</f>
        <v>-1211</v>
      </c>
      <c r="J80" s="160"/>
      <c r="K80" s="177">
        <v>0</v>
      </c>
      <c r="L80" s="177">
        <v>0</v>
      </c>
      <c r="M80" s="177">
        <v>0</v>
      </c>
      <c r="N80" s="177">
        <v>-1477</v>
      </c>
      <c r="O80" s="177">
        <v>0</v>
      </c>
      <c r="P80" s="177">
        <v>0</v>
      </c>
      <c r="Q80" s="177">
        <v>-3493</v>
      </c>
      <c r="R80" s="177">
        <v>-2140</v>
      </c>
      <c r="S80" s="177">
        <v>-996</v>
      </c>
      <c r="T80" s="177">
        <v>-2159</v>
      </c>
      <c r="U80" s="177">
        <v>-1431</v>
      </c>
      <c r="V80" s="177">
        <v>-1253</v>
      </c>
      <c r="W80" s="177">
        <v>-1313.22245</v>
      </c>
      <c r="X80" s="177">
        <v>-2742.3400499999998</v>
      </c>
      <c r="Y80" s="177">
        <v>-3823.3108299999999</v>
      </c>
      <c r="Z80" s="177">
        <v>-5199.8868000000002</v>
      </c>
      <c r="AA80" s="177">
        <v>-5590</v>
      </c>
      <c r="AB80" s="177">
        <v>-3823</v>
      </c>
      <c r="AC80" s="177">
        <v>-925</v>
      </c>
      <c r="AD80" s="177">
        <v>-1211</v>
      </c>
      <c r="AE80" s="177">
        <v>-10276</v>
      </c>
      <c r="AG80" s="151">
        <f t="shared" si="158"/>
        <v>7.4855491329479769</v>
      </c>
      <c r="AH80" s="151">
        <f t="shared" si="159"/>
        <v>0.83828264758497317</v>
      </c>
    </row>
    <row r="81" spans="2:34" ht="13" customHeight="1">
      <c r="B81" s="275" t="str">
        <f>IF('Summary | Sumário'!D$6=Names!B$3,Names!V9,Names!W9)</f>
        <v>Total interest earning assets</v>
      </c>
      <c r="C81" s="573">
        <f t="shared" ref="C81:G81" si="178">C78+C79+C80</f>
        <v>9386236.3870000001</v>
      </c>
      <c r="D81" s="573">
        <f t="shared" si="178"/>
        <v>17040170.824999999</v>
      </c>
      <c r="E81" s="573">
        <f t="shared" si="178"/>
        <v>30183988.721730001</v>
      </c>
      <c r="F81" s="573">
        <f t="shared" si="178"/>
        <v>36830160</v>
      </c>
      <c r="G81" s="573">
        <f t="shared" si="178"/>
        <v>47893695.397</v>
      </c>
      <c r="H81" s="573">
        <f>H78+H79+H80</f>
        <v>60232269.321271606</v>
      </c>
      <c r="I81" s="573">
        <f>I78+I79+I80</f>
        <v>78827120.74887</v>
      </c>
      <c r="J81" s="169"/>
      <c r="K81" s="573">
        <f t="shared" ref="K81" si="179">K78+K79+K80</f>
        <v>17596787.6263</v>
      </c>
      <c r="L81" s="573">
        <f t="shared" ref="L81" si="180">L78+L79+L80</f>
        <v>25616913.061999999</v>
      </c>
      <c r="M81" s="573">
        <f t="shared" ref="M81" si="181">M78+M79+M80</f>
        <v>28461059.298</v>
      </c>
      <c r="N81" s="573">
        <f t="shared" ref="N81:O81" si="182">N78+N79+N80</f>
        <v>30183988.721730001</v>
      </c>
      <c r="O81" s="573">
        <f t="shared" si="182"/>
        <v>30214049</v>
      </c>
      <c r="P81" s="573">
        <f t="shared" ref="P81" si="183">P78+P79+P80</f>
        <v>31875026.400000002</v>
      </c>
      <c r="Q81" s="573">
        <f t="shared" ref="Q81" si="184">Q78+Q79+Q80</f>
        <v>35020294</v>
      </c>
      <c r="R81" s="573">
        <f t="shared" ref="R81" si="185">R78+R79+R80</f>
        <v>36830160</v>
      </c>
      <c r="S81" s="573">
        <f t="shared" ref="S81" si="186">S78+S79+S80</f>
        <v>37753420.387827471</v>
      </c>
      <c r="T81" s="573">
        <f t="shared" ref="T81:U81" si="187">T78+T79+T80</f>
        <v>39709390.767574593</v>
      </c>
      <c r="U81" s="573">
        <f t="shared" si="187"/>
        <v>43274080.601138867</v>
      </c>
      <c r="V81" s="573">
        <f t="shared" ref="V81" si="188">V78+V79+V80</f>
        <v>47893695.397</v>
      </c>
      <c r="W81" s="573">
        <f t="shared" ref="W81" si="189">W78+W79+W80</f>
        <v>48715213.614263885</v>
      </c>
      <c r="X81" s="573">
        <f t="shared" ref="X81" si="190">X78+X79+X80</f>
        <v>52472376.743600003</v>
      </c>
      <c r="Y81" s="573">
        <f t="shared" ref="Y81" si="191">Y78+Y79+Y80</f>
        <v>54893344.456663564</v>
      </c>
      <c r="Z81" s="573">
        <f t="shared" ref="Z81:AA81" si="192">Z78+Z79+Z80</f>
        <v>60232269.321271606</v>
      </c>
      <c r="AA81" s="573">
        <f t="shared" si="192"/>
        <v>63031684.951030001</v>
      </c>
      <c r="AB81" s="573">
        <f t="shared" ref="AB81:AC81" si="193">AB78+AB79+AB80</f>
        <v>66589591.615950003</v>
      </c>
      <c r="AC81" s="573">
        <f t="shared" si="193"/>
        <v>73305092.557240009</v>
      </c>
      <c r="AD81" s="573">
        <f t="shared" ref="AD81:AE81" si="194">AD78+AD79+AD80</f>
        <v>78827120.74887</v>
      </c>
      <c r="AE81" s="573">
        <f t="shared" si="194"/>
        <v>78985655.714320004</v>
      </c>
      <c r="AF81" s="321"/>
      <c r="AG81" s="289">
        <f t="shared" si="158"/>
        <v>2.0111728545189056E-3</v>
      </c>
      <c r="AH81" s="289">
        <f t="shared" si="159"/>
        <v>0.25311033293310836</v>
      </c>
    </row>
    <row r="82" spans="2:34" ht="13" customHeight="1">
      <c r="B82" s="59"/>
      <c r="C82" s="177"/>
      <c r="D82" s="177"/>
      <c r="E82" s="177"/>
      <c r="F82" s="177"/>
      <c r="G82" s="177"/>
      <c r="H82" s="177"/>
      <c r="I82" s="177"/>
      <c r="J82" s="160"/>
      <c r="K82" s="177"/>
      <c r="L82" s="177"/>
      <c r="M82" s="177"/>
      <c r="N82" s="177"/>
      <c r="O82" s="177"/>
      <c r="P82" s="177"/>
      <c r="Q82" s="177"/>
      <c r="R82" s="177"/>
      <c r="S82" s="177"/>
      <c r="T82" s="177"/>
      <c r="U82" s="177"/>
      <c r="V82" s="177"/>
      <c r="W82" s="177"/>
      <c r="X82" s="177"/>
      <c r="Y82" s="177"/>
      <c r="Z82" s="177"/>
      <c r="AA82" s="177"/>
      <c r="AB82" s="177"/>
      <c r="AC82" s="177"/>
      <c r="AD82" s="177"/>
      <c r="AE82" s="177"/>
      <c r="AG82" s="163"/>
      <c r="AH82" s="163"/>
    </row>
    <row r="83" spans="2:34" ht="13" customHeight="1">
      <c r="B83" s="3" t="str">
        <f>IF('Summary | Sumário'!D$6=Names!B$3,Names!O82,Names!Z82)</f>
        <v>Implied rates</v>
      </c>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row>
    <row r="84" spans="2:34" ht="13" customHeight="1">
      <c r="B84" s="661" t="str">
        <f>IF('Summary | Sumário'!D$6=Names!B$3,Names!O83,Names!Z83)</f>
        <v>All-in loan rate (%)</v>
      </c>
      <c r="C84" s="277">
        <v>0</v>
      </c>
      <c r="D84" s="331">
        <f t="shared" ref="D84:G84" si="195">D39/AVERAGE(C61:D61)</f>
        <v>0.12665962719869719</v>
      </c>
      <c r="E84" s="331">
        <f t="shared" si="195"/>
        <v>0.12933097581196046</v>
      </c>
      <c r="F84" s="331">
        <f t="shared" si="195"/>
        <v>0.16329189124669086</v>
      </c>
      <c r="G84" s="331">
        <f t="shared" si="195"/>
        <v>0.19126887649033739</v>
      </c>
      <c r="H84" s="331">
        <f>H39/AVERAGE(G61:H61)</f>
        <v>0.1899799354752747</v>
      </c>
      <c r="I84" s="331">
        <f>I39/AVERAGE(H61:I61)</f>
        <v>0.21478032650767323</v>
      </c>
      <c r="J84" s="191"/>
      <c r="K84" s="331">
        <f t="shared" ref="K84:Z84" si="196">K39*4/AVERAGE(J61:K61)</f>
        <v>0.12675788008668798</v>
      </c>
      <c r="L84" s="331">
        <f t="shared" si="196"/>
        <v>0.11817547481936849</v>
      </c>
      <c r="M84" s="331">
        <f t="shared" si="196"/>
        <v>0.12920472387532428</v>
      </c>
      <c r="N84" s="331">
        <f t="shared" si="196"/>
        <v>0.14189828264939897</v>
      </c>
      <c r="O84" s="331">
        <f t="shared" si="196"/>
        <v>0.14186302902338677</v>
      </c>
      <c r="P84" s="331">
        <f t="shared" si="196"/>
        <v>0.16937870419734233</v>
      </c>
      <c r="Q84" s="331">
        <f t="shared" si="196"/>
        <v>0.18106345507083102</v>
      </c>
      <c r="R84" s="331">
        <f t="shared" si="196"/>
        <v>0.1820092484958416</v>
      </c>
      <c r="S84" s="331">
        <f t="shared" si="196"/>
        <v>0.1910622197084986</v>
      </c>
      <c r="T84" s="331">
        <f t="shared" si="196"/>
        <v>0.20284193828859659</v>
      </c>
      <c r="U84" s="331">
        <f t="shared" si="196"/>
        <v>0.19790375062448623</v>
      </c>
      <c r="V84" s="331">
        <f t="shared" si="196"/>
        <v>0.19721834541709038</v>
      </c>
      <c r="W84" s="331">
        <f t="shared" si="196"/>
        <v>0.19909757773658693</v>
      </c>
      <c r="X84" s="331">
        <f t="shared" si="196"/>
        <v>0.19740244820586572</v>
      </c>
      <c r="Y84" s="331">
        <f t="shared" si="196"/>
        <v>0.19001448758603251</v>
      </c>
      <c r="Z84" s="331">
        <f t="shared" si="196"/>
        <v>0.19036325064392215</v>
      </c>
      <c r="AA84" s="331">
        <f t="shared" ref="AA84:AE85" si="197">AA39*4/AVERAGE(Z61:AA61)</f>
        <v>0.20262524435566909</v>
      </c>
      <c r="AB84" s="331">
        <f t="shared" si="197"/>
        <v>0.22514203161739596</v>
      </c>
      <c r="AC84" s="331">
        <f>AC39*4/AVERAGE(AB61:AC61)</f>
        <v>0.23614270804706061</v>
      </c>
      <c r="AD84" s="331">
        <f>AD39*4/AVERAGE(AC61:AD61)</f>
        <v>0.22972501686348684</v>
      </c>
      <c r="AE84" s="331">
        <f>AE39*4/AVERAGE(AD61:AE61)</f>
        <v>0.2284108451807941</v>
      </c>
      <c r="AF84" s="164"/>
      <c r="AG84" s="660">
        <f t="shared" ref="AG84:AG92" si="198">(AE84-AD84)*100</f>
        <v>-0.13141716826927385</v>
      </c>
      <c r="AH84" s="660">
        <f t="shared" ref="AH84:AH92" si="199">(AE84-AA84)*100</f>
        <v>2.5785600825125017</v>
      </c>
    </row>
    <row r="85" spans="2:34" ht="13" customHeight="1">
      <c r="B85" s="525" t="str">
        <f>IF('Summary | Sumário'!D$6=Names!B$3,Names!O84,Names!Z84)</f>
        <v>Real estate net of hedge accounting (%)</v>
      </c>
      <c r="C85" s="178">
        <v>0</v>
      </c>
      <c r="D85" s="150">
        <f t="shared" ref="D85:G85" si="200">D40/AVERAGE(C62:D62)</f>
        <v>0.12154134059748949</v>
      </c>
      <c r="E85" s="150">
        <f t="shared" si="200"/>
        <v>0.11780885551766969</v>
      </c>
      <c r="F85" s="150">
        <f t="shared" si="200"/>
        <v>0.12070913664410375</v>
      </c>
      <c r="G85" s="150">
        <f t="shared" si="200"/>
        <v>0.1235506089921115</v>
      </c>
      <c r="H85" s="150">
        <f>H40/AVERAGE(G62:H62)</f>
        <v>0.12998761806370887</v>
      </c>
      <c r="I85" s="150">
        <f>I40/AVERAGE(H62:I62)</f>
        <v>0.1453848018501355</v>
      </c>
      <c r="J85" s="337"/>
      <c r="K85" s="150">
        <f t="shared" ref="K85:Z85" si="201">K40*4/AVERAGE(J62:K62)</f>
        <v>0.12515782640451895</v>
      </c>
      <c r="L85" s="150">
        <f t="shared" si="201"/>
        <v>9.8230555573437142E-2</v>
      </c>
      <c r="M85" s="150">
        <f t="shared" si="201"/>
        <v>0.12417334388106607</v>
      </c>
      <c r="N85" s="150">
        <f t="shared" si="201"/>
        <v>0.11810808545132573</v>
      </c>
      <c r="O85" s="150">
        <f t="shared" si="201"/>
        <v>0.11853044383606641</v>
      </c>
      <c r="P85" s="150">
        <f t="shared" si="201"/>
        <v>0.14116299479961036</v>
      </c>
      <c r="Q85" s="150">
        <f t="shared" si="201"/>
        <v>0.11064760141615976</v>
      </c>
      <c r="R85" s="150">
        <f t="shared" si="201"/>
        <v>0.11627702804894775</v>
      </c>
      <c r="S85" s="150">
        <f t="shared" si="201"/>
        <v>0.13392922603092874</v>
      </c>
      <c r="T85" s="150">
        <f t="shared" si="201"/>
        <v>0.13857751854829811</v>
      </c>
      <c r="U85" s="150">
        <f t="shared" si="201"/>
        <v>0.11902038869710933</v>
      </c>
      <c r="V85" s="150">
        <f t="shared" si="201"/>
        <v>0.12331943666146991</v>
      </c>
      <c r="W85" s="150">
        <f t="shared" si="201"/>
        <v>0.13333628065288425</v>
      </c>
      <c r="X85" s="150">
        <f t="shared" si="201"/>
        <v>0.1416624817215999</v>
      </c>
      <c r="Y85" s="150">
        <f t="shared" si="201"/>
        <v>0.11681907459261319</v>
      </c>
      <c r="Z85" s="150">
        <f t="shared" si="201"/>
        <v>0.13716717185086674</v>
      </c>
      <c r="AA85" s="150">
        <f t="shared" si="197"/>
        <v>0.1461115092534622</v>
      </c>
      <c r="AB85" s="150">
        <f t="shared" si="197"/>
        <v>0.15271044341704054</v>
      </c>
      <c r="AC85" s="150">
        <f>AC40*4/AVERAGE(AB62:AC62)</f>
        <v>0.14475677081237373</v>
      </c>
      <c r="AD85" s="150">
        <f t="shared" si="197"/>
        <v>0.15001760800536945</v>
      </c>
      <c r="AE85" s="150">
        <f t="shared" si="197"/>
        <v>0.13865096976195837</v>
      </c>
      <c r="AG85" s="495">
        <f t="shared" si="198"/>
        <v>-1.1366638243411082</v>
      </c>
      <c r="AH85" s="495">
        <f t="shared" si="199"/>
        <v>-0.74605394915038259</v>
      </c>
    </row>
    <row r="86" spans="2:34" ht="13" customHeight="1">
      <c r="B86" s="569" t="str">
        <f>IF('Summary | Sumário'!D$6=Names!B$3,Names!O85,Names!Z85)</f>
        <v>Personal net of hedge accounting (%)</v>
      </c>
      <c r="C86" s="177">
        <v>0</v>
      </c>
      <c r="D86" s="151">
        <f t="shared" ref="D86:G86" si="202">D43/AVERAGE(C63:D63)</f>
        <v>0.14653129910314239</v>
      </c>
      <c r="E86" s="151">
        <f t="shared" si="202"/>
        <v>0.12209654992119955</v>
      </c>
      <c r="F86" s="151">
        <f t="shared" si="202"/>
        <v>0.12898232237436338</v>
      </c>
      <c r="G86" s="151">
        <f t="shared" si="202"/>
        <v>0.16070813208781576</v>
      </c>
      <c r="H86" s="151">
        <f>H43/AVERAGE(G63:H63)</f>
        <v>0.17999139862779409</v>
      </c>
      <c r="I86" s="151">
        <f>I43/AVERAGE(H63:I63)</f>
        <v>0.23069760182931653</v>
      </c>
      <c r="J86" s="337"/>
      <c r="K86" s="151">
        <f t="shared" ref="K86:Z86" si="203">K43*4/AVERAGE(J63:K63)</f>
        <v>0.12051237138311255</v>
      </c>
      <c r="L86" s="151">
        <f t="shared" si="203"/>
        <v>0.12339155332344186</v>
      </c>
      <c r="M86" s="151">
        <f t="shared" si="203"/>
        <v>0.11892404773024082</v>
      </c>
      <c r="N86" s="151">
        <f t="shared" si="203"/>
        <v>0.11645916158015596</v>
      </c>
      <c r="O86" s="151">
        <f t="shared" si="203"/>
        <v>0.11519136439704003</v>
      </c>
      <c r="P86" s="151">
        <f t="shared" si="203"/>
        <v>0.12714633755627652</v>
      </c>
      <c r="Q86" s="151">
        <f t="shared" si="203"/>
        <v>0.13405691549731938</v>
      </c>
      <c r="R86" s="151">
        <f t="shared" si="203"/>
        <v>0.13840310978997214</v>
      </c>
      <c r="S86" s="151">
        <f t="shared" si="203"/>
        <v>0.14496137135864409</v>
      </c>
      <c r="T86" s="151">
        <f t="shared" si="203"/>
        <v>0.16139794350323075</v>
      </c>
      <c r="U86" s="151">
        <f t="shared" si="203"/>
        <v>0.15879361772799988</v>
      </c>
      <c r="V86" s="151">
        <f t="shared" si="203"/>
        <v>0.16713566914233374</v>
      </c>
      <c r="W86" s="151">
        <f t="shared" si="203"/>
        <v>0.17431424858235814</v>
      </c>
      <c r="X86" s="151">
        <f t="shared" si="203"/>
        <v>0.17346569657258659</v>
      </c>
      <c r="Y86" s="151">
        <f t="shared" si="203"/>
        <v>0.18811769123654262</v>
      </c>
      <c r="Z86" s="151">
        <f t="shared" si="203"/>
        <v>0.18480053871802402</v>
      </c>
      <c r="AA86" s="151">
        <f>AA43*4/AVERAGE(Z63:AA63)</f>
        <v>0.19622520971332555</v>
      </c>
      <c r="AB86" s="151">
        <f>AB43*4/AVERAGE(AA63:AB63)</f>
        <v>0.2306261357530362</v>
      </c>
      <c r="AC86" s="151">
        <f>AC43*4/AVERAGE(AB63:AC63)</f>
        <v>0.25730773895117476</v>
      </c>
      <c r="AD86" s="151">
        <f>AD43*4/AVERAGE(AC63:AD63)</f>
        <v>0.24385907538895105</v>
      </c>
      <c r="AE86" s="151">
        <f>AE43*4/AVERAGE(AD63:AE63)</f>
        <v>0.2336907646525983</v>
      </c>
      <c r="AG86" s="498">
        <f t="shared" si="198"/>
        <v>-1.0168310736352741</v>
      </c>
      <c r="AH86" s="498">
        <f t="shared" si="199"/>
        <v>3.7465554939272754</v>
      </c>
    </row>
    <row r="87" spans="2:34" ht="13" customHeight="1">
      <c r="B87" s="525" t="str">
        <f>IF('Summary | Sumário'!D$6=Names!B$3,Names!O86,Names!Z86)</f>
        <v>SME (%)</v>
      </c>
      <c r="C87" s="178">
        <v>0</v>
      </c>
      <c r="D87" s="150">
        <f t="shared" ref="D87:G87" si="204">D46/AVERAGE(C64:D64)</f>
        <v>5.8380248193217799E-2</v>
      </c>
      <c r="E87" s="150">
        <f t="shared" si="204"/>
        <v>8.092640175233716E-2</v>
      </c>
      <c r="F87" s="150">
        <f t="shared" si="204"/>
        <v>0.14061598035090478</v>
      </c>
      <c r="G87" s="150">
        <f t="shared" si="204"/>
        <v>0.14401509660119527</v>
      </c>
      <c r="H87" s="150">
        <f t="shared" ref="H87:I90" si="205">H46/AVERAGE(G64:H64)</f>
        <v>0.14495468374056281</v>
      </c>
      <c r="I87" s="150">
        <f t="shared" si="205"/>
        <v>0.13832440954488315</v>
      </c>
      <c r="J87" s="337"/>
      <c r="K87" s="150">
        <f t="shared" ref="K87:Z87" si="206">K46*4/AVERAGE(J64:K64)</f>
        <v>5.203379286033951E-2</v>
      </c>
      <c r="L87" s="150">
        <f t="shared" si="206"/>
        <v>8.1034335656949508E-2</v>
      </c>
      <c r="M87" s="150">
        <f t="shared" si="206"/>
        <v>7.0447063270514837E-2</v>
      </c>
      <c r="N87" s="150">
        <f t="shared" si="206"/>
        <v>0.1190963175869917</v>
      </c>
      <c r="O87" s="150">
        <f t="shared" si="206"/>
        <v>0.11383144918068072</v>
      </c>
      <c r="P87" s="150">
        <f t="shared" si="206"/>
        <v>0.14689712768691526</v>
      </c>
      <c r="Q87" s="150">
        <f t="shared" si="206"/>
        <v>0.15282372761319249</v>
      </c>
      <c r="R87" s="150">
        <f t="shared" si="206"/>
        <v>0.18395296652547083</v>
      </c>
      <c r="S87" s="150">
        <f t="shared" si="206"/>
        <v>0.15286406800198052</v>
      </c>
      <c r="T87" s="150">
        <f t="shared" si="206"/>
        <v>0.15269936435332926</v>
      </c>
      <c r="U87" s="150">
        <f t="shared" si="206"/>
        <v>0.15844966760557283</v>
      </c>
      <c r="V87" s="150">
        <f t="shared" si="206"/>
        <v>0.15916662628799555</v>
      </c>
      <c r="W87" s="150">
        <f t="shared" si="206"/>
        <v>0.1378665739732168</v>
      </c>
      <c r="X87" s="150">
        <f t="shared" si="206"/>
        <v>0.15741581017571746</v>
      </c>
      <c r="Y87" s="150">
        <f t="shared" si="206"/>
        <v>0.13690180264153606</v>
      </c>
      <c r="Z87" s="150">
        <f t="shared" si="206"/>
        <v>0.14252202148905641</v>
      </c>
      <c r="AA87" s="150">
        <f t="shared" ref="AA87:AE90" si="207">AA46*4/AVERAGE(Z64:AA64)</f>
        <v>0.13189618060082259</v>
      </c>
      <c r="AB87" s="150">
        <f t="shared" si="207"/>
        <v>0.14699383937206567</v>
      </c>
      <c r="AC87" s="150">
        <f t="shared" si="207"/>
        <v>0.15090123221252214</v>
      </c>
      <c r="AD87" s="150">
        <f t="shared" si="207"/>
        <v>0.1600938312413944</v>
      </c>
      <c r="AE87" s="150">
        <f t="shared" si="207"/>
        <v>0.15627296887554673</v>
      </c>
      <c r="AG87" s="495">
        <f t="shared" si="198"/>
        <v>-0.38208623658476659</v>
      </c>
      <c r="AH87" s="495">
        <f t="shared" si="199"/>
        <v>2.4376788274724142</v>
      </c>
    </row>
    <row r="88" spans="2:34" ht="13" customHeight="1">
      <c r="B88" s="569" t="str">
        <f>IF('Summary | Sumário'!D$6=Names!B$3,Names!O87,Names!Z87)</f>
        <v>Credit cards (%)</v>
      </c>
      <c r="C88" s="177">
        <v>0</v>
      </c>
      <c r="D88" s="151">
        <f t="shared" ref="D88:G88" si="208">D47/AVERAGE(C65:D65)</f>
        <v>0.24981881890219562</v>
      </c>
      <c r="E88" s="151">
        <f t="shared" si="208"/>
        <v>0.54093104484128296</v>
      </c>
      <c r="F88" s="151">
        <f t="shared" si="208"/>
        <v>0.67227515902400814</v>
      </c>
      <c r="G88" s="151">
        <f t="shared" si="208"/>
        <v>0.72680866669707223</v>
      </c>
      <c r="H88" s="151">
        <f t="shared" si="205"/>
        <v>0.70039897455828304</v>
      </c>
      <c r="I88" s="151">
        <f t="shared" si="205"/>
        <v>0.69226782544085796</v>
      </c>
      <c r="J88" s="337"/>
      <c r="K88" s="151">
        <f t="shared" ref="K88:Z88" si="209">K47*4/AVERAGE(J65:K65)</f>
        <v>0.56992236845347521</v>
      </c>
      <c r="L88" s="151">
        <f t="shared" si="209"/>
        <v>0.4687272493771088</v>
      </c>
      <c r="M88" s="151">
        <f t="shared" si="209"/>
        <v>0.53217245871666763</v>
      </c>
      <c r="N88" s="151">
        <f t="shared" si="209"/>
        <v>0.59344103018622585</v>
      </c>
      <c r="O88" s="151">
        <f t="shared" si="209"/>
        <v>0.57893090375890244</v>
      </c>
      <c r="P88" s="151">
        <f t="shared" si="209"/>
        <v>0.57417187234470979</v>
      </c>
      <c r="Q88" s="151">
        <f t="shared" si="209"/>
        <v>0.77458262934943811</v>
      </c>
      <c r="R88" s="151">
        <f t="shared" si="209"/>
        <v>0.68908620557722866</v>
      </c>
      <c r="S88" s="151">
        <f t="shared" si="209"/>
        <v>0.71465505874008561</v>
      </c>
      <c r="T88" s="151">
        <f t="shared" si="209"/>
        <v>0.7276700945389164</v>
      </c>
      <c r="U88" s="151">
        <f t="shared" si="209"/>
        <v>0.72975536090869786</v>
      </c>
      <c r="V88" s="151">
        <f t="shared" si="209"/>
        <v>0.69252999175534213</v>
      </c>
      <c r="W88" s="151">
        <f t="shared" si="209"/>
        <v>0.67964787730003418</v>
      </c>
      <c r="X88" s="151">
        <f t="shared" si="209"/>
        <v>0.66481922171007568</v>
      </c>
      <c r="Y88" s="151">
        <f t="shared" si="209"/>
        <v>0.67951298855656717</v>
      </c>
      <c r="Z88" s="151">
        <f t="shared" si="209"/>
        <v>0.67675315969254435</v>
      </c>
      <c r="AA88" s="151">
        <f t="shared" si="207"/>
        <v>0.66188312461732368</v>
      </c>
      <c r="AB88" s="151">
        <f t="shared" si="207"/>
        <v>0.65017144574131724</v>
      </c>
      <c r="AC88" s="151">
        <f t="shared" si="207"/>
        <v>0.72234723084000019</v>
      </c>
      <c r="AD88" s="151">
        <f t="shared" si="207"/>
        <v>0.70448725765059483</v>
      </c>
      <c r="AE88" s="151">
        <f t="shared" si="207"/>
        <v>0.74000288832791949</v>
      </c>
      <c r="AG88" s="498">
        <f t="shared" si="198"/>
        <v>3.5515630677324661</v>
      </c>
      <c r="AH88" s="498">
        <f t="shared" si="199"/>
        <v>7.8119763710595809</v>
      </c>
    </row>
    <row r="89" spans="2:34" ht="13" customHeight="1">
      <c r="B89" s="525" t="str">
        <f>IF('Summary | Sumário'!D$6=Names!B$3,Names!O89,Names!Z89)</f>
        <v>Prepayment of receivables (%)</v>
      </c>
      <c r="C89" s="178">
        <v>0</v>
      </c>
      <c r="D89" s="178">
        <v>0</v>
      </c>
      <c r="E89" s="150">
        <f t="shared" ref="E89:G89" si="210">E48/AVERAGE(D66:E66)</f>
        <v>8.4135187719721977E-2</v>
      </c>
      <c r="F89" s="150">
        <f t="shared" si="210"/>
        <v>9.4883616658324663E-2</v>
      </c>
      <c r="G89" s="150">
        <f t="shared" si="210"/>
        <v>0.157318098332977</v>
      </c>
      <c r="H89" s="150">
        <f t="shared" si="205"/>
        <v>0.12273804797516791</v>
      </c>
      <c r="I89" s="150">
        <f t="shared" si="205"/>
        <v>0.15995529245014442</v>
      </c>
      <c r="J89" s="337"/>
      <c r="K89" s="150">
        <f t="shared" ref="K89:Y89" si="211">K48*4/AVERAGE(J66:K66)</f>
        <v>0.11912645036305024</v>
      </c>
      <c r="L89" s="150">
        <f t="shared" si="211"/>
        <v>0.14028464363738061</v>
      </c>
      <c r="M89" s="150">
        <f t="shared" si="211"/>
        <v>6.3082281654310721E-2</v>
      </c>
      <c r="N89" s="150">
        <f t="shared" si="211"/>
        <v>0.11918505814230389</v>
      </c>
      <c r="O89" s="150">
        <f t="shared" si="211"/>
        <v>6.4981286005057495E-2</v>
      </c>
      <c r="P89" s="150">
        <f t="shared" si="211"/>
        <v>0.19489923255491204</v>
      </c>
      <c r="Q89" s="150">
        <f t="shared" si="211"/>
        <v>0.18672866042491307</v>
      </c>
      <c r="R89" s="150">
        <f t="shared" si="211"/>
        <v>0.12753305411916255</v>
      </c>
      <c r="S89" s="150">
        <f t="shared" si="211"/>
        <v>0.16500155406164499</v>
      </c>
      <c r="T89" s="150">
        <f t="shared" si="211"/>
        <v>0.18248110501213013</v>
      </c>
      <c r="U89" s="150">
        <f t="shared" si="211"/>
        <v>0.1895767034428141</v>
      </c>
      <c r="V89" s="150">
        <f t="shared" si="211"/>
        <v>0.18689829251639084</v>
      </c>
      <c r="W89" s="150">
        <f t="shared" si="211"/>
        <v>0.18928805059780301</v>
      </c>
      <c r="X89" s="150">
        <f t="shared" si="211"/>
        <v>0.10761871278469066</v>
      </c>
      <c r="Y89" s="150">
        <f t="shared" si="211"/>
        <v>0.15523431126973775</v>
      </c>
      <c r="Z89" s="150">
        <f>Z48*4/AVERAGE(Y66:Z66)</f>
        <v>0.13559397509600613</v>
      </c>
      <c r="AA89" s="150">
        <f t="shared" si="207"/>
        <v>0.1785232234229783</v>
      </c>
      <c r="AB89" s="150">
        <f t="shared" si="207"/>
        <v>0.22399734984289116</v>
      </c>
      <c r="AC89" s="150">
        <f t="shared" si="207"/>
        <v>0.20170951266062417</v>
      </c>
      <c r="AD89" s="150">
        <f t="shared" si="207"/>
        <v>0.15759068979763535</v>
      </c>
      <c r="AE89" s="150">
        <f t="shared" si="207"/>
        <v>0.18384427241129969</v>
      </c>
      <c r="AG89" s="495">
        <f t="shared" si="198"/>
        <v>2.6253582613664337</v>
      </c>
      <c r="AH89" s="495">
        <f t="shared" si="199"/>
        <v>0.53210489883213918</v>
      </c>
    </row>
    <row r="90" spans="2:34" ht="13" customHeight="1">
      <c r="B90" s="77" t="str">
        <f>IF('Summary | Sumário'!D$6=Names!B$3,Names!O90,Names!Z90)</f>
        <v>Amounts due from financial institutions (%)</v>
      </c>
      <c r="C90" s="177"/>
      <c r="D90" s="151">
        <f t="shared" ref="D90:G90" si="212">D49/AVERAGE(C67:D67)</f>
        <v>4.685419965811928E-2</v>
      </c>
      <c r="E90" s="151">
        <f t="shared" si="212"/>
        <v>3.6275916885165488E-2</v>
      </c>
      <c r="F90" s="151">
        <f t="shared" si="212"/>
        <v>9.0847666665776552E-2</v>
      </c>
      <c r="G90" s="151">
        <f t="shared" si="212"/>
        <v>0.11496236894817506</v>
      </c>
      <c r="H90" s="151">
        <f t="shared" si="205"/>
        <v>0.10848052609728547</v>
      </c>
      <c r="I90" s="151">
        <f t="shared" si="205"/>
        <v>0.46451187535465949</v>
      </c>
      <c r="J90" s="337"/>
      <c r="K90" s="151">
        <f t="shared" ref="K90:Z90" si="213">K49*4/AVERAGE(J67:K67)</f>
        <v>0.11353803598304134</v>
      </c>
      <c r="L90" s="151">
        <f t="shared" si="213"/>
        <v>5.7956451781994531E-2</v>
      </c>
      <c r="M90" s="151">
        <f t="shared" si="213"/>
        <v>0.10375171233310548</v>
      </c>
      <c r="N90" s="151">
        <f t="shared" si="213"/>
        <v>6.2681477234800526E-2</v>
      </c>
      <c r="O90" s="151">
        <f t="shared" si="213"/>
        <v>7.3090820658033656E-2</v>
      </c>
      <c r="P90" s="151">
        <f t="shared" si="213"/>
        <v>7.502856956126791E-2</v>
      </c>
      <c r="Q90" s="151">
        <f t="shared" si="213"/>
        <v>0.13868509962345141</v>
      </c>
      <c r="R90" s="151">
        <f t="shared" si="213"/>
        <v>0.11207007451972639</v>
      </c>
      <c r="S90" s="151">
        <f t="shared" si="213"/>
        <v>0.12108658363134667</v>
      </c>
      <c r="T90" s="151">
        <f t="shared" si="213"/>
        <v>0.12417467843367047</v>
      </c>
      <c r="U90" s="151">
        <f t="shared" si="213"/>
        <v>0.126190333592861</v>
      </c>
      <c r="V90" s="151">
        <f t="shared" si="213"/>
        <v>0.1013778047932541</v>
      </c>
      <c r="W90" s="151">
        <f t="shared" si="213"/>
        <v>9.2699627803453477E-2</v>
      </c>
      <c r="X90" s="151">
        <f t="shared" si="213"/>
        <v>8.9033552561674972E-2</v>
      </c>
      <c r="Y90" s="151">
        <f t="shared" si="213"/>
        <v>8.7239158601395098E-2</v>
      </c>
      <c r="Z90" s="151">
        <f t="shared" si="213"/>
        <v>0.13788776934122529</v>
      </c>
      <c r="AA90" s="151">
        <f t="shared" si="207"/>
        <v>0.13973741423099537</v>
      </c>
      <c r="AB90" s="151">
        <f t="shared" si="207"/>
        <v>9.3978329954527942E-2</v>
      </c>
      <c r="AC90" s="151">
        <f t="shared" si="207"/>
        <v>0.15637941290836041</v>
      </c>
      <c r="AD90" s="151">
        <f t="shared" si="207"/>
        <v>0.17146329176232614</v>
      </c>
      <c r="AE90" s="151">
        <f t="shared" si="207"/>
        <v>0.10399403327982576</v>
      </c>
      <c r="AG90" s="498">
        <f t="shared" si="198"/>
        <v>-6.7469258482500374</v>
      </c>
      <c r="AH90" s="498">
        <f t="shared" si="199"/>
        <v>-3.5743380951169605</v>
      </c>
    </row>
    <row r="91" spans="2:34" ht="13" customHeight="1">
      <c r="B91" s="26" t="str">
        <f>IF('Summary | Sumário'!D$6=Names!B$3,Names!O91,Names!Z91)</f>
        <v>All-in securities rate (%)</v>
      </c>
      <c r="C91" s="178">
        <v>0</v>
      </c>
      <c r="D91" s="150">
        <f t="shared" ref="D91:G91" si="214">D50/AVERAGE(C70:D70)</f>
        <v>3.4616795518072206E-3</v>
      </c>
      <c r="E91" s="150">
        <f t="shared" si="214"/>
        <v>8.0301625567996748E-2</v>
      </c>
      <c r="F91" s="150">
        <f t="shared" si="214"/>
        <v>0.11677555235105957</v>
      </c>
      <c r="G91" s="150">
        <f t="shared" si="214"/>
        <v>0.11018356548390529</v>
      </c>
      <c r="H91" s="150">
        <f>H50/AVERAGE(G70:H70)</f>
        <v>9.8503044885109942E-2</v>
      </c>
      <c r="I91" s="150">
        <f>I50/AVERAGE(H70:I70)</f>
        <v>0.12591804693072278</v>
      </c>
      <c r="J91" s="337"/>
      <c r="K91" s="150">
        <f t="shared" ref="K91:Z91" si="215">K50*4/AVERAGE(J70:K70)</f>
        <v>5.3215495626254015E-2</v>
      </c>
      <c r="L91" s="150">
        <f t="shared" si="215"/>
        <v>5.7460209140519053E-2</v>
      </c>
      <c r="M91" s="150">
        <f t="shared" si="215"/>
        <v>8.5105665556102064E-2</v>
      </c>
      <c r="N91" s="150">
        <f t="shared" si="215"/>
        <v>9.922370847929643E-2</v>
      </c>
      <c r="O91" s="150">
        <f t="shared" si="215"/>
        <v>0.1109510316147618</v>
      </c>
      <c r="P91" s="150">
        <f t="shared" si="215"/>
        <v>0.12995445240916395</v>
      </c>
      <c r="Q91" s="150">
        <f t="shared" si="215"/>
        <v>0.10458160625277665</v>
      </c>
      <c r="R91" s="150">
        <f t="shared" si="215"/>
        <v>0.11645745899915692</v>
      </c>
      <c r="S91" s="150">
        <f t="shared" si="215"/>
        <v>0.11877209321389008</v>
      </c>
      <c r="T91" s="150">
        <f t="shared" si="215"/>
        <v>0.12043811213877832</v>
      </c>
      <c r="U91" s="150">
        <f t="shared" si="215"/>
        <v>0.11497001803529619</v>
      </c>
      <c r="V91" s="150">
        <f t="shared" si="215"/>
        <v>0.1068110622569089</v>
      </c>
      <c r="W91" s="150">
        <f t="shared" si="215"/>
        <v>0.102004137933436</v>
      </c>
      <c r="X91" s="150">
        <f t="shared" si="215"/>
        <v>0.10022816949454769</v>
      </c>
      <c r="Y91" s="150">
        <f t="shared" si="215"/>
        <v>0.10575280452752429</v>
      </c>
      <c r="Z91" s="150">
        <f t="shared" si="215"/>
        <v>0.10625101810654368</v>
      </c>
      <c r="AA91" s="150">
        <f t="shared" ref="AA91:AE92" si="216">AA50*4/AVERAGE(Z70:AA70)</f>
        <v>0.1213839091156228</v>
      </c>
      <c r="AB91" s="150">
        <f t="shared" si="216"/>
        <v>0.13225512382784294</v>
      </c>
      <c r="AC91" s="150">
        <f t="shared" si="216"/>
        <v>0.13082274854639012</v>
      </c>
      <c r="AD91" s="150">
        <f t="shared" si="216"/>
        <v>0.13662406404554758</v>
      </c>
      <c r="AE91" s="150">
        <f t="shared" si="216"/>
        <v>0.13544376773376826</v>
      </c>
      <c r="AG91" s="495">
        <f t="shared" si="198"/>
        <v>-0.11802963117793219</v>
      </c>
      <c r="AH91" s="495">
        <f t="shared" si="199"/>
        <v>1.405985861814546</v>
      </c>
    </row>
    <row r="92" spans="2:34" ht="13" customHeight="1">
      <c r="B92" s="77" t="str">
        <f>IF('Summary | Sumário'!D$6=Names!B$3,Names!Q6,Names!R6)</f>
        <v>Other IEP rate (%)</v>
      </c>
      <c r="C92" s="177">
        <v>0</v>
      </c>
      <c r="D92" s="151">
        <f t="shared" ref="D92:G92" si="217">D51/AVERAGE(C71:D71)</f>
        <v>2.8407420606922338E-2</v>
      </c>
      <c r="E92" s="151">
        <f t="shared" si="217"/>
        <v>2.3491389011611227E-2</v>
      </c>
      <c r="F92" s="151">
        <f t="shared" si="217"/>
        <v>4.4814656782612178E-2</v>
      </c>
      <c r="G92" s="151">
        <f t="shared" si="217"/>
        <v>3.0163382473109693E-2</v>
      </c>
      <c r="H92" s="151">
        <f>H51/AVERAGE(G71:H71)</f>
        <v>5.0883925389555829E-2</v>
      </c>
      <c r="I92" s="151">
        <f>I51/AVERAGE(H71:I71)</f>
        <v>9.269307665260694E-2</v>
      </c>
      <c r="J92" s="337"/>
      <c r="K92" s="151">
        <f t="shared" ref="K92:Z92" si="218">K51*4/AVERAGE(J71:K71)</f>
        <v>9.2351288410444012E-3</v>
      </c>
      <c r="L92" s="151">
        <f t="shared" si="218"/>
        <v>1.6313878212855928E-2</v>
      </c>
      <c r="M92" s="151">
        <f t="shared" si="218"/>
        <v>3.6757888392629713E-3</v>
      </c>
      <c r="N92" s="151">
        <f t="shared" si="218"/>
        <v>4.3780677399615921E-2</v>
      </c>
      <c r="O92" s="151">
        <f t="shared" si="218"/>
        <v>6.095009527950096E-2</v>
      </c>
      <c r="P92" s="151">
        <f t="shared" si="218"/>
        <v>2.4136353229026332E-2</v>
      </c>
      <c r="Q92" s="151">
        <f t="shared" si="218"/>
        <v>5.2482252259994255E-2</v>
      </c>
      <c r="R92" s="151">
        <f t="shared" si="218"/>
        <v>4.5892425982268586E-2</v>
      </c>
      <c r="S92" s="151">
        <f t="shared" si="218"/>
        <v>4.035448953203373E-2</v>
      </c>
      <c r="T92" s="151">
        <f t="shared" si="218"/>
        <v>2.6706054177431333E-2</v>
      </c>
      <c r="U92" s="151">
        <f t="shared" si="218"/>
        <v>5.0658634759553248E-2</v>
      </c>
      <c r="V92" s="151">
        <f t="shared" si="218"/>
        <v>1.3597148925898823E-2</v>
      </c>
      <c r="W92" s="151">
        <f t="shared" si="218"/>
        <v>3.5823913253512765E-2</v>
      </c>
      <c r="X92" s="151">
        <f t="shared" si="218"/>
        <v>2.0028912784682152E-2</v>
      </c>
      <c r="Y92" s="151">
        <f t="shared" si="218"/>
        <v>7.0453101448342756E-2</v>
      </c>
      <c r="Z92" s="151">
        <f t="shared" si="218"/>
        <v>8.2861711537760022E-2</v>
      </c>
      <c r="AA92" s="151">
        <f t="shared" si="216"/>
        <v>9.0372753930362121E-2</v>
      </c>
      <c r="AB92" s="151">
        <f t="shared" si="216"/>
        <v>9.3125274070473413E-2</v>
      </c>
      <c r="AC92" s="151">
        <f>AC51*4/AVERAGE(AB71:AC71)</f>
        <v>0.11486539645618526</v>
      </c>
      <c r="AD92" s="151">
        <f t="shared" si="216"/>
        <v>0.11166128997389742</v>
      </c>
      <c r="AE92" s="151">
        <f t="shared" si="216"/>
        <v>0.10361478412976215</v>
      </c>
      <c r="AG92" s="498">
        <f t="shared" si="198"/>
        <v>-0.8046505844135271</v>
      </c>
      <c r="AH92" s="498">
        <f t="shared" si="199"/>
        <v>1.3242030199400026</v>
      </c>
    </row>
    <row r="93" spans="2:34" ht="13" customHeight="1">
      <c r="C93" s="178"/>
      <c r="D93" s="150"/>
      <c r="E93" s="150"/>
      <c r="F93" s="150"/>
      <c r="G93" s="150"/>
      <c r="H93" s="150"/>
      <c r="I93" s="150"/>
      <c r="J93" s="337"/>
      <c r="K93" s="150"/>
      <c r="L93" s="150"/>
      <c r="M93" s="150"/>
      <c r="N93" s="150"/>
      <c r="O93" s="150"/>
      <c r="P93" s="150"/>
      <c r="Q93" s="150"/>
      <c r="R93" s="150"/>
      <c r="S93" s="150"/>
      <c r="T93" s="150"/>
      <c r="U93" s="150"/>
      <c r="V93" s="150"/>
      <c r="W93" s="150"/>
      <c r="X93" s="150"/>
      <c r="Y93" s="150"/>
      <c r="Z93" s="150"/>
      <c r="AA93" s="150"/>
      <c r="AB93" s="150"/>
      <c r="AC93" s="150"/>
      <c r="AD93" s="150"/>
      <c r="AE93" s="150"/>
      <c r="AG93" s="495"/>
      <c r="AH93" s="495"/>
    </row>
    <row r="94" spans="2:34" ht="13" customHeight="1">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row>
    <row r="95" spans="2:34" ht="13" customHeight="1">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80"/>
    </row>
    <row r="96" spans="2:34" ht="13" customHeight="1">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80"/>
    </row>
    <row r="97" spans="2:32" ht="13" customHeight="1">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80"/>
    </row>
    <row r="98" spans="2:32" ht="13" customHeight="1">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80"/>
    </row>
    <row r="99" spans="2:32" ht="13" customHeight="1">
      <c r="B99" s="12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80"/>
    </row>
    <row r="100" spans="2:32" ht="13" customHeight="1">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80"/>
    </row>
    <row r="101" spans="2:32" ht="13" customHeight="1">
      <c r="B101" s="12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80"/>
    </row>
    <row r="102" spans="2:32" ht="13" customHeight="1">
      <c r="B102" s="12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80"/>
    </row>
    <row r="103" spans="2:32" ht="13" customHeight="1">
      <c r="B103" s="120"/>
      <c r="Z103" s="572"/>
      <c r="AA103" s="572"/>
      <c r="AB103" s="572"/>
      <c r="AC103" s="572"/>
      <c r="AD103" s="572"/>
      <c r="AE103" s="572"/>
      <c r="AF103" s="180"/>
    </row>
    <row r="104" spans="2:32" ht="13" customHeight="1">
      <c r="Y104" s="572"/>
      <c r="Z104" s="180"/>
      <c r="AA104" s="180"/>
      <c r="AB104" s="180"/>
      <c r="AC104" s="180"/>
      <c r="AD104" s="180"/>
      <c r="AE104" s="180"/>
    </row>
    <row r="105" spans="2:32" ht="13" customHeight="1">
      <c r="Z105" s="180"/>
      <c r="AA105" s="180"/>
      <c r="AB105" s="180"/>
      <c r="AC105" s="180"/>
      <c r="AD105" s="180"/>
      <c r="AE105" s="180"/>
    </row>
    <row r="106" spans="2:32" ht="13" customHeight="1">
      <c r="Z106" s="180"/>
      <c r="AA106" s="180"/>
      <c r="AB106" s="180"/>
      <c r="AC106" s="180"/>
      <c r="AD106" s="180"/>
      <c r="AE106" s="180"/>
    </row>
  </sheetData>
  <sheetProtection algorithmName="SHA-512" hashValue="54sXEaEvl5KTPMt9o0amXWSKJ7n99X9YHc8lpAXb/J/0rnU5xNfpcRnWIHns0c1vfN7ILZSdPng/J7pTiwadeg==" saltValue="Fmv9W4P968RLJ6oCNC4+q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89F3E-F76C-2E45-8B90-0DD16311510F}">
  <sheetPr codeName="Sheet15">
    <tabColor rgb="FFF7CAB0"/>
  </sheetPr>
  <dimension ref="B1:AL14"/>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ol min="10" max="10" width="2.83203125" style="120" customWidth="1"/>
    <col min="11" max="31" width="10.83203125" style="120"/>
    <col min="32" max="32" width="5.83203125" style="120" customWidth="1"/>
    <col min="33" max="16384" width="10.83203125" style="120"/>
  </cols>
  <sheetData>
    <row r="1" spans="2:38"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2:38" s="9" customFormat="1" ht="13" customHeight="1">
      <c r="B2" s="255" t="str">
        <f>IF('Summary | Sumário'!D$6=Names!B$3,Names!AC1,Names!AD1)</f>
        <v>Fee Revenues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13"/>
      <c r="C3" s="130"/>
      <c r="D3" s="130"/>
      <c r="E3" s="130"/>
      <c r="F3" s="130"/>
      <c r="G3" s="130"/>
      <c r="H3" s="130"/>
      <c r="I3" s="130"/>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row>
    <row r="4" spans="2:38" ht="13" customHeight="1">
      <c r="B4" s="258" t="str">
        <f>IF('Summary | Sumário'!D$6=Names!B$3,Names!AC28,Names!AD28)</f>
        <v>Fee income ratio</v>
      </c>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row>
    <row r="5" spans="2:38" ht="13" customHeight="1">
      <c r="B5" s="575" t="str">
        <f>IF('Summary | Sumário'!D$6=Names!B$3,Names!AC29,Names!AD29)</f>
        <v>Net fee revenues</v>
      </c>
      <c r="C5" s="576">
        <f>C8</f>
        <v>120696.66099999999</v>
      </c>
      <c r="D5" s="576">
        <f t="shared" ref="D5:AA5" si="0">D8</f>
        <v>278098</v>
      </c>
      <c r="E5" s="576">
        <f t="shared" si="0"/>
        <v>607687</v>
      </c>
      <c r="F5" s="576">
        <f t="shared" si="0"/>
        <v>1127488</v>
      </c>
      <c r="G5" s="576">
        <f t="shared" si="0"/>
        <v>1455780.6</v>
      </c>
      <c r="H5" s="576">
        <f t="shared" si="0"/>
        <v>1943420.8032693998</v>
      </c>
      <c r="I5" s="576">
        <f t="shared" ref="I5" si="1">I8</f>
        <v>2127119</v>
      </c>
      <c r="J5" s="175"/>
      <c r="K5" s="576">
        <f t="shared" si="0"/>
        <v>119309</v>
      </c>
      <c r="L5" s="576">
        <f t="shared" si="0"/>
        <v>158429</v>
      </c>
      <c r="M5" s="576">
        <f t="shared" si="0"/>
        <v>153349</v>
      </c>
      <c r="N5" s="576">
        <f t="shared" si="0"/>
        <v>176600</v>
      </c>
      <c r="O5" s="576">
        <f t="shared" si="0"/>
        <v>273077</v>
      </c>
      <c r="P5" s="576">
        <f t="shared" si="0"/>
        <v>290370</v>
      </c>
      <c r="Q5" s="576">
        <f t="shared" si="0"/>
        <v>263579</v>
      </c>
      <c r="R5" s="576">
        <f t="shared" si="0"/>
        <v>300462</v>
      </c>
      <c r="S5" s="576">
        <f t="shared" si="0"/>
        <v>297633</v>
      </c>
      <c r="T5" s="576">
        <f t="shared" si="0"/>
        <v>321768</v>
      </c>
      <c r="U5" s="576">
        <f t="shared" si="0"/>
        <v>420279.50028000004</v>
      </c>
      <c r="V5" s="576">
        <f t="shared" si="0"/>
        <v>416100.09971999994</v>
      </c>
      <c r="W5" s="576">
        <f t="shared" si="0"/>
        <v>408518.39485153224</v>
      </c>
      <c r="X5" s="576">
        <f t="shared" si="0"/>
        <v>436732.08523867995</v>
      </c>
      <c r="Y5" s="576">
        <f t="shared" si="0"/>
        <v>511793.11297993874</v>
      </c>
      <c r="Z5" s="576">
        <f t="shared" si="0"/>
        <v>586377.21019924898</v>
      </c>
      <c r="AA5" s="576">
        <f t="shared" si="0"/>
        <v>475206.80000000005</v>
      </c>
      <c r="AB5" s="576">
        <f t="shared" ref="AB5:AC5" si="2">AB8</f>
        <v>533575.4</v>
      </c>
      <c r="AC5" s="576">
        <f t="shared" si="2"/>
        <v>539473</v>
      </c>
      <c r="AD5" s="576">
        <f t="shared" ref="AD5:AE5" si="3">AD8</f>
        <v>578863.79999999993</v>
      </c>
      <c r="AE5" s="576">
        <f t="shared" si="3"/>
        <v>559237</v>
      </c>
      <c r="AF5" s="175"/>
      <c r="AG5" s="648">
        <f>AE5/AD5-1</f>
        <v>-3.3905730501717191E-2</v>
      </c>
      <c r="AH5" s="648">
        <f>AE5/AA5-1</f>
        <v>0.17682869857922889</v>
      </c>
    </row>
    <row r="6" spans="2:38" ht="13" customHeight="1">
      <c r="B6" s="26" t="str">
        <f>IF('Summary | Sumário'!D$6=Names!B$3,Names!AC30,Names!AD30)</f>
        <v>(÷) Total net revenues</v>
      </c>
      <c r="C6" s="175">
        <f>C7+C8</f>
        <v>712223.66099999996</v>
      </c>
      <c r="D6" s="175">
        <f t="shared" ref="D6:AA6" si="4">D7+D8</f>
        <v>1011378.89518</v>
      </c>
      <c r="E6" s="175">
        <f t="shared" si="4"/>
        <v>2221821.912</v>
      </c>
      <c r="F6" s="175">
        <f t="shared" si="4"/>
        <v>3562697.1850000001</v>
      </c>
      <c r="G6" s="175">
        <f t="shared" si="4"/>
        <v>4752577.5950000007</v>
      </c>
      <c r="H6" s="175">
        <f t="shared" si="4"/>
        <v>6400165.737558065</v>
      </c>
      <c r="I6" s="175">
        <f t="shared" ref="I6" si="5">I7+I8</f>
        <v>8400938</v>
      </c>
      <c r="J6" s="175"/>
      <c r="K6" s="175">
        <f t="shared" si="4"/>
        <v>416766.33899999998</v>
      </c>
      <c r="L6" s="175">
        <f t="shared" si="4"/>
        <v>467413.34700000007</v>
      </c>
      <c r="M6" s="175">
        <f t="shared" si="4"/>
        <v>606509.88</v>
      </c>
      <c r="N6" s="175">
        <f t="shared" si="4"/>
        <v>731132.3459999999</v>
      </c>
      <c r="O6" s="175">
        <f t="shared" si="4"/>
        <v>833521.01500000001</v>
      </c>
      <c r="P6" s="175">
        <f t="shared" si="4"/>
        <v>877020.3110000001</v>
      </c>
      <c r="Q6" s="175">
        <f t="shared" si="4"/>
        <v>850303.46700000006</v>
      </c>
      <c r="R6" s="175">
        <f t="shared" si="4"/>
        <v>1001852.392</v>
      </c>
      <c r="S6" s="175">
        <f t="shared" si="4"/>
        <v>1024114.1240000001</v>
      </c>
      <c r="T6" s="175">
        <f t="shared" si="4"/>
        <v>1150034</v>
      </c>
      <c r="U6" s="175">
        <f t="shared" si="4"/>
        <v>1265495.60824</v>
      </c>
      <c r="V6" s="175">
        <f t="shared" si="4"/>
        <v>1312933.8627599999</v>
      </c>
      <c r="W6" s="175">
        <f t="shared" si="4"/>
        <v>1400939.115371532</v>
      </c>
      <c r="X6" s="175">
        <f t="shared" si="4"/>
        <v>1478597.81104253</v>
      </c>
      <c r="Y6" s="175">
        <f t="shared" si="4"/>
        <v>1676143.2445535718</v>
      </c>
      <c r="Z6" s="175">
        <f t="shared" si="4"/>
        <v>1844485.5665904321</v>
      </c>
      <c r="AA6" s="175">
        <f t="shared" si="4"/>
        <v>1837801.1</v>
      </c>
      <c r="AB6" s="175">
        <f t="shared" ref="AB6:AC6" si="6">AB7+AB8</f>
        <v>2003082.4</v>
      </c>
      <c r="AC6" s="175">
        <f t="shared" si="6"/>
        <v>2162164</v>
      </c>
      <c r="AD6" s="175">
        <f t="shared" ref="AD6:AE6" si="7">AD7+AD8</f>
        <v>2397890.5</v>
      </c>
      <c r="AE6" s="175">
        <f t="shared" si="7"/>
        <v>2440987</v>
      </c>
      <c r="AF6" s="175"/>
      <c r="AG6" s="170">
        <f>AE6/AD6-1</f>
        <v>1.7972672230028852E-2</v>
      </c>
      <c r="AH6" s="170">
        <f>AE6/AA6-1</f>
        <v>0.32821065348148926</v>
      </c>
    </row>
    <row r="7" spans="2:38" ht="13" customHeight="1">
      <c r="B7" s="58" t="str">
        <f>IF('Summary | Sumário'!D$6=Names!B$3,Names!AC31,Names!AD31)</f>
        <v>NII</v>
      </c>
      <c r="C7" s="159">
        <f>'6. NII'!C38</f>
        <v>591527</v>
      </c>
      <c r="D7" s="159">
        <f>'6. NII'!D38</f>
        <v>733280.89517999999</v>
      </c>
      <c r="E7" s="159">
        <f>'6. NII'!E38</f>
        <v>1614134.912</v>
      </c>
      <c r="F7" s="159">
        <f>'6. NII'!F38</f>
        <v>2435209.1850000001</v>
      </c>
      <c r="G7" s="159">
        <f>'6. NII'!G38</f>
        <v>3296796.9950000001</v>
      </c>
      <c r="H7" s="159">
        <f>'6. NII'!H38</f>
        <v>4456744.9342886657</v>
      </c>
      <c r="I7" s="159">
        <f>'6. NII'!I38</f>
        <v>6273819</v>
      </c>
      <c r="J7" s="164"/>
      <c r="K7" s="159">
        <f>'6. NII'!K38</f>
        <v>297457.33899999998</v>
      </c>
      <c r="L7" s="159">
        <f>'6. NII'!L38</f>
        <v>308984.34700000007</v>
      </c>
      <c r="M7" s="159">
        <f>'6. NII'!M38</f>
        <v>453160.88</v>
      </c>
      <c r="N7" s="159">
        <f>'6. NII'!N38</f>
        <v>554532.3459999999</v>
      </c>
      <c r="O7" s="159">
        <f>'6. NII'!O38</f>
        <v>560444.01500000001</v>
      </c>
      <c r="P7" s="159">
        <f>'6. NII'!P38</f>
        <v>586650.3110000001</v>
      </c>
      <c r="Q7" s="159">
        <f>'6. NII'!Q38</f>
        <v>586724.46700000006</v>
      </c>
      <c r="R7" s="159">
        <f>'6. NII'!R38</f>
        <v>701390.39199999999</v>
      </c>
      <c r="S7" s="159">
        <f>'6. NII'!S38</f>
        <v>726481.12400000007</v>
      </c>
      <c r="T7" s="159">
        <f>'6. NII'!T38</f>
        <v>828266</v>
      </c>
      <c r="U7" s="159">
        <f>'6. NII'!U38</f>
        <v>845216.10796000005</v>
      </c>
      <c r="V7" s="159">
        <f>'6. NII'!V38</f>
        <v>896833.76303999987</v>
      </c>
      <c r="W7" s="159">
        <f>'6. NII'!W38</f>
        <v>992420.72051999974</v>
      </c>
      <c r="X7" s="159">
        <f>'6. NII'!X38</f>
        <v>1041865.72580385</v>
      </c>
      <c r="Y7" s="159">
        <f>'6. NII'!Y38</f>
        <v>1164350.1315736331</v>
      </c>
      <c r="Z7" s="159">
        <f>'6. NII'!Z38</f>
        <v>1258108.3563911831</v>
      </c>
      <c r="AA7" s="159">
        <f>'6. NII'!AA38</f>
        <v>1362594.3</v>
      </c>
      <c r="AB7" s="159">
        <f>'6. NII'!AB38</f>
        <v>1469507</v>
      </c>
      <c r="AC7" s="159">
        <f>'6. NII'!AC38</f>
        <v>1622691</v>
      </c>
      <c r="AD7" s="159">
        <f>'6. NII'!AD38</f>
        <v>1819026.7</v>
      </c>
      <c r="AE7" s="159">
        <f>'6. NII'!AE38</f>
        <v>1881750</v>
      </c>
      <c r="AF7" s="164"/>
      <c r="AG7" s="346">
        <f>AE7/AD7-1</f>
        <v>3.4481791828564257E-2</v>
      </c>
      <c r="AH7" s="346">
        <f>AE7/AA7-1</f>
        <v>0.38100533665816738</v>
      </c>
    </row>
    <row r="8" spans="2:38" ht="13" customHeight="1">
      <c r="B8" s="53" t="str">
        <f>IF('Summary | Sumário'!D$6=Names!B$3,Names!AC34,Names!AD34)</f>
        <v>Net fee revenues</v>
      </c>
      <c r="C8" s="175">
        <f>'7. Fee Revenue | R. de Serv '!C19</f>
        <v>120696.66099999999</v>
      </c>
      <c r="D8" s="175">
        <f>'7. Fee Revenue | R. de Serv '!D19</f>
        <v>278098</v>
      </c>
      <c r="E8" s="175">
        <f>'7. Fee Revenue | R. de Serv '!E19</f>
        <v>607687</v>
      </c>
      <c r="F8" s="175">
        <f>'7. Fee Revenue | R. de Serv '!F19</f>
        <v>1127488</v>
      </c>
      <c r="G8" s="175">
        <f>'7. Fee Revenue | R. de Serv '!G19</f>
        <v>1455780.6</v>
      </c>
      <c r="H8" s="175">
        <f>'7. Fee Revenue | R. de Serv '!H19</f>
        <v>1943420.8032693998</v>
      </c>
      <c r="I8" s="175">
        <f>'7. Fee Revenue | R. de Serv '!I19</f>
        <v>2127119</v>
      </c>
      <c r="J8" s="175"/>
      <c r="K8" s="175">
        <f>'7. Fee Revenue | R. de Serv '!K19</f>
        <v>119309</v>
      </c>
      <c r="L8" s="175">
        <f>'7. Fee Revenue | R. de Serv '!L19</f>
        <v>158429</v>
      </c>
      <c r="M8" s="175">
        <f>'7. Fee Revenue | R. de Serv '!M19</f>
        <v>153349</v>
      </c>
      <c r="N8" s="175">
        <f>'7. Fee Revenue | R. de Serv '!N19</f>
        <v>176600</v>
      </c>
      <c r="O8" s="175">
        <f>'7. Fee Revenue | R. de Serv '!O19</f>
        <v>273077</v>
      </c>
      <c r="P8" s="175">
        <f>'7. Fee Revenue | R. de Serv '!P19</f>
        <v>290370</v>
      </c>
      <c r="Q8" s="175">
        <f>'7. Fee Revenue | R. de Serv '!Q19</f>
        <v>263579</v>
      </c>
      <c r="R8" s="175">
        <f>'7. Fee Revenue | R. de Serv '!R19</f>
        <v>300462</v>
      </c>
      <c r="S8" s="175">
        <f>'7. Fee Revenue | R. de Serv '!S19</f>
        <v>297633</v>
      </c>
      <c r="T8" s="175">
        <f>'7. Fee Revenue | R. de Serv '!T19</f>
        <v>321768</v>
      </c>
      <c r="U8" s="175">
        <f>'7. Fee Revenue | R. de Serv '!U19</f>
        <v>420279.50028000004</v>
      </c>
      <c r="V8" s="175">
        <f>'7. Fee Revenue | R. de Serv '!V19</f>
        <v>416100.09971999994</v>
      </c>
      <c r="W8" s="175">
        <f>'7. Fee Revenue | R. de Serv '!W19</f>
        <v>408518.39485153224</v>
      </c>
      <c r="X8" s="175">
        <f>'7. Fee Revenue | R. de Serv '!X19</f>
        <v>436732.08523867995</v>
      </c>
      <c r="Y8" s="175">
        <f>'7. Fee Revenue | R. de Serv '!Y19</f>
        <v>511793.11297993874</v>
      </c>
      <c r="Z8" s="175">
        <f>'7. Fee Revenue | R. de Serv '!Z19</f>
        <v>586377.21019924898</v>
      </c>
      <c r="AA8" s="175">
        <f>'7. Fee Revenue | R. de Serv '!AA19</f>
        <v>475206.80000000005</v>
      </c>
      <c r="AB8" s="175">
        <f>'7. Fee Revenue | R. de Serv '!AB19</f>
        <v>533575.4</v>
      </c>
      <c r="AC8" s="175">
        <f>'7. Fee Revenue | R. de Serv '!AC19</f>
        <v>539473</v>
      </c>
      <c r="AD8" s="175">
        <f>'7. Fee Revenue | R. de Serv '!AD19</f>
        <v>578863.79999999993</v>
      </c>
      <c r="AE8" s="175">
        <f>'7. Fee Revenue | R. de Serv '!AE19</f>
        <v>559237</v>
      </c>
      <c r="AF8" s="175"/>
      <c r="AG8" s="170">
        <f>AE8/AD8-1</f>
        <v>-3.3905730501717191E-2</v>
      </c>
      <c r="AH8" s="170">
        <f>AE8/AA8-1</f>
        <v>0.17682869857922889</v>
      </c>
    </row>
    <row r="9" spans="2:38" ht="13" customHeight="1">
      <c r="B9" s="286" t="str">
        <f>IF('Summary | Sumário'!D$6=Names!B$3,Names!AC35,Names!AD35)</f>
        <v>Fee income ratio (%)</v>
      </c>
      <c r="C9" s="311">
        <f>C5/C6</f>
        <v>0.169464548300088</v>
      </c>
      <c r="D9" s="311">
        <f t="shared" ref="D9:AA9" si="8">D5/D6</f>
        <v>0.27496915480968737</v>
      </c>
      <c r="E9" s="311">
        <f t="shared" si="8"/>
        <v>0.27350841969732093</v>
      </c>
      <c r="F9" s="311">
        <f t="shared" si="8"/>
        <v>0.31647034296011883</v>
      </c>
      <c r="G9" s="311">
        <f t="shared" si="8"/>
        <v>0.30631390459180918</v>
      </c>
      <c r="H9" s="311">
        <f t="shared" si="8"/>
        <v>0.30365163699821585</v>
      </c>
      <c r="I9" s="311">
        <f t="shared" ref="I9" si="9">I5/I6</f>
        <v>0.25320017836103542</v>
      </c>
      <c r="J9" s="324"/>
      <c r="K9" s="311">
        <f t="shared" si="8"/>
        <v>0.28627311957648288</v>
      </c>
      <c r="L9" s="311">
        <f t="shared" si="8"/>
        <v>0.33894838694026419</v>
      </c>
      <c r="M9" s="311">
        <f t="shared" si="8"/>
        <v>0.25283842037330045</v>
      </c>
      <c r="N9" s="311">
        <f t="shared" si="8"/>
        <v>0.24154313643237449</v>
      </c>
      <c r="O9" s="311">
        <f t="shared" si="8"/>
        <v>0.32761861439090412</v>
      </c>
      <c r="P9" s="311">
        <f t="shared" si="8"/>
        <v>0.33108697296749373</v>
      </c>
      <c r="Q9" s="311">
        <f t="shared" si="8"/>
        <v>0.30998227130596889</v>
      </c>
      <c r="R9" s="311">
        <f t="shared" si="8"/>
        <v>0.29990645568074864</v>
      </c>
      <c r="S9" s="311">
        <f t="shared" si="8"/>
        <v>0.29062483665150585</v>
      </c>
      <c r="T9" s="311">
        <f t="shared" si="8"/>
        <v>0.27978998881772194</v>
      </c>
      <c r="U9" s="311">
        <f t="shared" si="8"/>
        <v>0.33210664465640283</v>
      </c>
      <c r="V9" s="311">
        <f t="shared" si="8"/>
        <v>0.31692388438004793</v>
      </c>
      <c r="W9" s="311">
        <f t="shared" si="8"/>
        <v>0.29160324697136625</v>
      </c>
      <c r="X9" s="311">
        <f t="shared" si="8"/>
        <v>0.29536908683149532</v>
      </c>
      <c r="Y9" s="311">
        <f t="shared" si="8"/>
        <v>0.3053397223912393</v>
      </c>
      <c r="Z9" s="311">
        <f t="shared" si="8"/>
        <v>0.31790826711817477</v>
      </c>
      <c r="AA9" s="311">
        <f t="shared" si="8"/>
        <v>0.25857357469205999</v>
      </c>
      <c r="AB9" s="311">
        <f t="shared" ref="AB9:AC9" si="10">AB5/AB6</f>
        <v>0.26637715952174512</v>
      </c>
      <c r="AC9" s="311">
        <f t="shared" si="10"/>
        <v>0.24950605041985716</v>
      </c>
      <c r="AD9" s="311">
        <f t="shared" ref="AD9:AE9" si="11">AD5/AD6</f>
        <v>0.24140543531908565</v>
      </c>
      <c r="AE9" s="311">
        <f t="shared" si="11"/>
        <v>0.22910281783557224</v>
      </c>
      <c r="AF9" s="324"/>
      <c r="AG9" s="649">
        <f>(AE9-AD9)*100</f>
        <v>-1.2302617483513412</v>
      </c>
      <c r="AH9" s="649">
        <f>(AE9-AA9)*100</f>
        <v>-2.9470756856487759</v>
      </c>
    </row>
    <row r="10" spans="2:38" ht="13" customHeight="1">
      <c r="AG10" s="164"/>
      <c r="AH10" s="164"/>
    </row>
    <row r="11" spans="2:38" ht="13" customHeight="1">
      <c r="C11" s="120" t="s">
        <v>1181</v>
      </c>
    </row>
    <row r="14" spans="2:38" ht="13" customHeight="1">
      <c r="E14" s="170"/>
    </row>
  </sheetData>
  <sheetProtection algorithmName="SHA-512" hashValue="J7e2JUdXvAXEYsILDHEQseJs5DNfb80Y5wvCY4sGIne0PWDeOfu1EGFuEGxlDYtQZgcYxhjZO6G+f3C9uEpsBQ==" saltValue="D2s4EqZVpKpvXmFxAsn8v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BD91-04FC-D944-845B-73B5F43E5F1F}">
  <sheetPr codeName="Sheet16">
    <tabColor rgb="FFF7CAB0"/>
  </sheetPr>
  <dimension ref="B1:AL26"/>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1" customWidth="1"/>
    <col min="10" max="10" width="2.83203125" style="121" customWidth="1"/>
    <col min="11" max="31" width="10.83203125" style="121" customWidth="1"/>
    <col min="32" max="32" width="5.83203125" style="121" customWidth="1"/>
    <col min="33" max="34" width="10.83203125" style="121" customWidth="1"/>
    <col min="35" max="16384" width="10.83203125" style="120"/>
  </cols>
  <sheetData>
    <row r="1" spans="2:38" ht="13" customHeight="1">
      <c r="AI1" s="121"/>
    </row>
    <row r="2" spans="2:38" s="9" customFormat="1" ht="13" customHeight="1">
      <c r="B2" s="255" t="str">
        <f>IF('Summary | Sumário'!D$6=Names!B$3,Names!BF1,Names!BG1)</f>
        <v> Efficiency Ratio (R$ Thousands)</v>
      </c>
      <c r="C2" s="577">
        <f>IF('Summary | Sumário'!D6=Names!B3,Names!C2,Names!D2)</f>
        <v>2019</v>
      </c>
      <c r="D2" s="577">
        <f>IF('Summary | Sumário'!D6=Names!B3,Names!C3,Names!D3)</f>
        <v>2020</v>
      </c>
      <c r="E2" s="577">
        <f>IF('Summary | Sumário'!D6=Names!B3,Names!C4,Names!D4)</f>
        <v>2021</v>
      </c>
      <c r="F2" s="577">
        <f>IF('Summary | Sumário'!D6=Names!B3,Names!C5,Names!D5)</f>
        <v>2022</v>
      </c>
      <c r="G2" s="577">
        <f>IF('Summary | Sumário'!D6=Names!B3,Names!C18,Names!D18)</f>
        <v>2023</v>
      </c>
      <c r="H2" s="577">
        <f>IF('Summary | Sumário'!D6=Names!B3,Names!C23,Names!D23)</f>
        <v>2024</v>
      </c>
      <c r="I2" s="577">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31"/>
    </row>
    <row r="4" spans="2:38" ht="13" customHeight="1">
      <c r="B4" s="3" t="str">
        <f>IF('Summary | Sumário'!D$6=Names!B$3,Names!BF3,Names!BG3)</f>
        <v>Efficiency ratio </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row>
    <row r="5" spans="2:38" ht="13" customHeight="1">
      <c r="B5" s="276" t="str">
        <f>IF('Summary | Sumário'!D$6=Names!B$3,Names!BF4,Names!BG4)</f>
        <v>Total operational expenses</v>
      </c>
      <c r="C5" s="277">
        <f>C18</f>
        <v>572970</v>
      </c>
      <c r="D5" s="277">
        <f t="shared" ref="D5:H5" si="0">D18</f>
        <v>914082</v>
      </c>
      <c r="E5" s="277">
        <f t="shared" si="0"/>
        <v>1701818.2949999999</v>
      </c>
      <c r="F5" s="277">
        <f t="shared" si="0"/>
        <v>2392061</v>
      </c>
      <c r="G5" s="277">
        <f t="shared" si="0"/>
        <v>2412527</v>
      </c>
      <c r="H5" s="277">
        <f t="shared" si="0"/>
        <v>2915645.6869999999</v>
      </c>
      <c r="I5" s="277">
        <f t="shared" ref="I5" si="1">I18</f>
        <v>3631664</v>
      </c>
      <c r="J5" s="164"/>
      <c r="K5" s="277">
        <f t="shared" ref="K5:AB5" si="2">K18</f>
        <v>320122.31299999997</v>
      </c>
      <c r="L5" s="277">
        <f t="shared" si="2"/>
        <v>391145</v>
      </c>
      <c r="M5" s="277">
        <f t="shared" si="2"/>
        <v>387488.18799999997</v>
      </c>
      <c r="N5" s="277">
        <f t="shared" si="2"/>
        <v>603062.79399999999</v>
      </c>
      <c r="O5" s="277">
        <f t="shared" si="2"/>
        <v>558404</v>
      </c>
      <c r="P5" s="277">
        <f t="shared" si="2"/>
        <v>556595</v>
      </c>
      <c r="Q5" s="277">
        <f t="shared" si="2"/>
        <v>591798</v>
      </c>
      <c r="R5" s="277">
        <f t="shared" si="2"/>
        <v>685264</v>
      </c>
      <c r="S5" s="277">
        <f t="shared" si="2"/>
        <v>595604</v>
      </c>
      <c r="T5" s="277">
        <f t="shared" si="2"/>
        <v>575247</v>
      </c>
      <c r="U5" s="277">
        <f t="shared" si="2"/>
        <v>614129</v>
      </c>
      <c r="V5" s="277">
        <f t="shared" si="2"/>
        <v>627547</v>
      </c>
      <c r="W5" s="277">
        <f t="shared" si="2"/>
        <v>627607</v>
      </c>
      <c r="X5" s="277">
        <f t="shared" si="2"/>
        <v>660068.69851999998</v>
      </c>
      <c r="Y5" s="277">
        <f t="shared" si="2"/>
        <v>787129.60447999998</v>
      </c>
      <c r="Z5" s="277">
        <f t="shared" si="2"/>
        <v>840840.38400000008</v>
      </c>
      <c r="AA5" s="277">
        <f t="shared" si="2"/>
        <v>830517.8</v>
      </c>
      <c r="AB5" s="277">
        <f t="shared" si="2"/>
        <v>873425.6</v>
      </c>
      <c r="AC5" s="277">
        <f t="shared" ref="AC5:AD5" si="3">AC18</f>
        <v>913115</v>
      </c>
      <c r="AD5" s="277">
        <f t="shared" si="3"/>
        <v>1014605.6000000001</v>
      </c>
      <c r="AE5" s="277">
        <f t="shared" ref="AE5" si="4">AE18</f>
        <v>996042</v>
      </c>
      <c r="AG5" s="680">
        <f t="shared" ref="AG5:AG14" si="5">AE5/AD5-1</f>
        <v>-1.8296370530578643E-2</v>
      </c>
      <c r="AH5" s="680">
        <f t="shared" ref="AH5:AH14" si="6">AE5/AA5-1</f>
        <v>0.19930241109823288</v>
      </c>
    </row>
    <row r="6" spans="2:38" ht="13" customHeight="1">
      <c r="B6" s="62" t="str">
        <f>IF('Summary | Sumário'!D$6=Names!B$3,Names!BF5,Names!BG5)</f>
        <v>Personnel expenses</v>
      </c>
      <c r="C6" s="164">
        <f>C19</f>
        <v>169198</v>
      </c>
      <c r="D6" s="164">
        <f t="shared" ref="D6:H6" si="7">D19</f>
        <v>229096</v>
      </c>
      <c r="E6" s="164">
        <f t="shared" si="7"/>
        <v>443328</v>
      </c>
      <c r="F6" s="164">
        <f t="shared" si="7"/>
        <v>733605</v>
      </c>
      <c r="G6" s="164">
        <f t="shared" si="7"/>
        <v>790739</v>
      </c>
      <c r="H6" s="164">
        <f t="shared" si="7"/>
        <v>937761.13</v>
      </c>
      <c r="I6" s="164">
        <f t="shared" ref="I6" si="8">I19</f>
        <v>1090333</v>
      </c>
      <c r="J6" s="164"/>
      <c r="K6" s="164">
        <f t="shared" ref="K6:AB6" si="9">K19</f>
        <v>81861</v>
      </c>
      <c r="L6" s="164">
        <f t="shared" si="9"/>
        <v>93046</v>
      </c>
      <c r="M6" s="164">
        <f t="shared" si="9"/>
        <v>121250</v>
      </c>
      <c r="N6" s="164">
        <f t="shared" si="9"/>
        <v>147171</v>
      </c>
      <c r="O6" s="164">
        <f t="shared" si="9"/>
        <v>145120</v>
      </c>
      <c r="P6" s="164">
        <f t="shared" si="9"/>
        <v>172466</v>
      </c>
      <c r="Q6" s="164">
        <f t="shared" si="9"/>
        <v>176232</v>
      </c>
      <c r="R6" s="164">
        <f t="shared" si="9"/>
        <v>239787</v>
      </c>
      <c r="S6" s="164">
        <f t="shared" si="9"/>
        <v>172412</v>
      </c>
      <c r="T6" s="164">
        <f t="shared" si="9"/>
        <v>186249</v>
      </c>
      <c r="U6" s="164">
        <f t="shared" si="9"/>
        <v>210661</v>
      </c>
      <c r="V6" s="164">
        <f t="shared" si="9"/>
        <v>221417</v>
      </c>
      <c r="W6" s="164">
        <f t="shared" si="9"/>
        <v>190463</v>
      </c>
      <c r="X6" s="164">
        <f t="shared" si="9"/>
        <v>204206.56551999997</v>
      </c>
      <c r="Y6" s="164">
        <f t="shared" si="9"/>
        <v>258954.60447999998</v>
      </c>
      <c r="Z6" s="164">
        <f t="shared" si="9"/>
        <v>284136.96000000008</v>
      </c>
      <c r="AA6" s="164">
        <f t="shared" si="9"/>
        <v>234873.2</v>
      </c>
      <c r="AB6" s="164">
        <f t="shared" si="9"/>
        <v>256765</v>
      </c>
      <c r="AC6" s="164">
        <f t="shared" ref="AC6:AD6" si="10">AC19</f>
        <v>285248</v>
      </c>
      <c r="AD6" s="164">
        <f t="shared" si="10"/>
        <v>313446.80000000005</v>
      </c>
      <c r="AE6" s="164">
        <f t="shared" ref="AE6" si="11">AE19</f>
        <v>284777</v>
      </c>
      <c r="AG6" s="197">
        <f t="shared" si="5"/>
        <v>-9.1466239246979164E-2</v>
      </c>
      <c r="AH6" s="197">
        <f t="shared" si="6"/>
        <v>0.21247123980087967</v>
      </c>
    </row>
    <row r="7" spans="2:38" ht="13" customHeight="1">
      <c r="B7" s="67" t="str">
        <f>IF('Summary | Sumário'!D$6=Names!B$3,Names!BF6,Names!BG6)</f>
        <v>Administrative expenses</v>
      </c>
      <c r="C7" s="159">
        <f>C20</f>
        <v>386309</v>
      </c>
      <c r="D7" s="159">
        <f t="shared" ref="D7:H7" si="12">D20</f>
        <v>641327</v>
      </c>
      <c r="E7" s="159">
        <f t="shared" si="12"/>
        <v>1164239.7749999999</v>
      </c>
      <c r="F7" s="159">
        <f t="shared" si="12"/>
        <v>1494484</v>
      </c>
      <c r="G7" s="159">
        <f t="shared" si="12"/>
        <v>1461348</v>
      </c>
      <c r="H7" s="159">
        <f t="shared" si="12"/>
        <v>1769055.128</v>
      </c>
      <c r="I7" s="159">
        <f t="shared" ref="I7" si="13">I20</f>
        <v>2200604</v>
      </c>
      <c r="J7" s="164"/>
      <c r="K7" s="159">
        <f t="shared" ref="K7:AB7" si="14">K20</f>
        <v>219095.31299999999</v>
      </c>
      <c r="L7" s="159">
        <f t="shared" si="14"/>
        <v>272761</v>
      </c>
      <c r="M7" s="159">
        <f t="shared" si="14"/>
        <v>235355.18799999999</v>
      </c>
      <c r="N7" s="159">
        <f t="shared" si="14"/>
        <v>437028.27399999998</v>
      </c>
      <c r="O7" s="159">
        <f t="shared" si="14"/>
        <v>376806</v>
      </c>
      <c r="P7" s="159">
        <f t="shared" si="14"/>
        <v>348618</v>
      </c>
      <c r="Q7" s="159">
        <f t="shared" si="14"/>
        <v>379946</v>
      </c>
      <c r="R7" s="159">
        <f t="shared" si="14"/>
        <v>389114</v>
      </c>
      <c r="S7" s="159">
        <f t="shared" si="14"/>
        <v>385615</v>
      </c>
      <c r="T7" s="159">
        <f t="shared" si="14"/>
        <v>347868</v>
      </c>
      <c r="U7" s="159">
        <f t="shared" si="14"/>
        <v>362877</v>
      </c>
      <c r="V7" s="159">
        <f t="shared" si="14"/>
        <v>364988</v>
      </c>
      <c r="W7" s="159">
        <f t="shared" si="14"/>
        <v>395244</v>
      </c>
      <c r="X7" s="159">
        <f t="shared" si="14"/>
        <v>402827.25400000002</v>
      </c>
      <c r="Y7" s="159">
        <f t="shared" si="14"/>
        <v>474826</v>
      </c>
      <c r="Z7" s="159">
        <f t="shared" si="14"/>
        <v>496157.87400000007</v>
      </c>
      <c r="AA7" s="159">
        <f t="shared" si="14"/>
        <v>528199.6</v>
      </c>
      <c r="AB7" s="159">
        <f t="shared" si="14"/>
        <v>540029.6</v>
      </c>
      <c r="AC7" s="159">
        <f t="shared" ref="AC7:AD7" si="15">AC20</f>
        <v>543343</v>
      </c>
      <c r="AD7" s="159">
        <f t="shared" si="15"/>
        <v>589031.80000000005</v>
      </c>
      <c r="AE7" s="159">
        <f t="shared" ref="AE7" si="16">AE20</f>
        <v>617898</v>
      </c>
      <c r="AG7" s="151">
        <f t="shared" si="5"/>
        <v>4.9006182688269062E-2</v>
      </c>
      <c r="AH7" s="151">
        <f t="shared" si="6"/>
        <v>0.16981913655368164</v>
      </c>
    </row>
    <row r="8" spans="2:38" ht="13" customHeight="1">
      <c r="B8" s="62" t="str">
        <f>IF('Summary | Sumário'!D$6=Names!B$3,Names!BF7,Names!BG7)</f>
        <v>Depreciation and amortization</v>
      </c>
      <c r="C8" s="164">
        <f>C21</f>
        <v>17463</v>
      </c>
      <c r="D8" s="164">
        <f t="shared" ref="D8:H8" si="17">D21</f>
        <v>43659</v>
      </c>
      <c r="E8" s="164">
        <f t="shared" si="17"/>
        <v>94250.52</v>
      </c>
      <c r="F8" s="164">
        <f t="shared" si="17"/>
        <v>163972</v>
      </c>
      <c r="G8" s="164">
        <f t="shared" si="17"/>
        <v>160440</v>
      </c>
      <c r="H8" s="164">
        <f t="shared" si="17"/>
        <v>208829.429</v>
      </c>
      <c r="I8" s="164">
        <f t="shared" ref="I8" si="18">I21</f>
        <v>340727</v>
      </c>
      <c r="J8" s="164"/>
      <c r="K8" s="164">
        <f t="shared" ref="K8:AB8" si="19">K21</f>
        <v>19166</v>
      </c>
      <c r="L8" s="164">
        <f t="shared" si="19"/>
        <v>25338</v>
      </c>
      <c r="M8" s="164">
        <f t="shared" si="19"/>
        <v>30883</v>
      </c>
      <c r="N8" s="164">
        <f t="shared" si="19"/>
        <v>18863.520000000004</v>
      </c>
      <c r="O8" s="164">
        <f t="shared" si="19"/>
        <v>36478</v>
      </c>
      <c r="P8" s="164">
        <f t="shared" si="19"/>
        <v>35511</v>
      </c>
      <c r="Q8" s="164">
        <f t="shared" si="19"/>
        <v>35620</v>
      </c>
      <c r="R8" s="164">
        <f t="shared" si="19"/>
        <v>56363</v>
      </c>
      <c r="S8" s="164">
        <f t="shared" si="19"/>
        <v>37577</v>
      </c>
      <c r="T8" s="164">
        <f t="shared" si="19"/>
        <v>41130</v>
      </c>
      <c r="U8" s="164">
        <f t="shared" si="19"/>
        <v>40591</v>
      </c>
      <c r="V8" s="164">
        <f t="shared" si="19"/>
        <v>41142</v>
      </c>
      <c r="W8" s="164">
        <f t="shared" si="19"/>
        <v>41900</v>
      </c>
      <c r="X8" s="164">
        <f t="shared" si="19"/>
        <v>53034.879000000001</v>
      </c>
      <c r="Y8" s="164">
        <f t="shared" si="19"/>
        <v>53349</v>
      </c>
      <c r="Z8" s="164">
        <f t="shared" si="19"/>
        <v>60545.549999999988</v>
      </c>
      <c r="AA8" s="164">
        <f t="shared" si="19"/>
        <v>67445</v>
      </c>
      <c r="AB8" s="164">
        <f t="shared" si="19"/>
        <v>76631</v>
      </c>
      <c r="AC8" s="164">
        <f t="shared" ref="AC8:AD8" si="20">AC21</f>
        <v>84524</v>
      </c>
      <c r="AD8" s="164">
        <f t="shared" si="20"/>
        <v>112127</v>
      </c>
      <c r="AE8" s="164">
        <f t="shared" ref="AE8" si="21">AE21</f>
        <v>93367</v>
      </c>
      <c r="AG8" s="197">
        <f t="shared" si="5"/>
        <v>-0.16731028209084342</v>
      </c>
      <c r="AH8" s="197">
        <f t="shared" si="6"/>
        <v>0.38434279783527314</v>
      </c>
    </row>
    <row r="9" spans="2:38" ht="13" customHeight="1">
      <c r="B9" s="52" t="str">
        <f>IF('Summary | Sumário'!D$6=Names!B$3,Names!BF8,Names!BG8)</f>
        <v>(÷) Total net revenues excluding tax expenses</v>
      </c>
      <c r="C9" s="159">
        <f t="shared" ref="C9:AA9" si="22">C10+C11+C12</f>
        <v>712223.66099999996</v>
      </c>
      <c r="D9" s="159">
        <f t="shared" si="22"/>
        <v>1011378.89518</v>
      </c>
      <c r="E9" s="159">
        <f t="shared" si="22"/>
        <v>2075100.6869999999</v>
      </c>
      <c r="F9" s="159">
        <f t="shared" si="22"/>
        <v>3314109.1850000001</v>
      </c>
      <c r="G9" s="159">
        <f t="shared" si="22"/>
        <v>4441962.5950000007</v>
      </c>
      <c r="H9" s="159">
        <f t="shared" si="22"/>
        <v>5997899.3415580653</v>
      </c>
      <c r="I9" s="159">
        <f t="shared" ref="I9" si="23">I10+I11+I12</f>
        <v>7824674</v>
      </c>
      <c r="J9" s="164"/>
      <c r="K9" s="159">
        <f t="shared" si="22"/>
        <v>389231.652</v>
      </c>
      <c r="L9" s="159">
        <f t="shared" si="22"/>
        <v>437040.34700000007</v>
      </c>
      <c r="M9" s="159">
        <f t="shared" si="22"/>
        <v>565864.06799999997</v>
      </c>
      <c r="N9" s="159">
        <f t="shared" si="22"/>
        <v>682964.61999999988</v>
      </c>
      <c r="O9" s="159">
        <f t="shared" si="22"/>
        <v>776828.01500000001</v>
      </c>
      <c r="P9" s="159">
        <f t="shared" si="22"/>
        <v>815420.3110000001</v>
      </c>
      <c r="Q9" s="159">
        <f t="shared" si="22"/>
        <v>788759.46700000006</v>
      </c>
      <c r="R9" s="159">
        <f t="shared" si="22"/>
        <v>933101.39199999999</v>
      </c>
      <c r="S9" s="159">
        <f t="shared" si="22"/>
        <v>955243.12400000007</v>
      </c>
      <c r="T9" s="159">
        <f t="shared" si="22"/>
        <v>1077571</v>
      </c>
      <c r="U9" s="159">
        <f t="shared" si="22"/>
        <v>1187392.60824</v>
      </c>
      <c r="V9" s="159">
        <f t="shared" si="22"/>
        <v>1221755.8627599999</v>
      </c>
      <c r="W9" s="159">
        <f t="shared" si="22"/>
        <v>1314608.115371532</v>
      </c>
      <c r="X9" s="159">
        <f t="shared" si="22"/>
        <v>1387767.54004253</v>
      </c>
      <c r="Y9" s="159">
        <f t="shared" si="22"/>
        <v>1561817.3355535718</v>
      </c>
      <c r="Z9" s="159">
        <f t="shared" si="22"/>
        <v>1733706.3505904321</v>
      </c>
      <c r="AA9" s="159">
        <f t="shared" si="22"/>
        <v>1720152.1</v>
      </c>
      <c r="AB9" s="159">
        <f>AB10+AB11+AB12</f>
        <v>1852523.7999999998</v>
      </c>
      <c r="AC9" s="159">
        <f>AC10+AC11+AC12</f>
        <v>2021390.4</v>
      </c>
      <c r="AD9" s="159">
        <f>AD10+AD11+AD12</f>
        <v>2230607.7000000002</v>
      </c>
      <c r="AE9" s="159">
        <f>AE10+AE11+AE12</f>
        <v>2275640</v>
      </c>
      <c r="AG9" s="151">
        <f t="shared" si="5"/>
        <v>2.0188354949191467E-2</v>
      </c>
      <c r="AH9" s="151">
        <f t="shared" si="6"/>
        <v>0.32292952466238289</v>
      </c>
    </row>
    <row r="10" spans="2:38" ht="13" customHeight="1">
      <c r="B10" s="54" t="str">
        <f>IF('Summary | Sumário'!D$6=Names!B$3,Names!AC31,Names!AD31)</f>
        <v>NII</v>
      </c>
      <c r="C10" s="164">
        <f>C23</f>
        <v>591527</v>
      </c>
      <c r="D10" s="164">
        <f t="shared" ref="D10:H10" si="24">D23</f>
        <v>733280.89517999999</v>
      </c>
      <c r="E10" s="164">
        <f t="shared" si="24"/>
        <v>1614134.912</v>
      </c>
      <c r="F10" s="164">
        <f t="shared" si="24"/>
        <v>2435209.1850000001</v>
      </c>
      <c r="G10" s="164">
        <f t="shared" si="24"/>
        <v>3296796.9950000001</v>
      </c>
      <c r="H10" s="164">
        <f t="shared" si="24"/>
        <v>4456744.9342886657</v>
      </c>
      <c r="I10" s="164">
        <f t="shared" ref="I10" si="25">I23</f>
        <v>6273819</v>
      </c>
      <c r="J10" s="164"/>
      <c r="K10" s="164">
        <f t="shared" ref="K10:AB10" si="26">K23</f>
        <v>297457.33899999998</v>
      </c>
      <c r="L10" s="164">
        <f t="shared" si="26"/>
        <v>308984.34700000007</v>
      </c>
      <c r="M10" s="164">
        <f t="shared" si="26"/>
        <v>453160.88</v>
      </c>
      <c r="N10" s="164">
        <f t="shared" si="26"/>
        <v>554532.3459999999</v>
      </c>
      <c r="O10" s="164">
        <f t="shared" si="26"/>
        <v>560444.01500000001</v>
      </c>
      <c r="P10" s="164">
        <f t="shared" si="26"/>
        <v>586650.3110000001</v>
      </c>
      <c r="Q10" s="164">
        <f t="shared" si="26"/>
        <v>586724.46700000006</v>
      </c>
      <c r="R10" s="164">
        <f t="shared" si="26"/>
        <v>701390.39199999999</v>
      </c>
      <c r="S10" s="164">
        <f t="shared" si="26"/>
        <v>726481.12400000007</v>
      </c>
      <c r="T10" s="164">
        <f t="shared" si="26"/>
        <v>828266</v>
      </c>
      <c r="U10" s="164">
        <f t="shared" si="26"/>
        <v>845216.10796000005</v>
      </c>
      <c r="V10" s="164">
        <f t="shared" si="26"/>
        <v>896833.76303999987</v>
      </c>
      <c r="W10" s="164">
        <f t="shared" si="26"/>
        <v>992420.72051999974</v>
      </c>
      <c r="X10" s="164">
        <f t="shared" si="26"/>
        <v>1041865.72580385</v>
      </c>
      <c r="Y10" s="164">
        <f t="shared" si="26"/>
        <v>1164350.1315736331</v>
      </c>
      <c r="Z10" s="164">
        <f t="shared" si="26"/>
        <v>1258108.3563911831</v>
      </c>
      <c r="AA10" s="164">
        <f t="shared" si="26"/>
        <v>1362594.3</v>
      </c>
      <c r="AB10" s="164">
        <f t="shared" si="26"/>
        <v>1469507</v>
      </c>
      <c r="AC10" s="164">
        <f t="shared" ref="AC10:AD10" si="27">AC23</f>
        <v>1622691</v>
      </c>
      <c r="AD10" s="164">
        <f t="shared" si="27"/>
        <v>1819026.7</v>
      </c>
      <c r="AE10" s="164">
        <f t="shared" ref="AE10" si="28">AE23</f>
        <v>1881750</v>
      </c>
      <c r="AG10" s="197">
        <f t="shared" si="5"/>
        <v>3.4481791828564257E-2</v>
      </c>
      <c r="AH10" s="197">
        <f t="shared" si="6"/>
        <v>0.38100533665816738</v>
      </c>
    </row>
    <row r="11" spans="2:38" ht="13" customHeight="1">
      <c r="B11" s="68" t="str">
        <f>IF('Summary | Sumário'!D$6=Names!B$3,Names!BF10,Names!BG10)</f>
        <v>Net result from services and commissions</v>
      </c>
      <c r="C11" s="159">
        <f>C24</f>
        <v>120696.66099999999</v>
      </c>
      <c r="D11" s="159">
        <f t="shared" ref="D11:H11" si="29">D24</f>
        <v>278098</v>
      </c>
      <c r="E11" s="159">
        <f t="shared" si="29"/>
        <v>607687</v>
      </c>
      <c r="F11" s="159">
        <f t="shared" si="29"/>
        <v>1127488</v>
      </c>
      <c r="G11" s="159">
        <f t="shared" si="29"/>
        <v>1455780.6</v>
      </c>
      <c r="H11" s="159">
        <f t="shared" si="29"/>
        <v>1943420.8032693998</v>
      </c>
      <c r="I11" s="159">
        <f t="shared" ref="I11" si="30">I24</f>
        <v>2127119</v>
      </c>
      <c r="J11" s="164"/>
      <c r="K11" s="159">
        <f t="shared" ref="K11:AB11" si="31">K24</f>
        <v>119309</v>
      </c>
      <c r="L11" s="159">
        <f t="shared" si="31"/>
        <v>158429</v>
      </c>
      <c r="M11" s="159">
        <f t="shared" si="31"/>
        <v>153349</v>
      </c>
      <c r="N11" s="159">
        <f t="shared" si="31"/>
        <v>176600</v>
      </c>
      <c r="O11" s="159">
        <f t="shared" si="31"/>
        <v>273077</v>
      </c>
      <c r="P11" s="159">
        <f t="shared" si="31"/>
        <v>290370</v>
      </c>
      <c r="Q11" s="159">
        <f t="shared" si="31"/>
        <v>263579</v>
      </c>
      <c r="R11" s="159">
        <f t="shared" si="31"/>
        <v>300462</v>
      </c>
      <c r="S11" s="159">
        <f t="shared" si="31"/>
        <v>297633</v>
      </c>
      <c r="T11" s="159">
        <f t="shared" si="31"/>
        <v>321768</v>
      </c>
      <c r="U11" s="159">
        <f t="shared" si="31"/>
        <v>420279.50028000004</v>
      </c>
      <c r="V11" s="159">
        <f t="shared" si="31"/>
        <v>416100.09971999994</v>
      </c>
      <c r="W11" s="159">
        <f t="shared" si="31"/>
        <v>408518.39485153224</v>
      </c>
      <c r="X11" s="159">
        <f t="shared" si="31"/>
        <v>436732.08523867995</v>
      </c>
      <c r="Y11" s="159">
        <f t="shared" si="31"/>
        <v>511793.11297993874</v>
      </c>
      <c r="Z11" s="159">
        <f t="shared" si="31"/>
        <v>586377.21019924898</v>
      </c>
      <c r="AA11" s="159">
        <f t="shared" si="31"/>
        <v>475206.80000000005</v>
      </c>
      <c r="AB11" s="159">
        <f t="shared" si="31"/>
        <v>533575.4</v>
      </c>
      <c r="AC11" s="159">
        <f t="shared" ref="AC11:AD11" si="32">AC24</f>
        <v>539473</v>
      </c>
      <c r="AD11" s="159">
        <f t="shared" si="32"/>
        <v>578863.79999999993</v>
      </c>
      <c r="AE11" s="159">
        <f t="shared" ref="AE11" si="33">AE24</f>
        <v>559237</v>
      </c>
      <c r="AG11" s="151">
        <f t="shared" si="5"/>
        <v>-3.3905730501717191E-2</v>
      </c>
      <c r="AH11" s="151">
        <f t="shared" si="6"/>
        <v>0.17682869857922889</v>
      </c>
    </row>
    <row r="12" spans="2:38" ht="13" customHeight="1">
      <c r="B12" s="64" t="str">
        <f>IF('Summary | Sumário'!D$6=Names!B$3,Names!BF52,Names!BG52)</f>
        <v>Tax expenses excluding tax expenses from interest on own capital (IOC)</v>
      </c>
      <c r="C12" s="164">
        <f>C13+C14</f>
        <v>0</v>
      </c>
      <c r="D12" s="164">
        <f t="shared" ref="D12" si="34">D13+D14</f>
        <v>0</v>
      </c>
      <c r="E12" s="164">
        <f t="shared" ref="E12:AA12" si="35">E13-E14</f>
        <v>-146721.22500000001</v>
      </c>
      <c r="F12" s="164">
        <f t="shared" si="35"/>
        <v>-248588</v>
      </c>
      <c r="G12" s="164">
        <f t="shared" si="35"/>
        <v>-310615</v>
      </c>
      <c r="H12" s="164">
        <f t="shared" si="35"/>
        <v>-402266.39600000001</v>
      </c>
      <c r="I12" s="164">
        <f t="shared" ref="I12" si="36">I13-I14</f>
        <v>-576264</v>
      </c>
      <c r="J12" s="164"/>
      <c r="K12" s="164">
        <f t="shared" si="35"/>
        <v>-27534.687000000002</v>
      </c>
      <c r="L12" s="164">
        <f t="shared" si="35"/>
        <v>-30373</v>
      </c>
      <c r="M12" s="164">
        <f t="shared" si="35"/>
        <v>-40645.811999999998</v>
      </c>
      <c r="N12" s="164">
        <f t="shared" si="35"/>
        <v>-48167.726000000002</v>
      </c>
      <c r="O12" s="164">
        <f t="shared" si="35"/>
        <v>-56693</v>
      </c>
      <c r="P12" s="164">
        <f t="shared" si="35"/>
        <v>-61600</v>
      </c>
      <c r="Q12" s="164">
        <f t="shared" si="35"/>
        <v>-61544</v>
      </c>
      <c r="R12" s="164">
        <f t="shared" si="35"/>
        <v>-68751</v>
      </c>
      <c r="S12" s="164">
        <f t="shared" si="35"/>
        <v>-68871</v>
      </c>
      <c r="T12" s="164">
        <f t="shared" si="35"/>
        <v>-72463</v>
      </c>
      <c r="U12" s="164">
        <f t="shared" si="35"/>
        <v>-78103</v>
      </c>
      <c r="V12" s="164">
        <f t="shared" si="35"/>
        <v>-91178</v>
      </c>
      <c r="W12" s="164">
        <f t="shared" si="35"/>
        <v>-86331</v>
      </c>
      <c r="X12" s="164">
        <f t="shared" si="35"/>
        <v>-90830.270999999993</v>
      </c>
      <c r="Y12" s="164">
        <f t="shared" si="35"/>
        <v>-114325.909</v>
      </c>
      <c r="Z12" s="164">
        <f t="shared" si="35"/>
        <v>-110779.21600000001</v>
      </c>
      <c r="AA12" s="164">
        <f t="shared" si="35"/>
        <v>-117649</v>
      </c>
      <c r="AB12" s="164">
        <f>AB13-AB14</f>
        <v>-150558.6</v>
      </c>
      <c r="AC12" s="164">
        <f>AC13-AC14</f>
        <v>-140773.6</v>
      </c>
      <c r="AD12" s="164">
        <f>AD13-AD14</f>
        <v>-167282.80000000005</v>
      </c>
      <c r="AE12" s="164">
        <f>AE13-AE14</f>
        <v>-165347</v>
      </c>
      <c r="AG12" s="197">
        <f t="shared" si="5"/>
        <v>-1.1572020554414753E-2</v>
      </c>
      <c r="AH12" s="197">
        <f t="shared" si="6"/>
        <v>0.40542631046587729</v>
      </c>
    </row>
    <row r="13" spans="2:38" ht="13" customHeight="1">
      <c r="B13" s="678" t="str">
        <f>IF('Summary | Sumário'!D$6=Names!B$3,Names!M16,Names!N16)</f>
        <v>Tax expenses</v>
      </c>
      <c r="C13" s="159">
        <f>C25</f>
        <v>0</v>
      </c>
      <c r="D13" s="159">
        <f t="shared" ref="D13:H13" si="37">D25</f>
        <v>0</v>
      </c>
      <c r="E13" s="159">
        <f t="shared" si="37"/>
        <v>-146721.22500000001</v>
      </c>
      <c r="F13" s="159">
        <f t="shared" si="37"/>
        <v>-248588</v>
      </c>
      <c r="G13" s="159">
        <f t="shared" si="37"/>
        <v>-326584</v>
      </c>
      <c r="H13" s="159">
        <f t="shared" si="37"/>
        <v>-477037.39600000001</v>
      </c>
      <c r="I13" s="159">
        <f t="shared" ref="I13" si="38">I25</f>
        <v>-728734</v>
      </c>
      <c r="J13" s="321"/>
      <c r="K13" s="159">
        <f t="shared" ref="K13:AB13" si="39">K25</f>
        <v>-27534.687000000002</v>
      </c>
      <c r="L13" s="159">
        <f t="shared" si="39"/>
        <v>-30373</v>
      </c>
      <c r="M13" s="159">
        <f t="shared" si="39"/>
        <v>-40645.811999999998</v>
      </c>
      <c r="N13" s="159">
        <f t="shared" si="39"/>
        <v>-48167.726000000002</v>
      </c>
      <c r="O13" s="159">
        <f t="shared" si="39"/>
        <v>-56693</v>
      </c>
      <c r="P13" s="159">
        <f t="shared" si="39"/>
        <v>-61600</v>
      </c>
      <c r="Q13" s="159">
        <f t="shared" si="39"/>
        <v>-61544</v>
      </c>
      <c r="R13" s="159">
        <f t="shared" si="39"/>
        <v>-68751</v>
      </c>
      <c r="S13" s="159">
        <f t="shared" si="39"/>
        <v>-68871</v>
      </c>
      <c r="T13" s="159">
        <f t="shared" si="39"/>
        <v>-72463</v>
      </c>
      <c r="U13" s="159">
        <f t="shared" si="39"/>
        <v>-94072</v>
      </c>
      <c r="V13" s="159">
        <f t="shared" si="39"/>
        <v>-91178</v>
      </c>
      <c r="W13" s="159">
        <f t="shared" si="39"/>
        <v>-86331</v>
      </c>
      <c r="X13" s="159">
        <f t="shared" si="39"/>
        <v>-99417.270999999993</v>
      </c>
      <c r="Y13" s="159">
        <f t="shared" si="39"/>
        <v>-123632.909</v>
      </c>
      <c r="Z13" s="159">
        <f t="shared" si="39"/>
        <v>-167656.21600000001</v>
      </c>
      <c r="AA13" s="159">
        <f t="shared" si="39"/>
        <v>-136055</v>
      </c>
      <c r="AB13" s="159">
        <f t="shared" si="39"/>
        <v>-176879.6</v>
      </c>
      <c r="AC13" s="159">
        <f t="shared" ref="AC13:AD13" si="40">AC25</f>
        <v>-190327.6</v>
      </c>
      <c r="AD13" s="159">
        <f t="shared" si="40"/>
        <v>-225471.80000000005</v>
      </c>
      <c r="AE13" s="159">
        <f t="shared" ref="AE13" si="41">AE25</f>
        <v>-186559</v>
      </c>
      <c r="AG13" s="151">
        <f t="shared" si="5"/>
        <v>-0.17258388853949824</v>
      </c>
      <c r="AH13" s="151">
        <f t="shared" si="6"/>
        <v>0.37120282238800484</v>
      </c>
    </row>
    <row r="14" spans="2:38" ht="13" customHeight="1">
      <c r="B14" s="677" t="str">
        <f>IF('Summary | Sumário'!D$6=Names!B$3,Names!BF51,Names!BG51)</f>
        <v>(-) Tax expenses from interest on own capital (IOC)</v>
      </c>
      <c r="C14" s="164">
        <v>0</v>
      </c>
      <c r="D14" s="164">
        <v>0</v>
      </c>
      <c r="E14" s="164">
        <v>0</v>
      </c>
      <c r="F14" s="164">
        <v>0</v>
      </c>
      <c r="G14" s="164">
        <v>-15969</v>
      </c>
      <c r="H14" s="164">
        <v>-74771</v>
      </c>
      <c r="I14" s="164">
        <v>-152470</v>
      </c>
      <c r="K14" s="164">
        <v>0</v>
      </c>
      <c r="L14" s="164">
        <v>0</v>
      </c>
      <c r="M14" s="164">
        <v>0</v>
      </c>
      <c r="N14" s="164">
        <v>0</v>
      </c>
      <c r="O14" s="164">
        <v>0</v>
      </c>
      <c r="P14" s="164">
        <v>0</v>
      </c>
      <c r="Q14" s="164">
        <v>0</v>
      </c>
      <c r="R14" s="164">
        <v>0</v>
      </c>
      <c r="S14" s="164">
        <v>0</v>
      </c>
      <c r="T14" s="164">
        <v>0</v>
      </c>
      <c r="U14" s="164">
        <v>-15969</v>
      </c>
      <c r="V14" s="164">
        <v>0</v>
      </c>
      <c r="W14" s="164">
        <v>0</v>
      </c>
      <c r="X14" s="164">
        <v>-8587</v>
      </c>
      <c r="Y14" s="164">
        <v>-9307</v>
      </c>
      <c r="Z14" s="164">
        <v>-56877</v>
      </c>
      <c r="AA14" s="164">
        <v>-18406</v>
      </c>
      <c r="AB14" s="164">
        <v>-26321</v>
      </c>
      <c r="AC14" s="164">
        <v>-49554</v>
      </c>
      <c r="AD14" s="164">
        <v>-58189</v>
      </c>
      <c r="AE14" s="164">
        <v>-21212</v>
      </c>
      <c r="AG14" s="197">
        <f t="shared" si="5"/>
        <v>-0.63546374744367484</v>
      </c>
      <c r="AH14" s="197">
        <f t="shared" si="6"/>
        <v>0.15245028794958171</v>
      </c>
    </row>
    <row r="15" spans="2:38" ht="13" customHeight="1">
      <c r="B15" s="274" t="str">
        <f>IF('Summary | Sumário'!D$6=Names!B$3,Names!BF14,Names!BG14)</f>
        <v>Efficiency ratio (%)</v>
      </c>
      <c r="C15" s="309">
        <f>C5/C9</f>
        <v>0.80448043413149117</v>
      </c>
      <c r="D15" s="309">
        <f t="shared" ref="D15:AB15" si="42">D5/D9</f>
        <v>0.90379777979974207</v>
      </c>
      <c r="E15" s="309">
        <f t="shared" si="42"/>
        <v>0.82011360010696199</v>
      </c>
      <c r="F15" s="309">
        <f t="shared" si="42"/>
        <v>0.72178098742996</v>
      </c>
      <c r="G15" s="309">
        <f t="shared" si="42"/>
        <v>0.54312186300614262</v>
      </c>
      <c r="H15" s="309">
        <f t="shared" si="42"/>
        <v>0.48611114007835399</v>
      </c>
      <c r="I15" s="309">
        <f t="shared" ref="I15" si="43">I5/I9</f>
        <v>0.46412975160370901</v>
      </c>
      <c r="J15" s="321"/>
      <c r="K15" s="309">
        <f t="shared" si="42"/>
        <v>0.8224467649408943</v>
      </c>
      <c r="L15" s="309">
        <f t="shared" si="42"/>
        <v>0.8949860183046211</v>
      </c>
      <c r="M15" s="309">
        <f t="shared" si="42"/>
        <v>0.68477256272790943</v>
      </c>
      <c r="N15" s="309">
        <f t="shared" si="42"/>
        <v>0.88300737159708231</v>
      </c>
      <c r="O15" s="309">
        <f t="shared" si="42"/>
        <v>0.71882577509772227</v>
      </c>
      <c r="P15" s="309">
        <f t="shared" si="42"/>
        <v>0.68258662740128873</v>
      </c>
      <c r="Q15" s="309">
        <f t="shared" si="42"/>
        <v>0.75028956831525417</v>
      </c>
      <c r="R15" s="309">
        <f t="shared" si="42"/>
        <v>0.73439393175827561</v>
      </c>
      <c r="S15" s="309">
        <f t="shared" si="42"/>
        <v>0.62351037661067732</v>
      </c>
      <c r="T15" s="309">
        <f t="shared" si="42"/>
        <v>0.53383674950420901</v>
      </c>
      <c r="U15" s="309">
        <f t="shared" si="42"/>
        <v>0.51720803695273643</v>
      </c>
      <c r="V15" s="309">
        <f t="shared" si="42"/>
        <v>0.51364353479126668</v>
      </c>
      <c r="W15" s="309">
        <f t="shared" si="42"/>
        <v>0.47740995408553893</v>
      </c>
      <c r="X15" s="309">
        <f t="shared" si="42"/>
        <v>0.47563347568986319</v>
      </c>
      <c r="Y15" s="309">
        <f t="shared" si="42"/>
        <v>0.50398313974470588</v>
      </c>
      <c r="Z15" s="309">
        <f t="shared" si="42"/>
        <v>0.48499584933379458</v>
      </c>
      <c r="AA15" s="309">
        <f t="shared" si="42"/>
        <v>0.48281649047197628</v>
      </c>
      <c r="AB15" s="309">
        <f t="shared" si="42"/>
        <v>0.47147874699369585</v>
      </c>
      <c r="AC15" s="309">
        <f t="shared" ref="AC15:AD15" si="44">AC5/AC9</f>
        <v>0.45172619796749802</v>
      </c>
      <c r="AD15" s="309">
        <f t="shared" si="44"/>
        <v>0.45485613628967569</v>
      </c>
      <c r="AE15" s="309">
        <f>AE5/AE9</f>
        <v>0.43769752684958957</v>
      </c>
      <c r="AG15" s="679">
        <f>(AE15-AD15)*100</f>
        <v>-1.7158609440086126</v>
      </c>
      <c r="AH15" s="679">
        <f>(AE15-AA15)*100</f>
        <v>-4.5118963622386712</v>
      </c>
    </row>
    <row r="16" spans="2:38" ht="13" customHeight="1">
      <c r="B16" s="63"/>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G16" s="120"/>
      <c r="AH16" s="120"/>
    </row>
    <row r="17" spans="2:34" ht="13" customHeight="1">
      <c r="B17" s="23" t="str">
        <f>IF('Summary | Sumário'!D$6=Names!B$3,Names!BF50,Names!BG50)</f>
        <v>Efficiency ratio - including tax expenses from interest on own capital (IOC)</v>
      </c>
      <c r="C17" s="310"/>
      <c r="D17" s="310"/>
      <c r="E17" s="310"/>
      <c r="F17" s="310"/>
      <c r="G17" s="310"/>
      <c r="H17" s="310"/>
      <c r="I17" s="310"/>
      <c r="J17" s="167"/>
      <c r="K17" s="310"/>
      <c r="L17" s="310"/>
      <c r="M17" s="310"/>
      <c r="N17" s="310"/>
      <c r="O17" s="310"/>
      <c r="P17" s="310"/>
      <c r="Q17" s="310"/>
      <c r="R17" s="310"/>
      <c r="S17" s="310"/>
      <c r="T17" s="310"/>
      <c r="U17" s="310"/>
      <c r="V17" s="310"/>
      <c r="W17" s="310"/>
      <c r="X17" s="310"/>
      <c r="Y17" s="310"/>
      <c r="Z17" s="310"/>
      <c r="AA17" s="310"/>
      <c r="AB17" s="310"/>
      <c r="AC17" s="310"/>
      <c r="AD17" s="310"/>
      <c r="AE17" s="310"/>
      <c r="AG17" s="163"/>
      <c r="AH17" s="163"/>
    </row>
    <row r="18" spans="2:34" ht="13" customHeight="1">
      <c r="B18" s="279" t="str">
        <f>IF('Summary | Sumário'!D$6=Names!B$3,Names!BF4,Names!BG4)</f>
        <v>Total operational expenses</v>
      </c>
      <c r="C18" s="280">
        <f t="shared" ref="C18" si="45">SUM(C19:C21)</f>
        <v>572970</v>
      </c>
      <c r="D18" s="280">
        <f t="shared" ref="D18" si="46">SUM(D19:D21)</f>
        <v>914082</v>
      </c>
      <c r="E18" s="280">
        <f t="shared" ref="E18" si="47">SUM(E19:E21)</f>
        <v>1701818.2949999999</v>
      </c>
      <c r="F18" s="280">
        <f t="shared" ref="F18" si="48">SUM(F19:F21)</f>
        <v>2392061</v>
      </c>
      <c r="G18" s="280">
        <f t="shared" ref="G18" si="49">SUM(G19:G21)</f>
        <v>2412527</v>
      </c>
      <c r="H18" s="280">
        <f t="shared" ref="H18:I18" si="50">SUM(H19:H21)</f>
        <v>2915645.6869999999</v>
      </c>
      <c r="I18" s="280">
        <f t="shared" si="50"/>
        <v>3631664</v>
      </c>
      <c r="J18" s="164"/>
      <c r="K18" s="280">
        <f t="shared" ref="K18" si="51">SUM(K19:K21)</f>
        <v>320122.31299999997</v>
      </c>
      <c r="L18" s="280">
        <f t="shared" ref="L18" si="52">SUM(L19:L21)</f>
        <v>391145</v>
      </c>
      <c r="M18" s="280">
        <f t="shared" ref="M18" si="53">SUM(M19:M21)</f>
        <v>387488.18799999997</v>
      </c>
      <c r="N18" s="280">
        <f t="shared" ref="N18" si="54">SUM(N19:N21)</f>
        <v>603062.79399999999</v>
      </c>
      <c r="O18" s="280">
        <f t="shared" ref="O18" si="55">SUM(O19:O21)</f>
        <v>558404</v>
      </c>
      <c r="P18" s="280">
        <f t="shared" ref="P18" si="56">SUM(P19:P21)</f>
        <v>556595</v>
      </c>
      <c r="Q18" s="280">
        <f t="shared" ref="Q18" si="57">SUM(Q19:Q21)</f>
        <v>591798</v>
      </c>
      <c r="R18" s="280">
        <f t="shared" ref="R18" si="58">SUM(R19:R21)</f>
        <v>685264</v>
      </c>
      <c r="S18" s="280">
        <f t="shared" ref="S18" si="59">SUM(S19:S21)</f>
        <v>595604</v>
      </c>
      <c r="T18" s="280">
        <f t="shared" ref="T18" si="60">SUM(T19:T21)</f>
        <v>575247</v>
      </c>
      <c r="U18" s="280">
        <f t="shared" ref="U18" si="61">SUM(U19:U21)</f>
        <v>614129</v>
      </c>
      <c r="V18" s="280">
        <f t="shared" ref="V18" si="62">SUM(V19:V21)</f>
        <v>627547</v>
      </c>
      <c r="W18" s="280">
        <f t="shared" ref="W18" si="63">SUM(W19:W21)</f>
        <v>627607</v>
      </c>
      <c r="X18" s="280">
        <f t="shared" ref="X18" si="64">SUM(X19:X21)</f>
        <v>660068.69851999998</v>
      </c>
      <c r="Y18" s="280">
        <f t="shared" ref="Y18" si="65">SUM(Y19:Y21)</f>
        <v>787129.60447999998</v>
      </c>
      <c r="Z18" s="280">
        <f t="shared" ref="Z18" si="66">SUM(Z19:Z21)</f>
        <v>840840.38400000008</v>
      </c>
      <c r="AA18" s="280">
        <f t="shared" ref="AA18:AB18" si="67">SUM(AA19:AA21)</f>
        <v>830517.8</v>
      </c>
      <c r="AB18" s="280">
        <f t="shared" si="67"/>
        <v>873425.6</v>
      </c>
      <c r="AC18" s="280">
        <f t="shared" ref="AC18:AD18" si="68">SUM(AC19:AC21)</f>
        <v>913115</v>
      </c>
      <c r="AD18" s="280">
        <f t="shared" si="68"/>
        <v>1014605.6000000001</v>
      </c>
      <c r="AE18" s="280">
        <f t="shared" ref="AE18" si="69">SUM(AE19:AE21)</f>
        <v>996042</v>
      </c>
      <c r="AG18" s="681">
        <f t="shared" ref="AG18:AG25" si="70">AE18/AD18-1</f>
        <v>-1.8296370530578643E-2</v>
      </c>
      <c r="AH18" s="681">
        <f t="shared" ref="AH18:AH25" si="71">AE18/AA18-1</f>
        <v>0.19930241109823288</v>
      </c>
    </row>
    <row r="19" spans="2:34" ht="13" customHeight="1">
      <c r="B19" s="67" t="str">
        <f>IF('Summary | Sumário'!D$6=Names!B$3,Names!BF5,Names!BG5)</f>
        <v>Personnel expenses</v>
      </c>
      <c r="C19" s="159">
        <f>-'8. Expenses'!C7</f>
        <v>169198</v>
      </c>
      <c r="D19" s="159">
        <f>-'8. Expenses'!D7</f>
        <v>229096</v>
      </c>
      <c r="E19" s="159">
        <f>-'8. Expenses'!E7</f>
        <v>443328</v>
      </c>
      <c r="F19" s="159">
        <f>-'8. Expenses'!F7</f>
        <v>733605</v>
      </c>
      <c r="G19" s="159">
        <f>-'8. Expenses'!G7</f>
        <v>790739</v>
      </c>
      <c r="H19" s="159">
        <f>-'8. Expenses'!H7</f>
        <v>937761.13</v>
      </c>
      <c r="I19" s="159">
        <f>-'8. Expenses'!I7</f>
        <v>1090333</v>
      </c>
      <c r="J19" s="164"/>
      <c r="K19" s="159">
        <f>-'8. Expenses'!K7</f>
        <v>81861</v>
      </c>
      <c r="L19" s="159">
        <f>-'8. Expenses'!L7</f>
        <v>93046</v>
      </c>
      <c r="M19" s="159">
        <f>-'8. Expenses'!M7</f>
        <v>121250</v>
      </c>
      <c r="N19" s="159">
        <f>-'8. Expenses'!N7</f>
        <v>147171</v>
      </c>
      <c r="O19" s="159">
        <f>-'8. Expenses'!O7</f>
        <v>145120</v>
      </c>
      <c r="P19" s="159">
        <f>-'8. Expenses'!P7</f>
        <v>172466</v>
      </c>
      <c r="Q19" s="159">
        <f>-'8. Expenses'!Q7</f>
        <v>176232</v>
      </c>
      <c r="R19" s="159">
        <f>-'8. Expenses'!R7</f>
        <v>239787</v>
      </c>
      <c r="S19" s="159">
        <f>-'8. Expenses'!S7</f>
        <v>172412</v>
      </c>
      <c r="T19" s="159">
        <f>-'8. Expenses'!T7</f>
        <v>186249</v>
      </c>
      <c r="U19" s="159">
        <f>-'8. Expenses'!U7</f>
        <v>210661</v>
      </c>
      <c r="V19" s="159">
        <f>-'8. Expenses'!V7</f>
        <v>221417</v>
      </c>
      <c r="W19" s="159">
        <f>-'8. Expenses'!W7</f>
        <v>190463</v>
      </c>
      <c r="X19" s="159">
        <f>-'8. Expenses'!X7</f>
        <v>204206.56551999997</v>
      </c>
      <c r="Y19" s="159">
        <f>-'8. Expenses'!Y7</f>
        <v>258954.60447999998</v>
      </c>
      <c r="Z19" s="159">
        <f>-'8. Expenses'!Z7</f>
        <v>284136.96000000008</v>
      </c>
      <c r="AA19" s="159">
        <f>-'8. Expenses'!AA7</f>
        <v>234873.2</v>
      </c>
      <c r="AB19" s="159">
        <f>-'8. Expenses'!AB7</f>
        <v>256765</v>
      </c>
      <c r="AC19" s="159">
        <f>-'8. Expenses'!AC7</f>
        <v>285248</v>
      </c>
      <c r="AD19" s="159">
        <f>-'8. Expenses'!AD7</f>
        <v>313446.80000000005</v>
      </c>
      <c r="AE19" s="159">
        <f>-'8. Expenses'!AE7</f>
        <v>284777</v>
      </c>
      <c r="AG19" s="151">
        <f t="shared" si="70"/>
        <v>-9.1466239246979164E-2</v>
      </c>
      <c r="AH19" s="151">
        <f t="shared" si="71"/>
        <v>0.21247123980087967</v>
      </c>
    </row>
    <row r="20" spans="2:34" ht="13" customHeight="1">
      <c r="B20" s="62" t="str">
        <f>IF('Summary | Sumário'!D$6=Names!B$3,Names!BF6,Names!BG6)</f>
        <v>Administrative expenses</v>
      </c>
      <c r="C20" s="164">
        <f>-'8. Expenses'!C8</f>
        <v>386309</v>
      </c>
      <c r="D20" s="164">
        <f>-'8. Expenses'!D8</f>
        <v>641327</v>
      </c>
      <c r="E20" s="164">
        <f>-'8. Expenses'!E8</f>
        <v>1164239.7749999999</v>
      </c>
      <c r="F20" s="164">
        <f>-'8. Expenses'!F8</f>
        <v>1494484</v>
      </c>
      <c r="G20" s="164">
        <f>-'8. Expenses'!G8</f>
        <v>1461348</v>
      </c>
      <c r="H20" s="164">
        <f>-'8. Expenses'!H8</f>
        <v>1769055.128</v>
      </c>
      <c r="I20" s="164">
        <f>-'8. Expenses'!I8</f>
        <v>2200604</v>
      </c>
      <c r="J20" s="164"/>
      <c r="K20" s="164">
        <f>-'8. Expenses'!K8</f>
        <v>219095.31299999999</v>
      </c>
      <c r="L20" s="164">
        <f>-'8. Expenses'!L8</f>
        <v>272761</v>
      </c>
      <c r="M20" s="164">
        <f>-'8. Expenses'!M8</f>
        <v>235355.18799999999</v>
      </c>
      <c r="N20" s="164">
        <f>-'8. Expenses'!N8</f>
        <v>437028.27399999998</v>
      </c>
      <c r="O20" s="164">
        <f>-'8. Expenses'!O8</f>
        <v>376806</v>
      </c>
      <c r="P20" s="164">
        <f>-'8. Expenses'!P8</f>
        <v>348618</v>
      </c>
      <c r="Q20" s="164">
        <f>-'8. Expenses'!Q8</f>
        <v>379946</v>
      </c>
      <c r="R20" s="164">
        <f>-'8. Expenses'!R8</f>
        <v>389114</v>
      </c>
      <c r="S20" s="164">
        <f>-'8. Expenses'!S8</f>
        <v>385615</v>
      </c>
      <c r="T20" s="164">
        <f>-'8. Expenses'!T8</f>
        <v>347868</v>
      </c>
      <c r="U20" s="164">
        <f>-'8. Expenses'!U8</f>
        <v>362877</v>
      </c>
      <c r="V20" s="164">
        <f>-'8. Expenses'!V8</f>
        <v>364988</v>
      </c>
      <c r="W20" s="164">
        <f>-'8. Expenses'!W8</f>
        <v>395244</v>
      </c>
      <c r="X20" s="164">
        <f>-'8. Expenses'!X8</f>
        <v>402827.25400000002</v>
      </c>
      <c r="Y20" s="164">
        <f>-'8. Expenses'!Y8</f>
        <v>474826</v>
      </c>
      <c r="Z20" s="164">
        <f>-'8. Expenses'!Z8</f>
        <v>496157.87400000007</v>
      </c>
      <c r="AA20" s="164">
        <f>-'8. Expenses'!AA8</f>
        <v>528199.6</v>
      </c>
      <c r="AB20" s="164">
        <f>-'8. Expenses'!AB8</f>
        <v>540029.6</v>
      </c>
      <c r="AC20" s="164">
        <f>-'8. Expenses'!AC8</f>
        <v>543343</v>
      </c>
      <c r="AD20" s="164">
        <f>-'8. Expenses'!AD8</f>
        <v>589031.80000000005</v>
      </c>
      <c r="AE20" s="164">
        <f>-'8. Expenses'!AE8</f>
        <v>617898</v>
      </c>
      <c r="AG20" s="150">
        <f t="shared" si="70"/>
        <v>4.9006182688269062E-2</v>
      </c>
      <c r="AH20" s="150">
        <f t="shared" si="71"/>
        <v>0.16981913655368164</v>
      </c>
    </row>
    <row r="21" spans="2:34" ht="13" customHeight="1">
      <c r="B21" s="67" t="str">
        <f>IF('Summary | Sumário'!D$6=Names!B$3,Names!BF7,Names!BG7)</f>
        <v>Depreciation and amortization</v>
      </c>
      <c r="C21" s="159">
        <f>-'8. Expenses'!C9</f>
        <v>17463</v>
      </c>
      <c r="D21" s="159">
        <f>-'8. Expenses'!D9</f>
        <v>43659</v>
      </c>
      <c r="E21" s="159">
        <f>-'8. Expenses'!E9</f>
        <v>94250.52</v>
      </c>
      <c r="F21" s="159">
        <f>-'8. Expenses'!F9</f>
        <v>163972</v>
      </c>
      <c r="G21" s="159">
        <f>-'8. Expenses'!G9</f>
        <v>160440</v>
      </c>
      <c r="H21" s="159">
        <f>-'8. Expenses'!H9</f>
        <v>208829.429</v>
      </c>
      <c r="I21" s="159">
        <f>-'8. Expenses'!I9</f>
        <v>340727</v>
      </c>
      <c r="J21" s="164"/>
      <c r="K21" s="159">
        <f>-'8. Expenses'!K9</f>
        <v>19166</v>
      </c>
      <c r="L21" s="159">
        <f>-'8. Expenses'!L9</f>
        <v>25338</v>
      </c>
      <c r="M21" s="159">
        <f>-'8. Expenses'!M9</f>
        <v>30883</v>
      </c>
      <c r="N21" s="159">
        <f>-'8. Expenses'!N9</f>
        <v>18863.520000000004</v>
      </c>
      <c r="O21" s="159">
        <f>-'8. Expenses'!O9</f>
        <v>36478</v>
      </c>
      <c r="P21" s="159">
        <f>-'8. Expenses'!P9</f>
        <v>35511</v>
      </c>
      <c r="Q21" s="159">
        <f>-'8. Expenses'!Q9</f>
        <v>35620</v>
      </c>
      <c r="R21" s="159">
        <f>-'8. Expenses'!R9</f>
        <v>56363</v>
      </c>
      <c r="S21" s="159">
        <f>-'8. Expenses'!S9</f>
        <v>37577</v>
      </c>
      <c r="T21" s="159">
        <f>-'8. Expenses'!T9</f>
        <v>41130</v>
      </c>
      <c r="U21" s="159">
        <f>-'8. Expenses'!U9</f>
        <v>40591</v>
      </c>
      <c r="V21" s="159">
        <f>-'8. Expenses'!V9</f>
        <v>41142</v>
      </c>
      <c r="W21" s="159">
        <f>-'8. Expenses'!W9</f>
        <v>41900</v>
      </c>
      <c r="X21" s="159">
        <f>-'8. Expenses'!X9</f>
        <v>53034.879000000001</v>
      </c>
      <c r="Y21" s="159">
        <f>-'8. Expenses'!Y9</f>
        <v>53349</v>
      </c>
      <c r="Z21" s="159">
        <f>-'8. Expenses'!Z9</f>
        <v>60545.549999999988</v>
      </c>
      <c r="AA21" s="159">
        <f>-'8. Expenses'!AA9</f>
        <v>67445</v>
      </c>
      <c r="AB21" s="159">
        <f>-'8. Expenses'!AB9</f>
        <v>76631</v>
      </c>
      <c r="AC21" s="159">
        <f>-'8. Expenses'!AC9</f>
        <v>84524</v>
      </c>
      <c r="AD21" s="159">
        <f>-'8. Expenses'!AD9</f>
        <v>112127</v>
      </c>
      <c r="AE21" s="159">
        <f>-'8. Expenses'!AE9</f>
        <v>93367</v>
      </c>
      <c r="AG21" s="151">
        <f t="shared" si="70"/>
        <v>-0.16731028209084342</v>
      </c>
      <c r="AH21" s="151">
        <f t="shared" si="71"/>
        <v>0.38434279783527314</v>
      </c>
    </row>
    <row r="22" spans="2:34" ht="13" customHeight="1">
      <c r="B22" s="50" t="str">
        <f>IF('Summary | Sumário'!D$6=Names!B$3,Names!BF8,Names!BG8)</f>
        <v>(÷) Total net revenues excluding tax expenses</v>
      </c>
      <c r="C22" s="164">
        <f t="shared" ref="C22" si="72">C23+C24+C25</f>
        <v>712223.66099999996</v>
      </c>
      <c r="D22" s="164">
        <f t="shared" ref="D22" si="73">D23+D24+D25</f>
        <v>1011378.89518</v>
      </c>
      <c r="E22" s="164">
        <f t="shared" ref="E22" si="74">E23+E24+E25</f>
        <v>2075100.6869999999</v>
      </c>
      <c r="F22" s="164">
        <f t="shared" ref="F22" si="75">F23+F24+F25</f>
        <v>3314109.1850000001</v>
      </c>
      <c r="G22" s="164">
        <f t="shared" ref="G22" si="76">G23+G24+G25</f>
        <v>4425993.5950000007</v>
      </c>
      <c r="H22" s="164">
        <f t="shared" ref="H22:I22" si="77">H23+H24+H25</f>
        <v>5923128.3415580653</v>
      </c>
      <c r="I22" s="164">
        <f t="shared" si="77"/>
        <v>7672204</v>
      </c>
      <c r="J22" s="164"/>
      <c r="K22" s="164">
        <f t="shared" ref="K22:Z22" si="78">K23+K24+K25</f>
        <v>389231.652</v>
      </c>
      <c r="L22" s="164">
        <f t="shared" si="78"/>
        <v>437040.34700000007</v>
      </c>
      <c r="M22" s="164">
        <f t="shared" si="78"/>
        <v>565864.06799999997</v>
      </c>
      <c r="N22" s="164">
        <f t="shared" si="78"/>
        <v>682964.61999999988</v>
      </c>
      <c r="O22" s="164">
        <f t="shared" si="78"/>
        <v>776828.01500000001</v>
      </c>
      <c r="P22" s="164">
        <f t="shared" si="78"/>
        <v>815420.3110000001</v>
      </c>
      <c r="Q22" s="164">
        <f t="shared" si="78"/>
        <v>788759.46700000006</v>
      </c>
      <c r="R22" s="164">
        <f t="shared" si="78"/>
        <v>933101.39199999999</v>
      </c>
      <c r="S22" s="164">
        <f t="shared" si="78"/>
        <v>955243.12400000007</v>
      </c>
      <c r="T22" s="164">
        <f t="shared" si="78"/>
        <v>1077571</v>
      </c>
      <c r="U22" s="164">
        <f t="shared" si="78"/>
        <v>1171423.60824</v>
      </c>
      <c r="V22" s="164">
        <f t="shared" si="78"/>
        <v>1221755.8627599999</v>
      </c>
      <c r="W22" s="164">
        <f t="shared" si="78"/>
        <v>1314608.115371532</v>
      </c>
      <c r="X22" s="164">
        <f t="shared" si="78"/>
        <v>1379180.54004253</v>
      </c>
      <c r="Y22" s="164">
        <f t="shared" si="78"/>
        <v>1552510.3355535718</v>
      </c>
      <c r="Z22" s="164">
        <f t="shared" si="78"/>
        <v>1676829.3505904321</v>
      </c>
      <c r="AA22" s="164">
        <f>AA23+AA24+AA25</f>
        <v>1701746.1</v>
      </c>
      <c r="AB22" s="164">
        <f>AB23+AB24+AB25</f>
        <v>1826202.7999999998</v>
      </c>
      <c r="AC22" s="164">
        <f>AC23+AC24+AC25</f>
        <v>1971836.4</v>
      </c>
      <c r="AD22" s="164">
        <f>AD23+AD24+AD25</f>
        <v>2172418.7000000002</v>
      </c>
      <c r="AE22" s="164">
        <f>AE23+AE24+AE25</f>
        <v>2254428</v>
      </c>
      <c r="AG22" s="150">
        <f t="shared" si="70"/>
        <v>3.7750227430835448E-2</v>
      </c>
      <c r="AH22" s="150">
        <f t="shared" si="71"/>
        <v>0.32477341948954663</v>
      </c>
    </row>
    <row r="23" spans="2:34" ht="13" customHeight="1">
      <c r="B23" s="59" t="str">
        <f>IF('Summary | Sumário'!D$6=Names!B$3,Names!AC31,Names!AD31)</f>
        <v>NII</v>
      </c>
      <c r="C23" s="159">
        <f>'6. NII'!C38</f>
        <v>591527</v>
      </c>
      <c r="D23" s="159">
        <f>'6. NII'!D38</f>
        <v>733280.89517999999</v>
      </c>
      <c r="E23" s="159">
        <f>'6. NII'!E38</f>
        <v>1614134.912</v>
      </c>
      <c r="F23" s="159">
        <f>'6. NII'!F38</f>
        <v>2435209.1850000001</v>
      </c>
      <c r="G23" s="159">
        <f>'6. NII'!G38</f>
        <v>3296796.9950000001</v>
      </c>
      <c r="H23" s="159">
        <f>'6. NII'!H38</f>
        <v>4456744.9342886657</v>
      </c>
      <c r="I23" s="159">
        <f>'6. NII'!I38</f>
        <v>6273819</v>
      </c>
      <c r="J23" s="164"/>
      <c r="K23" s="159">
        <f>'6. NII'!K38</f>
        <v>297457.33899999998</v>
      </c>
      <c r="L23" s="159">
        <f>'6. NII'!L38</f>
        <v>308984.34700000007</v>
      </c>
      <c r="M23" s="159">
        <f>'6. NII'!M38</f>
        <v>453160.88</v>
      </c>
      <c r="N23" s="159">
        <f>'6. NII'!N38</f>
        <v>554532.3459999999</v>
      </c>
      <c r="O23" s="159">
        <f>'6. NII'!O38</f>
        <v>560444.01500000001</v>
      </c>
      <c r="P23" s="159">
        <f>'6. NII'!P38</f>
        <v>586650.3110000001</v>
      </c>
      <c r="Q23" s="159">
        <f>'6. NII'!Q38</f>
        <v>586724.46700000006</v>
      </c>
      <c r="R23" s="159">
        <f>'6. NII'!R38</f>
        <v>701390.39199999999</v>
      </c>
      <c r="S23" s="159">
        <f>'6. NII'!S38</f>
        <v>726481.12400000007</v>
      </c>
      <c r="T23" s="159">
        <f>'6. NII'!T38</f>
        <v>828266</v>
      </c>
      <c r="U23" s="159">
        <f>'6. NII'!U38</f>
        <v>845216.10796000005</v>
      </c>
      <c r="V23" s="159">
        <f>'6. NII'!V38</f>
        <v>896833.76303999987</v>
      </c>
      <c r="W23" s="159">
        <f>'6. NII'!W38</f>
        <v>992420.72051999974</v>
      </c>
      <c r="X23" s="159">
        <f>'6. NII'!X38</f>
        <v>1041865.72580385</v>
      </c>
      <c r="Y23" s="159">
        <f>'6. NII'!Y38</f>
        <v>1164350.1315736331</v>
      </c>
      <c r="Z23" s="159">
        <f>'6. NII'!Z38</f>
        <v>1258108.3563911831</v>
      </c>
      <c r="AA23" s="159">
        <f>'6. NII'!AA38</f>
        <v>1362594.3</v>
      </c>
      <c r="AB23" s="159">
        <f>'6. NII'!AB38</f>
        <v>1469507</v>
      </c>
      <c r="AC23" s="159">
        <f>'6. NII'!AC38</f>
        <v>1622691</v>
      </c>
      <c r="AD23" s="159">
        <f>'6. NII'!AD38</f>
        <v>1819026.7</v>
      </c>
      <c r="AE23" s="159">
        <f>'6. NII'!AE38</f>
        <v>1881750</v>
      </c>
      <c r="AG23" s="151">
        <f t="shared" si="70"/>
        <v>3.4481791828564257E-2</v>
      </c>
      <c r="AH23" s="151">
        <f t="shared" si="71"/>
        <v>0.38100533665816738</v>
      </c>
    </row>
    <row r="24" spans="2:34" ht="13" customHeight="1">
      <c r="B24" s="64" t="str">
        <f>IF('Summary | Sumário'!D$6=Names!B$3,Names!BF10,Names!BG10)</f>
        <v>Net result from services and commissions</v>
      </c>
      <c r="C24" s="164">
        <f>'7. Fee Revenue | R. de Serv '!C19</f>
        <v>120696.66099999999</v>
      </c>
      <c r="D24" s="164">
        <f>'7. Fee Revenue | R. de Serv '!D19</f>
        <v>278098</v>
      </c>
      <c r="E24" s="164">
        <f>'7. Fee Revenue | R. de Serv '!E19</f>
        <v>607687</v>
      </c>
      <c r="F24" s="164">
        <f>'7. Fee Revenue | R. de Serv '!F19</f>
        <v>1127488</v>
      </c>
      <c r="G24" s="164">
        <f>'7. Fee Revenue | R. de Serv '!G19</f>
        <v>1455780.6</v>
      </c>
      <c r="H24" s="164">
        <f>'7. Fee Revenue | R. de Serv '!H19</f>
        <v>1943420.8032693998</v>
      </c>
      <c r="I24" s="164">
        <f>'7. Fee Revenue | R. de Serv '!I19</f>
        <v>2127119</v>
      </c>
      <c r="J24" s="164"/>
      <c r="K24" s="164">
        <f>'7. Fee Revenue | R. de Serv '!K19</f>
        <v>119309</v>
      </c>
      <c r="L24" s="164">
        <f>'7. Fee Revenue | R. de Serv '!L19</f>
        <v>158429</v>
      </c>
      <c r="M24" s="164">
        <f>'7. Fee Revenue | R. de Serv '!M19</f>
        <v>153349</v>
      </c>
      <c r="N24" s="164">
        <f>'7. Fee Revenue | R. de Serv '!N19</f>
        <v>176600</v>
      </c>
      <c r="O24" s="164">
        <f>'7. Fee Revenue | R. de Serv '!O19</f>
        <v>273077</v>
      </c>
      <c r="P24" s="164">
        <f>'7. Fee Revenue | R. de Serv '!P19</f>
        <v>290370</v>
      </c>
      <c r="Q24" s="164">
        <f>'7. Fee Revenue | R. de Serv '!Q19</f>
        <v>263579</v>
      </c>
      <c r="R24" s="164">
        <f>'7. Fee Revenue | R. de Serv '!R19</f>
        <v>300462</v>
      </c>
      <c r="S24" s="164">
        <f>'7. Fee Revenue | R. de Serv '!S19</f>
        <v>297633</v>
      </c>
      <c r="T24" s="164">
        <f>'7. Fee Revenue | R. de Serv '!T19</f>
        <v>321768</v>
      </c>
      <c r="U24" s="164">
        <f>'7. Fee Revenue | R. de Serv '!U19</f>
        <v>420279.50028000004</v>
      </c>
      <c r="V24" s="164">
        <f>'7. Fee Revenue | R. de Serv '!V19</f>
        <v>416100.09971999994</v>
      </c>
      <c r="W24" s="164">
        <f>'7. Fee Revenue | R. de Serv '!W19</f>
        <v>408518.39485153224</v>
      </c>
      <c r="X24" s="164">
        <f>'7. Fee Revenue | R. de Serv '!X19</f>
        <v>436732.08523867995</v>
      </c>
      <c r="Y24" s="164">
        <f>'7. Fee Revenue | R. de Serv '!Y19</f>
        <v>511793.11297993874</v>
      </c>
      <c r="Z24" s="164">
        <f>'7. Fee Revenue | R. de Serv '!Z19</f>
        <v>586377.21019924898</v>
      </c>
      <c r="AA24" s="164">
        <f>'7. Fee Revenue | R. de Serv '!AA19</f>
        <v>475206.80000000005</v>
      </c>
      <c r="AB24" s="164">
        <f>'7. Fee Revenue | R. de Serv '!AB19</f>
        <v>533575.4</v>
      </c>
      <c r="AC24" s="164">
        <f>'7. Fee Revenue | R. de Serv '!AC19</f>
        <v>539473</v>
      </c>
      <c r="AD24" s="164">
        <f>'7. Fee Revenue | R. de Serv '!AD19</f>
        <v>578863.79999999993</v>
      </c>
      <c r="AE24" s="164">
        <f>'7. Fee Revenue | R. de Serv '!AE19</f>
        <v>559237</v>
      </c>
      <c r="AG24" s="150">
        <f t="shared" si="70"/>
        <v>-3.3905730501717191E-2</v>
      </c>
      <c r="AH24" s="150">
        <f t="shared" si="71"/>
        <v>0.17682869857922889</v>
      </c>
    </row>
    <row r="25" spans="2:34" ht="13" customHeight="1">
      <c r="B25" s="68" t="str">
        <f>IF('Summary | Sumário'!D$6=Names!B$3,Names!M16,Names!N16)</f>
        <v>Tax expenses</v>
      </c>
      <c r="C25" s="159">
        <f>'3. IS | DRE'!C20</f>
        <v>0</v>
      </c>
      <c r="D25" s="159">
        <f>'3. IS | DRE'!D20</f>
        <v>0</v>
      </c>
      <c r="E25" s="159">
        <f>'3. IS | DRE'!E20</f>
        <v>-146721.22500000001</v>
      </c>
      <c r="F25" s="159">
        <f>'3. IS | DRE'!F20</f>
        <v>-248588</v>
      </c>
      <c r="G25" s="159">
        <f>'3. IS | DRE'!G20</f>
        <v>-326584</v>
      </c>
      <c r="H25" s="159">
        <f>'3. IS | DRE'!H20</f>
        <v>-477037.39600000001</v>
      </c>
      <c r="I25" s="159">
        <f>'3. IS | DRE'!I20</f>
        <v>-728734</v>
      </c>
      <c r="J25" s="164"/>
      <c r="K25" s="159">
        <f>'3. IS | DRE'!K20</f>
        <v>-27534.687000000002</v>
      </c>
      <c r="L25" s="159">
        <f>'3. IS | DRE'!L20</f>
        <v>-30373</v>
      </c>
      <c r="M25" s="159">
        <f>'3. IS | DRE'!M20</f>
        <v>-40645.811999999998</v>
      </c>
      <c r="N25" s="159">
        <f>'3. IS | DRE'!N20</f>
        <v>-48167.726000000002</v>
      </c>
      <c r="O25" s="159">
        <f>'3. IS | DRE'!O20</f>
        <v>-56693</v>
      </c>
      <c r="P25" s="159">
        <f>'3. IS | DRE'!P20</f>
        <v>-61600</v>
      </c>
      <c r="Q25" s="159">
        <f>'3. IS | DRE'!Q20</f>
        <v>-61544</v>
      </c>
      <c r="R25" s="159">
        <f>'3. IS | DRE'!R20</f>
        <v>-68751</v>
      </c>
      <c r="S25" s="159">
        <f>'3. IS | DRE'!S20</f>
        <v>-68871</v>
      </c>
      <c r="T25" s="159">
        <f>'3. IS | DRE'!T20</f>
        <v>-72463</v>
      </c>
      <c r="U25" s="159">
        <f>'3. IS | DRE'!U20</f>
        <v>-94072</v>
      </c>
      <c r="V25" s="159">
        <f>'3. IS | DRE'!V20</f>
        <v>-91178</v>
      </c>
      <c r="W25" s="159">
        <f>'3. IS | DRE'!W20</f>
        <v>-86331</v>
      </c>
      <c r="X25" s="159">
        <f>'3. IS | DRE'!X20</f>
        <v>-99417.270999999993</v>
      </c>
      <c r="Y25" s="159">
        <f>'3. IS | DRE'!Y20</f>
        <v>-123632.909</v>
      </c>
      <c r="Z25" s="159">
        <f>'3. IS | DRE'!Z20</f>
        <v>-167656.21600000001</v>
      </c>
      <c r="AA25" s="159">
        <f>'3. IS | DRE'!AA20</f>
        <v>-136055</v>
      </c>
      <c r="AB25" s="159">
        <f>'3. IS | DRE'!AB20</f>
        <v>-176879.6</v>
      </c>
      <c r="AC25" s="159">
        <f>'3. IS | DRE'!AC20</f>
        <v>-190327.6</v>
      </c>
      <c r="AD25" s="159">
        <f>'3. IS | DRE'!AD20</f>
        <v>-225471.80000000005</v>
      </c>
      <c r="AE25" s="159">
        <f>'3. IS | DRE'!AE20</f>
        <v>-186559</v>
      </c>
      <c r="AG25" s="336">
        <f t="shared" si="70"/>
        <v>-0.17258388853949824</v>
      </c>
      <c r="AH25" s="336">
        <f t="shared" si="71"/>
        <v>0.37120282238800484</v>
      </c>
    </row>
    <row r="26" spans="2:34" ht="13" customHeight="1">
      <c r="B26" s="275" t="str">
        <f>IF('Summary | Sumário'!D$6=Names!B$3,Names!BF53,Names!BG53)</f>
        <v>Efficiency ratio - including tax expenses from interest on own capital (%)</v>
      </c>
      <c r="C26" s="289">
        <f t="shared" ref="C26:H26" si="79">C18/C22</f>
        <v>0.80448043413149117</v>
      </c>
      <c r="D26" s="289">
        <f t="shared" si="79"/>
        <v>0.90379777979974207</v>
      </c>
      <c r="E26" s="289">
        <f t="shared" si="79"/>
        <v>0.82011360010696199</v>
      </c>
      <c r="F26" s="289">
        <f t="shared" si="79"/>
        <v>0.72178098742996</v>
      </c>
      <c r="G26" s="289">
        <f t="shared" si="79"/>
        <v>0.54508144854195151</v>
      </c>
      <c r="H26" s="289">
        <f t="shared" si="79"/>
        <v>0.49224759601157758</v>
      </c>
      <c r="I26" s="289">
        <f t="shared" ref="I26" si="80">I18/I22</f>
        <v>0.47335341969530531</v>
      </c>
      <c r="J26" s="321"/>
      <c r="K26" s="289">
        <f t="shared" ref="K26:Z26" si="81">K18/K22</f>
        <v>0.8224467649408943</v>
      </c>
      <c r="L26" s="289">
        <f t="shared" si="81"/>
        <v>0.8949860183046211</v>
      </c>
      <c r="M26" s="289">
        <f t="shared" si="81"/>
        <v>0.68477256272790943</v>
      </c>
      <c r="N26" s="289">
        <f t="shared" si="81"/>
        <v>0.88300737159708231</v>
      </c>
      <c r="O26" s="289">
        <f t="shared" si="81"/>
        <v>0.71882577509772227</v>
      </c>
      <c r="P26" s="289">
        <f t="shared" si="81"/>
        <v>0.68258662740128873</v>
      </c>
      <c r="Q26" s="289">
        <f t="shared" si="81"/>
        <v>0.75028956831525417</v>
      </c>
      <c r="R26" s="289">
        <f t="shared" si="81"/>
        <v>0.73439393175827561</v>
      </c>
      <c r="S26" s="289">
        <f t="shared" si="81"/>
        <v>0.62351037661067732</v>
      </c>
      <c r="T26" s="289">
        <f t="shared" si="81"/>
        <v>0.53383674950420901</v>
      </c>
      <c r="U26" s="289">
        <f t="shared" si="81"/>
        <v>0.52425868462963221</v>
      </c>
      <c r="V26" s="289">
        <f t="shared" si="81"/>
        <v>0.51364353479126668</v>
      </c>
      <c r="W26" s="289">
        <f t="shared" si="81"/>
        <v>0.47740995408553893</v>
      </c>
      <c r="X26" s="289">
        <f t="shared" si="81"/>
        <v>0.47859484625533166</v>
      </c>
      <c r="Y26" s="289">
        <f t="shared" si="81"/>
        <v>0.50700442145484115</v>
      </c>
      <c r="Z26" s="289">
        <f t="shared" si="81"/>
        <v>0.50144660439294553</v>
      </c>
      <c r="AA26" s="289">
        <f t="shared" ref="AA26:AB26" si="82">AA18/AA22</f>
        <v>0.48803860928489862</v>
      </c>
      <c r="AB26" s="289">
        <f t="shared" si="82"/>
        <v>0.47827415443673621</v>
      </c>
      <c r="AC26" s="289">
        <f t="shared" ref="AC26" si="83">AC18/AC22</f>
        <v>0.46307847851880612</v>
      </c>
      <c r="AD26" s="289">
        <f>AD18/AD22</f>
        <v>0.46703961809940231</v>
      </c>
      <c r="AE26" s="289">
        <f>AE18/AE22</f>
        <v>0.44181583976068428</v>
      </c>
      <c r="AG26" s="682">
        <f>(AE26-AD26)*100</f>
        <v>-2.5223778338718028</v>
      </c>
      <c r="AH26" s="682">
        <f>(AE26-AA26)*100</f>
        <v>-4.6222769524214335</v>
      </c>
    </row>
  </sheetData>
  <sheetProtection algorithmName="SHA-512" hashValue="Ak+u4Yr+y2NyBwZA+aAPe4apSXiQrJw+wd1z3lY+noNVVFHdP3iuNkEZID/KWUeOygojF/6OYzEag9mVPVrtHA==" saltValue="apjByp2dZ6U5r0LRRbGEo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2580-4A49-9F41-9F25-BAA2BA64A1E3}">
  <sheetPr codeName="Sheet17">
    <tabColor rgb="FFF7CAB0"/>
  </sheetPr>
  <dimension ref="A1:AM31"/>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6" width="10.83203125" style="121" customWidth="1"/>
    <col min="7" max="9" width="10.83203125" style="121"/>
    <col min="10" max="10" width="3.83203125" style="120" customWidth="1"/>
    <col min="11" max="19" width="10.83203125" style="121" customWidth="1"/>
    <col min="20" max="26" width="10.83203125" style="121"/>
    <col min="27" max="31" width="10.83203125" style="120"/>
    <col min="32" max="32" width="5.83203125" style="120" customWidth="1"/>
    <col min="33" max="16384" width="10.83203125" style="120"/>
  </cols>
  <sheetData>
    <row r="1" spans="2:38" ht="13" customHeight="1">
      <c r="J1" s="121"/>
      <c r="AA1" s="121"/>
      <c r="AB1" s="121"/>
      <c r="AC1" s="121"/>
      <c r="AD1" s="121"/>
      <c r="AE1" s="121"/>
      <c r="AF1" s="121"/>
      <c r="AG1" s="121"/>
      <c r="AH1" s="121"/>
      <c r="AI1" s="121"/>
    </row>
    <row r="2" spans="2:38" s="9" customFormat="1" ht="13" customHeight="1">
      <c r="B2" s="255" t="str">
        <f>IF('Summary | Sumário'!D$6=Names!B$3,Names!AP1,Names!AQ1)</f>
        <v>Monthly Cost-to-serve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46"/>
      <c r="C3" s="149"/>
      <c r="D3" s="149"/>
      <c r="E3" s="149"/>
      <c r="F3" s="149"/>
      <c r="G3" s="149"/>
      <c r="H3" s="149"/>
      <c r="I3" s="149"/>
      <c r="J3" s="131"/>
      <c r="K3" s="149"/>
      <c r="L3" s="149"/>
      <c r="M3" s="149"/>
      <c r="N3" s="149"/>
      <c r="O3" s="149"/>
      <c r="P3" s="149"/>
      <c r="Q3" s="149"/>
      <c r="R3" s="149"/>
      <c r="S3" s="149"/>
      <c r="T3" s="149"/>
      <c r="U3" s="149"/>
      <c r="V3" s="149"/>
      <c r="W3" s="149"/>
      <c r="X3" s="149"/>
      <c r="Y3" s="149"/>
      <c r="Z3" s="149"/>
      <c r="AA3" s="131"/>
      <c r="AB3" s="131"/>
      <c r="AC3" s="131"/>
      <c r="AD3" s="131"/>
      <c r="AE3" s="131"/>
      <c r="AF3" s="131"/>
      <c r="AG3" s="131"/>
      <c r="AH3" s="131"/>
      <c r="AI3" s="131"/>
    </row>
    <row r="4" spans="2:38" ht="13" customHeight="1">
      <c r="B4" s="3" t="str">
        <f>IF('Summary | Sumário'!D$6=Names!B$3,Names!AP3,Names!AQ3)</f>
        <v>Cost-to-serve</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row>
    <row r="5" spans="2:38" ht="13" customHeight="1">
      <c r="B5" s="276" t="str">
        <f>IF('Summary | Sumário'!D$6=Names!B$3,Names!AP4,Names!AQ4)</f>
        <v>Monthly average of cost-to-serve</v>
      </c>
      <c r="C5" s="277">
        <f>C6/12</f>
        <v>47747.5</v>
      </c>
      <c r="D5" s="277">
        <f t="shared" ref="D5:I5" si="0">D6/12</f>
        <v>76173.5</v>
      </c>
      <c r="E5" s="277">
        <f t="shared" si="0"/>
        <v>141818.19125</v>
      </c>
      <c r="F5" s="277">
        <f t="shared" si="0"/>
        <v>199338.41666666666</v>
      </c>
      <c r="G5" s="277">
        <f t="shared" si="0"/>
        <v>201043.91666666666</v>
      </c>
      <c r="H5" s="277">
        <f t="shared" si="0"/>
        <v>242970.47391666667</v>
      </c>
      <c r="I5" s="277">
        <f t="shared" si="0"/>
        <v>302638.66666666669</v>
      </c>
      <c r="J5" s="164"/>
      <c r="K5" s="277">
        <f>K6/3</f>
        <v>106707.43766666665</v>
      </c>
      <c r="L5" s="277">
        <f t="shared" ref="L5:AE5" si="1">L6/3</f>
        <v>130381.66666666667</v>
      </c>
      <c r="M5" s="277">
        <f t="shared" si="1"/>
        <v>129162.72933333332</v>
      </c>
      <c r="N5" s="277">
        <f t="shared" si="1"/>
        <v>201020.93133333334</v>
      </c>
      <c r="O5" s="277">
        <f t="shared" si="1"/>
        <v>186134.66666666666</v>
      </c>
      <c r="P5" s="277">
        <f t="shared" si="1"/>
        <v>185531.66666666666</v>
      </c>
      <c r="Q5" s="277">
        <f t="shared" si="1"/>
        <v>197266</v>
      </c>
      <c r="R5" s="277">
        <f t="shared" si="1"/>
        <v>228421.33333333334</v>
      </c>
      <c r="S5" s="277">
        <f t="shared" si="1"/>
        <v>198534.66666666666</v>
      </c>
      <c r="T5" s="277">
        <f t="shared" si="1"/>
        <v>191749</v>
      </c>
      <c r="U5" s="277">
        <f t="shared" si="1"/>
        <v>204709.66666666666</v>
      </c>
      <c r="V5" s="277">
        <f t="shared" si="1"/>
        <v>209182.33333333334</v>
      </c>
      <c r="W5" s="277">
        <f t="shared" si="1"/>
        <v>209202.33333333334</v>
      </c>
      <c r="X5" s="277">
        <f t="shared" si="1"/>
        <v>220022.89950666667</v>
      </c>
      <c r="Y5" s="277">
        <f t="shared" si="1"/>
        <v>262376.53482666664</v>
      </c>
      <c r="Z5" s="277">
        <f t="shared" si="1"/>
        <v>280280.12800000003</v>
      </c>
      <c r="AA5" s="277">
        <f t="shared" si="1"/>
        <v>276839.26666666666</v>
      </c>
      <c r="AB5" s="277">
        <f t="shared" si="1"/>
        <v>291141.86666666664</v>
      </c>
      <c r="AC5" s="277">
        <f t="shared" si="1"/>
        <v>304371.66666666669</v>
      </c>
      <c r="AD5" s="277">
        <f t="shared" si="1"/>
        <v>338201.8666666667</v>
      </c>
      <c r="AE5" s="277">
        <f t="shared" si="1"/>
        <v>332014</v>
      </c>
      <c r="AF5" s="164"/>
      <c r="AG5" s="344">
        <f t="shared" ref="AG5:AG13" si="2">AE5/AD5-1</f>
        <v>-1.8296370530578643E-2</v>
      </c>
      <c r="AH5" s="344">
        <f t="shared" ref="AH5:AH13" si="3">AE5/AA5-1</f>
        <v>0.19930241109823288</v>
      </c>
    </row>
    <row r="6" spans="2:38" ht="13" customHeight="1">
      <c r="B6" s="53" t="str">
        <f>IF('Summary | Sumário'!D$6=Names!B$3,Names!AP5,Names!AQ5)</f>
        <v>Total cost-to-serve</v>
      </c>
      <c r="C6" s="164">
        <f t="shared" ref="C6:H6" si="4">SUM(C7:C9)</f>
        <v>572970</v>
      </c>
      <c r="D6" s="164">
        <f t="shared" si="4"/>
        <v>914082</v>
      </c>
      <c r="E6" s="164">
        <f t="shared" si="4"/>
        <v>1701818.2949999999</v>
      </c>
      <c r="F6" s="164">
        <f t="shared" si="4"/>
        <v>2392061</v>
      </c>
      <c r="G6" s="164">
        <f t="shared" si="4"/>
        <v>2412527</v>
      </c>
      <c r="H6" s="164">
        <f t="shared" si="4"/>
        <v>2915645.6869999999</v>
      </c>
      <c r="I6" s="164">
        <f t="shared" ref="I6" si="5">SUM(I7:I9)</f>
        <v>3631664</v>
      </c>
      <c r="J6" s="164"/>
      <c r="K6" s="164">
        <f t="shared" ref="K6:AA6" si="6">SUM(K7:K9)</f>
        <v>320122.31299999997</v>
      </c>
      <c r="L6" s="164">
        <f t="shared" si="6"/>
        <v>391145</v>
      </c>
      <c r="M6" s="164">
        <f t="shared" si="6"/>
        <v>387488.18799999997</v>
      </c>
      <c r="N6" s="164">
        <f t="shared" si="6"/>
        <v>603062.79399999999</v>
      </c>
      <c r="O6" s="164">
        <f t="shared" si="6"/>
        <v>558404</v>
      </c>
      <c r="P6" s="164">
        <f t="shared" si="6"/>
        <v>556595</v>
      </c>
      <c r="Q6" s="164">
        <f t="shared" si="6"/>
        <v>591798</v>
      </c>
      <c r="R6" s="164">
        <f t="shared" si="6"/>
        <v>685264</v>
      </c>
      <c r="S6" s="164">
        <f t="shared" si="6"/>
        <v>595604</v>
      </c>
      <c r="T6" s="164">
        <f t="shared" si="6"/>
        <v>575247</v>
      </c>
      <c r="U6" s="164">
        <f t="shared" si="6"/>
        <v>614129</v>
      </c>
      <c r="V6" s="164">
        <f t="shared" si="6"/>
        <v>627547</v>
      </c>
      <c r="W6" s="164">
        <f t="shared" si="6"/>
        <v>627607</v>
      </c>
      <c r="X6" s="164">
        <f t="shared" si="6"/>
        <v>660068.69851999998</v>
      </c>
      <c r="Y6" s="164">
        <f t="shared" si="6"/>
        <v>787129.60447999998</v>
      </c>
      <c r="Z6" s="164">
        <f t="shared" si="6"/>
        <v>840840.38400000008</v>
      </c>
      <c r="AA6" s="164">
        <f t="shared" si="6"/>
        <v>830517.8</v>
      </c>
      <c r="AB6" s="164">
        <f t="shared" ref="AB6:AC6" si="7">SUM(AB7:AB9)</f>
        <v>873425.6</v>
      </c>
      <c r="AC6" s="164">
        <f t="shared" si="7"/>
        <v>913115</v>
      </c>
      <c r="AD6" s="164">
        <f t="shared" ref="AD6:AE6" si="8">SUM(AD7:AD9)</f>
        <v>1014605.6000000001</v>
      </c>
      <c r="AE6" s="164">
        <f t="shared" si="8"/>
        <v>996042</v>
      </c>
      <c r="AF6" s="164"/>
      <c r="AG6" s="345">
        <f t="shared" si="2"/>
        <v>-1.8296370530578643E-2</v>
      </c>
      <c r="AH6" s="345">
        <f t="shared" si="3"/>
        <v>0.19930241109823288</v>
      </c>
    </row>
    <row r="7" spans="2:38" ht="13" customHeight="1">
      <c r="B7" s="67" t="str">
        <f>IF('Summary | Sumário'!D$6=Names!B$3,Names!AP6,Names!AQ6)</f>
        <v>Personnel expenses</v>
      </c>
      <c r="C7" s="159">
        <v>169198</v>
      </c>
      <c r="D7" s="159">
        <v>229096</v>
      </c>
      <c r="E7" s="159">
        <v>443328</v>
      </c>
      <c r="F7" s="159">
        <v>733605</v>
      </c>
      <c r="G7" s="159">
        <v>790739</v>
      </c>
      <c r="H7" s="159">
        <v>937761.13</v>
      </c>
      <c r="I7" s="159">
        <v>1090333</v>
      </c>
      <c r="J7" s="164"/>
      <c r="K7" s="159">
        <v>81861</v>
      </c>
      <c r="L7" s="159">
        <v>93046</v>
      </c>
      <c r="M7" s="159">
        <v>121250</v>
      </c>
      <c r="N7" s="159">
        <v>147171</v>
      </c>
      <c r="O7" s="159">
        <v>145120</v>
      </c>
      <c r="P7" s="159">
        <v>172466</v>
      </c>
      <c r="Q7" s="159">
        <v>176232</v>
      </c>
      <c r="R7" s="159">
        <v>239787</v>
      </c>
      <c r="S7" s="159">
        <v>172412</v>
      </c>
      <c r="T7" s="159">
        <v>186249</v>
      </c>
      <c r="U7" s="159">
        <v>210661</v>
      </c>
      <c r="V7" s="159">
        <v>221417</v>
      </c>
      <c r="W7" s="159">
        <v>190463</v>
      </c>
      <c r="X7" s="159">
        <v>204206.56551999997</v>
      </c>
      <c r="Y7" s="159">
        <v>258954.60447999998</v>
      </c>
      <c r="Z7" s="159">
        <v>284136.96000000008</v>
      </c>
      <c r="AA7" s="159">
        <v>234873.2</v>
      </c>
      <c r="AB7" s="159">
        <v>256765</v>
      </c>
      <c r="AC7" s="159">
        <v>285248</v>
      </c>
      <c r="AD7" s="159">
        <v>313446.80000000005</v>
      </c>
      <c r="AE7" s="159">
        <v>284777</v>
      </c>
      <c r="AF7" s="164"/>
      <c r="AG7" s="346">
        <f t="shared" si="2"/>
        <v>-9.1466239246979164E-2</v>
      </c>
      <c r="AH7" s="346">
        <f t="shared" si="3"/>
        <v>0.21247123980087967</v>
      </c>
    </row>
    <row r="8" spans="2:38" ht="13" customHeight="1">
      <c r="B8" s="62" t="str">
        <f>IF('Summary | Sumário'!D$6=Names!B$3,Names!AP7,Names!AQ7)</f>
        <v>Administrative expenses</v>
      </c>
      <c r="C8" s="164">
        <v>386309</v>
      </c>
      <c r="D8" s="164">
        <v>641327</v>
      </c>
      <c r="E8" s="164">
        <v>1164239.7749999999</v>
      </c>
      <c r="F8" s="164">
        <v>1494484</v>
      </c>
      <c r="G8" s="164">
        <v>1461348</v>
      </c>
      <c r="H8" s="164">
        <v>1769055.128</v>
      </c>
      <c r="I8" s="164">
        <v>2200604</v>
      </c>
      <c r="J8" s="164"/>
      <c r="K8" s="164">
        <v>219095.31299999999</v>
      </c>
      <c r="L8" s="164">
        <v>272761</v>
      </c>
      <c r="M8" s="164">
        <v>235355.18799999999</v>
      </c>
      <c r="N8" s="164">
        <v>437028.27399999998</v>
      </c>
      <c r="O8" s="164">
        <v>376806</v>
      </c>
      <c r="P8" s="164">
        <v>348618</v>
      </c>
      <c r="Q8" s="164">
        <v>379946</v>
      </c>
      <c r="R8" s="164">
        <v>389114</v>
      </c>
      <c r="S8" s="164">
        <v>385615</v>
      </c>
      <c r="T8" s="164">
        <v>347868</v>
      </c>
      <c r="U8" s="164">
        <v>362877</v>
      </c>
      <c r="V8" s="164">
        <v>364988</v>
      </c>
      <c r="W8" s="164">
        <v>395244</v>
      </c>
      <c r="X8" s="164">
        <v>402827.25400000002</v>
      </c>
      <c r="Y8" s="164">
        <v>474826</v>
      </c>
      <c r="Z8" s="164">
        <v>496157.87400000007</v>
      </c>
      <c r="AA8" s="164">
        <v>528199.6</v>
      </c>
      <c r="AB8" s="164">
        <v>540029.6</v>
      </c>
      <c r="AC8" s="164">
        <v>543343</v>
      </c>
      <c r="AD8" s="164">
        <v>589031.80000000005</v>
      </c>
      <c r="AE8" s="164">
        <v>617898</v>
      </c>
      <c r="AF8" s="164"/>
      <c r="AG8" s="345">
        <f t="shared" si="2"/>
        <v>4.9006182688269062E-2</v>
      </c>
      <c r="AH8" s="345">
        <f t="shared" si="3"/>
        <v>0.16981913655368164</v>
      </c>
    </row>
    <row r="9" spans="2:38" ht="13" customHeight="1">
      <c r="B9" s="67" t="str">
        <f>IF('Summary | Sumário'!D$6=Names!B$3,Names!AP8,Names!AQ8)</f>
        <v>Depreciation and amortization</v>
      </c>
      <c r="C9" s="159">
        <v>17463</v>
      </c>
      <c r="D9" s="159">
        <v>43659</v>
      </c>
      <c r="E9" s="159">
        <v>94250.52</v>
      </c>
      <c r="F9" s="159">
        <v>163972</v>
      </c>
      <c r="G9" s="159">
        <v>160440</v>
      </c>
      <c r="H9" s="159">
        <v>208829.429</v>
      </c>
      <c r="I9" s="159">
        <v>340727</v>
      </c>
      <c r="J9" s="164"/>
      <c r="K9" s="159">
        <v>19166</v>
      </c>
      <c r="L9" s="159">
        <v>25338</v>
      </c>
      <c r="M9" s="159">
        <v>30883</v>
      </c>
      <c r="N9" s="159">
        <v>18863.520000000004</v>
      </c>
      <c r="O9" s="159">
        <v>36478</v>
      </c>
      <c r="P9" s="159">
        <v>35511</v>
      </c>
      <c r="Q9" s="159">
        <v>35620</v>
      </c>
      <c r="R9" s="159">
        <v>56363</v>
      </c>
      <c r="S9" s="159">
        <v>37577</v>
      </c>
      <c r="T9" s="159">
        <v>41130</v>
      </c>
      <c r="U9" s="159">
        <v>40591</v>
      </c>
      <c r="V9" s="159">
        <v>41142</v>
      </c>
      <c r="W9" s="159">
        <v>41900</v>
      </c>
      <c r="X9" s="159">
        <v>53034.879000000001</v>
      </c>
      <c r="Y9" s="159">
        <v>53349</v>
      </c>
      <c r="Z9" s="159">
        <v>60545.549999999988</v>
      </c>
      <c r="AA9" s="159">
        <v>67445</v>
      </c>
      <c r="AB9" s="159">
        <v>76631</v>
      </c>
      <c r="AC9" s="159">
        <v>84524</v>
      </c>
      <c r="AD9" s="159">
        <v>112127</v>
      </c>
      <c r="AE9" s="159">
        <v>93367</v>
      </c>
      <c r="AF9" s="164"/>
      <c r="AG9" s="346">
        <f t="shared" si="2"/>
        <v>-0.16731028209084342</v>
      </c>
      <c r="AH9" s="346">
        <f t="shared" si="3"/>
        <v>0.38434279783527314</v>
      </c>
    </row>
    <row r="10" spans="2:38" ht="13" customHeight="1">
      <c r="B10" s="50" t="str">
        <f>IF('Summary | Sumário'!D$6=Names!B$3,Names!AP10,Names!AQ10)</f>
        <v>(÷) Average active clients</v>
      </c>
      <c r="C10" s="164">
        <f>C11</f>
        <v>2282.6979999999999</v>
      </c>
      <c r="D10" s="164">
        <f>AVERAGE(C11:D11)</f>
        <v>3767.4889999999996</v>
      </c>
      <c r="E10" s="164">
        <f t="shared" ref="E10:I10" si="9">AVERAGE(D11:E11)</f>
        <v>7039.3045000000002</v>
      </c>
      <c r="F10" s="164">
        <f t="shared" si="9"/>
        <v>10705.3665</v>
      </c>
      <c r="G10" s="164">
        <f t="shared" si="9"/>
        <v>14494.899000000001</v>
      </c>
      <c r="H10" s="164">
        <f t="shared" si="9"/>
        <v>18483.565000000002</v>
      </c>
      <c r="I10" s="164">
        <f t="shared" si="9"/>
        <v>22773.1165</v>
      </c>
      <c r="J10" s="164"/>
      <c r="K10" s="164">
        <f>AVERAGE(K11,D11)</f>
        <v>5692.4650000000001</v>
      </c>
      <c r="L10" s="164">
        <f>AVERAGE(K11:L11)</f>
        <v>6597.8119999999999</v>
      </c>
      <c r="M10" s="164">
        <f t="shared" ref="M10:AE10" si="10">AVERAGE(L11:M11)</f>
        <v>7514.7129999999997</v>
      </c>
      <c r="N10" s="164">
        <f t="shared" si="10"/>
        <v>8396.3904999999995</v>
      </c>
      <c r="O10" s="164">
        <f t="shared" si="10"/>
        <v>9358.8734999999997</v>
      </c>
      <c r="P10" s="164">
        <f t="shared" si="10"/>
        <v>10303.8135</v>
      </c>
      <c r="Q10" s="164">
        <f t="shared" si="10"/>
        <v>11182.7415</v>
      </c>
      <c r="R10" s="164">
        <f t="shared" si="10"/>
        <v>12116.839</v>
      </c>
      <c r="S10" s="164">
        <f t="shared" si="10"/>
        <v>13062.486000000001</v>
      </c>
      <c r="T10" s="164">
        <f t="shared" si="10"/>
        <v>14017.737499999999</v>
      </c>
      <c r="U10" s="164">
        <f t="shared" si="10"/>
        <v>14984.0635</v>
      </c>
      <c r="V10" s="164">
        <f t="shared" si="10"/>
        <v>15939.307000000001</v>
      </c>
      <c r="W10" s="164">
        <f t="shared" si="10"/>
        <v>16909.548000000003</v>
      </c>
      <c r="X10" s="164">
        <f t="shared" si="10"/>
        <v>17907.845500000003</v>
      </c>
      <c r="Y10" s="164">
        <f t="shared" si="10"/>
        <v>18970.246500000001</v>
      </c>
      <c r="Z10" s="164">
        <f t="shared" si="10"/>
        <v>20050.120000000003</v>
      </c>
      <c r="AA10" s="164">
        <f t="shared" si="10"/>
        <v>21070.289000000001</v>
      </c>
      <c r="AB10" s="164">
        <f t="shared" si="10"/>
        <v>22144.881999999998</v>
      </c>
      <c r="AC10" s="164">
        <f t="shared" si="10"/>
        <v>23318.665999999997</v>
      </c>
      <c r="AD10" s="164">
        <f t="shared" si="10"/>
        <v>24455.4535</v>
      </c>
      <c r="AE10" s="164">
        <f t="shared" si="10"/>
        <v>25396.883000000002</v>
      </c>
      <c r="AF10" s="164"/>
      <c r="AG10" s="345">
        <f t="shared" si="2"/>
        <v>3.8495687679641843E-2</v>
      </c>
      <c r="AH10" s="345">
        <f t="shared" si="3"/>
        <v>0.205340989864923</v>
      </c>
    </row>
    <row r="11" spans="2:38" ht="13" customHeight="1">
      <c r="B11" s="59" t="str">
        <f>IF('Summary | Sumário'!D$6=Names!B$3,Names!AP11,Names!AQ11)</f>
        <v>Active clients</v>
      </c>
      <c r="C11" s="159">
        <v>2282.6979999999999</v>
      </c>
      <c r="D11" s="159">
        <v>5252.28</v>
      </c>
      <c r="E11" s="159">
        <v>8826.3289999999997</v>
      </c>
      <c r="F11" s="159">
        <v>12584.404</v>
      </c>
      <c r="G11" s="159">
        <f>V11</f>
        <v>16405.394</v>
      </c>
      <c r="H11" s="159">
        <f>Z11</f>
        <v>20561.736000000001</v>
      </c>
      <c r="I11" s="159">
        <f>AD11</f>
        <v>24984.496999999999</v>
      </c>
      <c r="J11" s="164"/>
      <c r="K11" s="159">
        <v>6132.65</v>
      </c>
      <c r="L11" s="159">
        <v>7062.9740000000002</v>
      </c>
      <c r="M11" s="159">
        <v>7966.4520000000002</v>
      </c>
      <c r="N11" s="159">
        <v>8826.3289999999997</v>
      </c>
      <c r="O11" s="159">
        <v>9891.4179999999997</v>
      </c>
      <c r="P11" s="159">
        <v>10716.209000000001</v>
      </c>
      <c r="Q11" s="159">
        <v>11649.273999999999</v>
      </c>
      <c r="R11" s="159">
        <v>12584.404</v>
      </c>
      <c r="S11" s="159">
        <v>13540.567999999999</v>
      </c>
      <c r="T11" s="159">
        <v>14494.906999999999</v>
      </c>
      <c r="U11" s="159">
        <v>15473.22</v>
      </c>
      <c r="V11" s="159">
        <v>16405.394</v>
      </c>
      <c r="W11" s="159">
        <v>17413.702000000001</v>
      </c>
      <c r="X11" s="159">
        <v>18401.989000000001</v>
      </c>
      <c r="Y11" s="159">
        <v>19538.504000000001</v>
      </c>
      <c r="Z11" s="159">
        <v>20561.736000000001</v>
      </c>
      <c r="AA11" s="159">
        <v>21578.842000000001</v>
      </c>
      <c r="AB11" s="159">
        <v>22710.921999999999</v>
      </c>
      <c r="AC11" s="159">
        <v>23926.41</v>
      </c>
      <c r="AD11" s="159">
        <v>24984.496999999999</v>
      </c>
      <c r="AE11" s="159">
        <v>25809.269</v>
      </c>
      <c r="AF11" s="164"/>
      <c r="AG11" s="346">
        <f t="shared" si="2"/>
        <v>3.3011350998981559E-2</v>
      </c>
      <c r="AH11" s="346">
        <f t="shared" si="3"/>
        <v>0.19604513532283141</v>
      </c>
    </row>
    <row r="12" spans="2:38" ht="13" customHeight="1">
      <c r="B12" s="54" t="str">
        <f>IF('Summary | Sumário'!D$6=Names!B$3,Names!AP12,Names!AQ12)</f>
        <v>Active clients in the previous period</v>
      </c>
      <c r="C12" s="164">
        <f>C11</f>
        <v>2282.6979999999999</v>
      </c>
      <c r="D12" s="164">
        <f>C12</f>
        <v>2282.6979999999999</v>
      </c>
      <c r="E12" s="164">
        <f>D11</f>
        <v>5252.28</v>
      </c>
      <c r="F12" s="164">
        <f t="shared" ref="F12:AE12" si="11">E11</f>
        <v>8826.3289999999997</v>
      </c>
      <c r="G12" s="164">
        <f t="shared" si="11"/>
        <v>12584.404</v>
      </c>
      <c r="H12" s="164">
        <f t="shared" si="11"/>
        <v>16405.394</v>
      </c>
      <c r="I12" s="164">
        <f t="shared" si="11"/>
        <v>20561.736000000001</v>
      </c>
      <c r="J12" s="164"/>
      <c r="K12" s="164">
        <f>D11</f>
        <v>5252.28</v>
      </c>
      <c r="L12" s="164">
        <f t="shared" si="11"/>
        <v>6132.65</v>
      </c>
      <c r="M12" s="164">
        <f t="shared" si="11"/>
        <v>7062.9740000000002</v>
      </c>
      <c r="N12" s="164">
        <f t="shared" si="11"/>
        <v>7966.4520000000002</v>
      </c>
      <c r="O12" s="164">
        <f t="shared" si="11"/>
        <v>8826.3289999999997</v>
      </c>
      <c r="P12" s="164">
        <f t="shared" si="11"/>
        <v>9891.4179999999997</v>
      </c>
      <c r="Q12" s="164">
        <f t="shared" si="11"/>
        <v>10716.209000000001</v>
      </c>
      <c r="R12" s="164">
        <f t="shared" si="11"/>
        <v>11649.273999999999</v>
      </c>
      <c r="S12" s="164">
        <f t="shared" si="11"/>
        <v>12584.404</v>
      </c>
      <c r="T12" s="164">
        <f t="shared" si="11"/>
        <v>13540.567999999999</v>
      </c>
      <c r="U12" s="164">
        <f t="shared" si="11"/>
        <v>14494.906999999999</v>
      </c>
      <c r="V12" s="164">
        <f t="shared" si="11"/>
        <v>15473.22</v>
      </c>
      <c r="W12" s="164">
        <f t="shared" si="11"/>
        <v>16405.394</v>
      </c>
      <c r="X12" s="164">
        <f t="shared" si="11"/>
        <v>17413.702000000001</v>
      </c>
      <c r="Y12" s="164">
        <f t="shared" si="11"/>
        <v>18401.989000000001</v>
      </c>
      <c r="Z12" s="164">
        <f t="shared" si="11"/>
        <v>19538.504000000001</v>
      </c>
      <c r="AA12" s="164">
        <f t="shared" si="11"/>
        <v>20561.736000000001</v>
      </c>
      <c r="AB12" s="164">
        <f t="shared" si="11"/>
        <v>21578.842000000001</v>
      </c>
      <c r="AC12" s="164">
        <f t="shared" si="11"/>
        <v>22710.921999999999</v>
      </c>
      <c r="AD12" s="164">
        <f t="shared" si="11"/>
        <v>23926.41</v>
      </c>
      <c r="AE12" s="164">
        <f t="shared" si="11"/>
        <v>24984.496999999999</v>
      </c>
      <c r="AF12" s="164"/>
      <c r="AG12" s="345">
        <f t="shared" si="2"/>
        <v>4.4222555744886094E-2</v>
      </c>
      <c r="AH12" s="345">
        <f t="shared" si="3"/>
        <v>0.21509667277120958</v>
      </c>
    </row>
    <row r="13" spans="2:38" ht="13" customHeight="1">
      <c r="B13" s="274" t="str">
        <f>IF('Summary | Sumário'!D$6=Names!B$3,Names!AP13,Names!AQ13)</f>
        <v>Cost-to-serve (R$)</v>
      </c>
      <c r="C13" s="548">
        <f t="shared" ref="C13:H13" si="12">C5/C10</f>
        <v>20.917134022985081</v>
      </c>
      <c r="D13" s="548">
        <f t="shared" si="12"/>
        <v>20.21863899270841</v>
      </c>
      <c r="E13" s="548">
        <f t="shared" si="12"/>
        <v>20.146619776144078</v>
      </c>
      <c r="F13" s="548">
        <f t="shared" si="12"/>
        <v>18.620419643425254</v>
      </c>
      <c r="G13" s="548">
        <f t="shared" si="12"/>
        <v>13.869977063425322</v>
      </c>
      <c r="H13" s="548">
        <f t="shared" si="12"/>
        <v>13.145217057243375</v>
      </c>
      <c r="I13" s="548">
        <f t="shared" ref="I13" si="13">I5/I10</f>
        <v>13.289295150563458</v>
      </c>
      <c r="J13" s="322"/>
      <c r="K13" s="548">
        <f t="shared" ref="K13:AA13" si="14">K5/K10</f>
        <v>18.745383180514356</v>
      </c>
      <c r="L13" s="548">
        <f t="shared" si="14"/>
        <v>19.761349166461045</v>
      </c>
      <c r="M13" s="548">
        <f t="shared" si="14"/>
        <v>17.187979013081847</v>
      </c>
      <c r="N13" s="548">
        <f t="shared" si="14"/>
        <v>23.941350909457267</v>
      </c>
      <c r="O13" s="548">
        <f t="shared" si="14"/>
        <v>19.888575977297553</v>
      </c>
      <c r="P13" s="548">
        <f t="shared" si="14"/>
        <v>18.006116537985346</v>
      </c>
      <c r="Q13" s="548">
        <f t="shared" si="14"/>
        <v>17.640218187999785</v>
      </c>
      <c r="R13" s="548">
        <f t="shared" si="14"/>
        <v>18.851561313419559</v>
      </c>
      <c r="S13" s="548">
        <f t="shared" si="14"/>
        <v>15.198842445968298</v>
      </c>
      <c r="T13" s="548">
        <f t="shared" si="14"/>
        <v>13.67902630506528</v>
      </c>
      <c r="U13" s="548">
        <f t="shared" si="14"/>
        <v>13.661825890331194</v>
      </c>
      <c r="V13" s="548">
        <f t="shared" si="14"/>
        <v>13.123678045308578</v>
      </c>
      <c r="W13" s="548">
        <f t="shared" si="14"/>
        <v>12.371846564635158</v>
      </c>
      <c r="X13" s="548">
        <f t="shared" si="14"/>
        <v>12.286397015579938</v>
      </c>
      <c r="Y13" s="548">
        <f t="shared" si="14"/>
        <v>13.830950210724284</v>
      </c>
      <c r="Z13" s="548">
        <f t="shared" si="14"/>
        <v>13.978975088428397</v>
      </c>
      <c r="AA13" s="548">
        <f t="shared" si="14"/>
        <v>13.138845255832354</v>
      </c>
      <c r="AB13" s="548">
        <f t="shared" ref="AB13:AC13" si="15">AB5/AB10</f>
        <v>13.147140123242322</v>
      </c>
      <c r="AC13" s="548">
        <f t="shared" si="15"/>
        <v>13.052704930319202</v>
      </c>
      <c r="AD13" s="548">
        <f t="shared" ref="AD13:AE13" si="16">AD5/AD10</f>
        <v>13.829302599792996</v>
      </c>
      <c r="AE13" s="548">
        <f t="shared" si="16"/>
        <v>13.073021598752886</v>
      </c>
      <c r="AF13" s="322"/>
      <c r="AG13" s="309">
        <f t="shared" si="2"/>
        <v>-5.4686850300855405E-2</v>
      </c>
      <c r="AH13" s="309">
        <f t="shared" si="3"/>
        <v>-5.0098510027164478E-3</v>
      </c>
    </row>
    <row r="14" spans="2:38" ht="13" customHeight="1">
      <c r="B14" s="63"/>
    </row>
    <row r="15" spans="2:38" ht="13" customHeight="1">
      <c r="B15" s="71"/>
      <c r="C15" s="167"/>
      <c r="D15" s="167"/>
      <c r="E15" s="167"/>
      <c r="F15" s="167"/>
      <c r="G15" s="167"/>
      <c r="H15" s="167"/>
      <c r="I15" s="167"/>
      <c r="K15" s="167"/>
      <c r="L15" s="167"/>
      <c r="M15" s="167"/>
      <c r="N15" s="167"/>
      <c r="O15" s="167"/>
      <c r="P15" s="167"/>
      <c r="Q15" s="167"/>
      <c r="R15" s="167"/>
      <c r="S15" s="167"/>
      <c r="T15" s="167"/>
      <c r="U15" s="167"/>
      <c r="V15" s="167"/>
      <c r="W15" s="167"/>
      <c r="X15" s="167"/>
      <c r="Y15" s="167"/>
      <c r="Z15" s="167"/>
    </row>
    <row r="16" spans="2:38" ht="13" customHeight="1">
      <c r="B16" s="72"/>
      <c r="C16" s="168"/>
      <c r="D16" s="168"/>
      <c r="E16" s="168"/>
      <c r="F16" s="168"/>
      <c r="G16" s="168"/>
      <c r="H16" s="168"/>
      <c r="I16" s="168"/>
      <c r="K16" s="168"/>
      <c r="L16" s="168"/>
      <c r="M16" s="168"/>
      <c r="N16" s="168"/>
      <c r="O16" s="168"/>
      <c r="P16" s="168"/>
      <c r="Q16" s="168"/>
      <c r="R16" s="168"/>
      <c r="S16" s="168"/>
      <c r="T16" s="168"/>
      <c r="U16" s="168"/>
      <c r="V16" s="168"/>
      <c r="W16" s="168"/>
      <c r="X16" s="168"/>
      <c r="Y16" s="168"/>
      <c r="Z16" s="168"/>
    </row>
    <row r="17" spans="1:39" ht="13" customHeight="1">
      <c r="B17" s="73"/>
      <c r="C17" s="164"/>
      <c r="D17" s="164"/>
      <c r="E17" s="164"/>
      <c r="F17" s="164"/>
      <c r="G17" s="164"/>
      <c r="H17" s="164"/>
      <c r="I17" s="164"/>
      <c r="K17" s="164"/>
      <c r="L17" s="164"/>
      <c r="M17" s="164"/>
      <c r="N17" s="164"/>
      <c r="O17" s="164"/>
      <c r="P17" s="164"/>
      <c r="Q17" s="164"/>
      <c r="R17" s="164"/>
      <c r="S17" s="164"/>
      <c r="T17" s="164"/>
      <c r="U17" s="164"/>
      <c r="V17" s="164"/>
      <c r="W17" s="164"/>
      <c r="X17" s="164"/>
      <c r="Y17" s="164"/>
      <c r="Z17" s="164"/>
    </row>
    <row r="18" spans="1:39" ht="13" customHeight="1">
      <c r="B18" s="62"/>
      <c r="C18" s="160"/>
      <c r="D18" s="160"/>
      <c r="E18" s="160"/>
      <c r="F18" s="160"/>
      <c r="G18" s="160"/>
      <c r="H18" s="160"/>
      <c r="I18" s="160"/>
      <c r="K18" s="160"/>
      <c r="L18" s="160"/>
      <c r="M18" s="160"/>
      <c r="N18" s="160"/>
      <c r="O18" s="160"/>
      <c r="P18" s="160"/>
      <c r="Q18" s="160"/>
      <c r="R18" s="160"/>
      <c r="S18" s="160"/>
      <c r="T18" s="160"/>
      <c r="U18" s="160"/>
      <c r="V18" s="160"/>
      <c r="W18" s="160"/>
      <c r="X18" s="160"/>
      <c r="Y18" s="160"/>
      <c r="Z18" s="160"/>
    </row>
    <row r="19" spans="1:39" ht="13" customHeight="1">
      <c r="B19" s="62"/>
      <c r="C19" s="160"/>
      <c r="D19" s="160"/>
      <c r="E19" s="160"/>
      <c r="F19" s="160"/>
      <c r="G19" s="160"/>
      <c r="H19" s="160"/>
      <c r="I19" s="160"/>
      <c r="K19" s="160"/>
      <c r="L19" s="160"/>
      <c r="M19" s="160"/>
      <c r="N19" s="160"/>
      <c r="O19" s="160"/>
      <c r="P19" s="160"/>
      <c r="Q19" s="160"/>
      <c r="R19" s="160"/>
      <c r="S19" s="160"/>
      <c r="T19" s="160"/>
      <c r="U19" s="160"/>
      <c r="V19" s="160"/>
      <c r="W19" s="160"/>
      <c r="X19" s="160"/>
      <c r="Y19" s="160"/>
      <c r="Z19" s="160"/>
    </row>
    <row r="20" spans="1:39" ht="13" customHeight="1">
      <c r="B20" s="62"/>
      <c r="C20" s="160"/>
      <c r="D20" s="160"/>
      <c r="E20" s="160"/>
      <c r="F20" s="160"/>
      <c r="G20" s="160"/>
      <c r="H20" s="160"/>
      <c r="I20" s="160"/>
      <c r="K20" s="160"/>
      <c r="L20" s="160"/>
      <c r="M20" s="160"/>
      <c r="N20" s="160"/>
      <c r="O20" s="160"/>
      <c r="P20" s="160"/>
      <c r="Q20" s="160"/>
      <c r="R20" s="160"/>
      <c r="S20" s="160"/>
      <c r="T20" s="160"/>
      <c r="U20" s="160"/>
      <c r="V20" s="160"/>
      <c r="W20" s="160"/>
      <c r="X20" s="160"/>
      <c r="Y20" s="160"/>
      <c r="Z20" s="160"/>
    </row>
    <row r="21" spans="1:39" ht="13" customHeight="1">
      <c r="B21" s="74"/>
      <c r="C21" s="169"/>
      <c r="D21" s="169"/>
      <c r="E21" s="169"/>
      <c r="F21" s="169"/>
      <c r="G21" s="169"/>
      <c r="H21" s="169"/>
      <c r="I21" s="169"/>
      <c r="K21" s="169"/>
      <c r="L21" s="169"/>
      <c r="M21" s="169"/>
      <c r="N21" s="169"/>
      <c r="O21" s="169"/>
      <c r="P21" s="169"/>
      <c r="Q21" s="169"/>
      <c r="R21" s="169"/>
      <c r="S21" s="169"/>
      <c r="T21" s="169"/>
      <c r="U21" s="169"/>
      <c r="V21" s="169"/>
      <c r="W21" s="169"/>
      <c r="X21" s="169"/>
      <c r="Y21" s="169"/>
      <c r="Z21" s="169"/>
    </row>
    <row r="22" spans="1:39" ht="13" customHeight="1">
      <c r="B22" s="64"/>
      <c r="C22" s="160"/>
      <c r="D22" s="160"/>
      <c r="E22" s="160"/>
      <c r="F22" s="160"/>
      <c r="G22" s="160"/>
      <c r="H22" s="160"/>
      <c r="I22" s="160"/>
      <c r="K22" s="160"/>
      <c r="L22" s="160"/>
      <c r="M22" s="160"/>
      <c r="N22" s="160"/>
      <c r="O22" s="160"/>
      <c r="P22" s="160"/>
      <c r="Q22" s="160"/>
      <c r="R22" s="160"/>
      <c r="S22" s="160"/>
      <c r="T22" s="160"/>
      <c r="U22" s="160"/>
      <c r="V22" s="160"/>
      <c r="W22" s="160"/>
      <c r="X22" s="160"/>
      <c r="Y22" s="160"/>
      <c r="Z22" s="160"/>
    </row>
    <row r="23" spans="1:39" ht="13" customHeight="1">
      <c r="B23" s="62"/>
      <c r="C23" s="160"/>
      <c r="D23" s="160"/>
      <c r="E23" s="160"/>
      <c r="F23" s="160"/>
      <c r="G23" s="160"/>
      <c r="H23" s="160"/>
      <c r="I23" s="160"/>
      <c r="K23" s="160"/>
      <c r="L23" s="160"/>
      <c r="M23" s="160"/>
      <c r="N23" s="160"/>
      <c r="O23" s="160"/>
      <c r="P23" s="160"/>
      <c r="Q23" s="160"/>
      <c r="R23" s="160"/>
      <c r="S23" s="160"/>
      <c r="T23" s="160"/>
      <c r="U23" s="160"/>
      <c r="V23" s="160"/>
      <c r="W23" s="160"/>
      <c r="X23" s="160"/>
      <c r="Y23" s="160"/>
      <c r="Z23" s="160"/>
    </row>
    <row r="24" spans="1:39" ht="13" customHeight="1">
      <c r="B24" s="62"/>
      <c r="C24" s="160"/>
      <c r="D24" s="160"/>
      <c r="E24" s="160"/>
      <c r="F24" s="160"/>
      <c r="G24" s="160"/>
      <c r="H24" s="160"/>
      <c r="I24" s="160"/>
      <c r="K24" s="160"/>
      <c r="L24" s="160"/>
      <c r="M24" s="160"/>
      <c r="N24" s="160"/>
      <c r="O24" s="160"/>
      <c r="P24" s="160"/>
      <c r="Q24" s="160"/>
      <c r="R24" s="160"/>
      <c r="S24" s="160"/>
      <c r="T24" s="160"/>
      <c r="U24" s="160"/>
      <c r="V24" s="160"/>
      <c r="W24" s="160"/>
      <c r="X24" s="160"/>
      <c r="Y24" s="160"/>
      <c r="Z24" s="160"/>
    </row>
    <row r="25" spans="1:39" ht="13" customHeight="1">
      <c r="B25" s="65"/>
      <c r="C25" s="160"/>
      <c r="D25" s="160"/>
      <c r="E25" s="160"/>
      <c r="F25" s="160"/>
      <c r="G25" s="160"/>
      <c r="H25" s="160"/>
      <c r="I25" s="160"/>
      <c r="K25" s="160"/>
      <c r="L25" s="160"/>
      <c r="M25" s="160"/>
      <c r="N25" s="160"/>
      <c r="O25" s="160"/>
      <c r="P25" s="160"/>
      <c r="Q25" s="160"/>
      <c r="R25" s="160"/>
      <c r="S25" s="160"/>
      <c r="T25" s="160"/>
      <c r="U25" s="160"/>
      <c r="V25" s="160"/>
      <c r="W25" s="160"/>
      <c r="X25" s="160"/>
      <c r="Y25" s="160"/>
      <c r="Z25" s="160"/>
    </row>
    <row r="26" spans="1:39" ht="13" customHeight="1">
      <c r="B26" s="66"/>
      <c r="C26" s="160"/>
      <c r="D26" s="160"/>
      <c r="E26" s="160"/>
      <c r="F26" s="160"/>
      <c r="G26" s="160"/>
      <c r="H26" s="160"/>
      <c r="I26" s="160"/>
      <c r="K26" s="160"/>
      <c r="L26" s="160"/>
      <c r="M26" s="160"/>
      <c r="N26" s="160"/>
      <c r="O26" s="160"/>
      <c r="P26" s="160"/>
      <c r="Q26" s="160"/>
      <c r="R26" s="160"/>
      <c r="S26" s="160"/>
      <c r="T26" s="160"/>
      <c r="U26" s="160"/>
      <c r="V26" s="160"/>
      <c r="W26" s="160"/>
      <c r="X26" s="160"/>
      <c r="Y26" s="160"/>
      <c r="Z26" s="160"/>
    </row>
    <row r="27" spans="1:39" ht="13" customHeight="1">
      <c r="B27" s="66"/>
      <c r="C27" s="160"/>
      <c r="D27" s="160"/>
      <c r="E27" s="160"/>
      <c r="F27" s="160"/>
      <c r="G27" s="160"/>
      <c r="H27" s="160"/>
      <c r="I27" s="160"/>
      <c r="K27" s="160"/>
      <c r="L27" s="160"/>
      <c r="M27" s="160"/>
      <c r="N27" s="160"/>
      <c r="O27" s="160"/>
      <c r="P27" s="160"/>
      <c r="Q27" s="160"/>
      <c r="R27" s="160"/>
      <c r="S27" s="160"/>
      <c r="T27" s="160"/>
      <c r="U27" s="160"/>
      <c r="V27" s="160"/>
      <c r="W27" s="160"/>
      <c r="X27" s="160"/>
      <c r="Y27" s="160"/>
      <c r="Z27" s="160"/>
    </row>
    <row r="28" spans="1:39" ht="13" customHeight="1">
      <c r="B28" s="64"/>
      <c r="C28" s="160"/>
      <c r="D28" s="160"/>
      <c r="E28" s="160"/>
      <c r="F28" s="160"/>
      <c r="G28" s="160"/>
      <c r="H28" s="160"/>
      <c r="I28" s="160"/>
      <c r="K28" s="160"/>
      <c r="L28" s="160"/>
      <c r="M28" s="160"/>
      <c r="N28" s="160"/>
      <c r="O28" s="160"/>
      <c r="P28" s="160"/>
      <c r="Q28" s="160"/>
      <c r="R28" s="160"/>
      <c r="S28" s="160"/>
      <c r="T28" s="160"/>
      <c r="U28" s="160"/>
      <c r="V28" s="160"/>
      <c r="W28" s="160"/>
      <c r="X28" s="160"/>
      <c r="Y28" s="160"/>
      <c r="Z28" s="160"/>
    </row>
    <row r="29" spans="1:39" ht="13" customHeight="1">
      <c r="B29" s="14"/>
    </row>
    <row r="31" spans="1:39" s="121" customFormat="1" ht="13" customHeight="1">
      <c r="A31" s="120"/>
      <c r="B31" s="4"/>
      <c r="J31" s="120"/>
      <c r="AA31" s="120"/>
      <c r="AB31" s="120"/>
      <c r="AC31" s="120"/>
      <c r="AD31" s="120"/>
      <c r="AE31" s="120"/>
      <c r="AF31" s="120"/>
      <c r="AG31" s="120"/>
      <c r="AH31" s="120"/>
      <c r="AI31" s="120"/>
      <c r="AJ31" s="120"/>
      <c r="AK31" s="120"/>
      <c r="AL31" s="120"/>
      <c r="AM31" s="120"/>
    </row>
  </sheetData>
  <sheetProtection algorithmName="SHA-512" hashValue="Eqi7dSCkZ11qJKvLxhcAHovBcDC/pP1b6zhlqqiu8eatM9oGBL2Pt+jceHniR8GGSj4PSu+YdDbRpKdlux+8jA==" saltValue="NM5on5Uriu80Wi+2PU7FB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DBEC-523B-254E-9636-2CD8A7BD5EF5}">
  <sheetPr codeName="Sheet18">
    <tabColor rgb="FFF7CAB0"/>
  </sheetPr>
  <dimension ref="A1:AM58"/>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1" customWidth="1"/>
    <col min="10" max="10" width="3.83203125" style="121" customWidth="1"/>
    <col min="11" max="31" width="10.83203125" style="121" customWidth="1"/>
    <col min="32" max="32" width="5.83203125" style="121" customWidth="1"/>
    <col min="33" max="34" width="10.83203125" style="121" customWidth="1"/>
    <col min="35" max="36" width="10.83203125" style="120"/>
    <col min="37" max="37" width="21.1640625" style="120" bestFit="1" customWidth="1"/>
    <col min="38" max="16384" width="10.83203125" style="120"/>
  </cols>
  <sheetData>
    <row r="1" spans="1:38" ht="13" customHeight="1">
      <c r="AI1" s="121"/>
    </row>
    <row r="2" spans="1:38" s="9" customFormat="1" ht="13" customHeight="1">
      <c r="B2" s="255" t="str">
        <f>IF('Summary | Sumário'!D$6=Names!B$3,Names!AR1,Names!AS1)</f>
        <v>Monthly ARPAC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1:38"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31"/>
    </row>
    <row r="4" spans="1:38" ht="13" customHeight="1">
      <c r="B4" s="5" t="str">
        <f>IF('Summary | Sumário'!D$6=Names!B$3,Names!AR3,Names!AS3)</f>
        <v>ARPAC (gross of cost of funding)</v>
      </c>
      <c r="C4" s="158"/>
      <c r="D4" s="158"/>
      <c r="E4" s="158"/>
      <c r="F4" s="158"/>
      <c r="G4" s="158"/>
      <c r="H4" s="158"/>
      <c r="I4" s="158"/>
      <c r="J4" s="167"/>
      <c r="K4" s="158"/>
      <c r="L4" s="158"/>
      <c r="M4" s="158"/>
      <c r="N4" s="158"/>
      <c r="O4" s="158"/>
      <c r="P4" s="158"/>
      <c r="Q4" s="158"/>
      <c r="R4" s="158"/>
      <c r="S4" s="158"/>
      <c r="T4" s="158"/>
      <c r="U4" s="158"/>
      <c r="V4" s="158"/>
      <c r="W4" s="158"/>
      <c r="X4" s="158"/>
      <c r="Y4" s="158"/>
      <c r="Z4" s="158"/>
      <c r="AA4" s="158"/>
      <c r="AB4" s="167"/>
      <c r="AC4" s="167"/>
      <c r="AD4" s="167"/>
      <c r="AE4" s="167"/>
      <c r="AF4" s="167"/>
      <c r="AG4" s="158"/>
      <c r="AH4" s="158"/>
    </row>
    <row r="5" spans="1:38" ht="13" customHeight="1">
      <c r="B5" s="75" t="str">
        <f>IF('Summary | Sumário'!D$6=Names!B$3,Names!AR4,Names!AS4)</f>
        <v>Monthly average of total gross revenues</v>
      </c>
      <c r="C5" s="159">
        <f>C6/12</f>
        <v>85464</v>
      </c>
      <c r="D5" s="159">
        <f t="shared" ref="D5:I5" si="0">D6/12</f>
        <v>110608.40793166666</v>
      </c>
      <c r="E5" s="159">
        <f t="shared" si="0"/>
        <v>259726.99266666666</v>
      </c>
      <c r="F5" s="159">
        <f t="shared" si="0"/>
        <v>498851.51541666669</v>
      </c>
      <c r="G5" s="159">
        <f t="shared" si="0"/>
        <v>673232.08333333337</v>
      </c>
      <c r="H5" s="159">
        <f t="shared" si="0"/>
        <v>861835.84259116091</v>
      </c>
      <c r="I5" s="159">
        <f t="shared" si="0"/>
        <v>1249906.5</v>
      </c>
      <c r="J5" s="164"/>
      <c r="K5" s="159">
        <f>K6/3</f>
        <v>181362.33299999998</v>
      </c>
      <c r="L5" s="159">
        <f t="shared" ref="L5" si="1">L6/3</f>
        <v>211899.78233333337</v>
      </c>
      <c r="M5" s="159">
        <f t="shared" ref="M5" si="2">M6/3</f>
        <v>279111.62666666665</v>
      </c>
      <c r="N5" s="159">
        <f t="shared" ref="N5" si="3">N6/3</f>
        <v>366534.22866666666</v>
      </c>
      <c r="O5" s="159">
        <f t="shared" ref="O5" si="4">O6/3</f>
        <v>427116.67166666663</v>
      </c>
      <c r="P5" s="159">
        <f t="shared" ref="P5" si="5">P6/3</f>
        <v>487088.43700000009</v>
      </c>
      <c r="Q5" s="159">
        <f t="shared" ref="Q5" si="6">Q6/3</f>
        <v>513268.489</v>
      </c>
      <c r="R5" s="159">
        <f t="shared" ref="R5" si="7">R6/3</f>
        <v>567932.46400000004</v>
      </c>
      <c r="S5" s="159">
        <f t="shared" ref="S5" si="8">S6/3</f>
        <v>599943.70799999998</v>
      </c>
      <c r="T5" s="159">
        <f t="shared" ref="T5" si="9">T6/3</f>
        <v>646180.66666666663</v>
      </c>
      <c r="U5" s="159">
        <f t="shared" ref="U5" si="10">U6/3</f>
        <v>714488.53607999999</v>
      </c>
      <c r="V5" s="159">
        <f t="shared" ref="V5" si="11">V6/3</f>
        <v>732315.28925333347</v>
      </c>
      <c r="W5" s="159">
        <f t="shared" ref="W5" si="12">W6/3</f>
        <v>763558.61658005824</v>
      </c>
      <c r="X5" s="159">
        <f t="shared" ref="X5" si="13">X6/3</f>
        <v>801286.33217417682</v>
      </c>
      <c r="Y5" s="159">
        <f t="shared" ref="Y5" si="14">Y6/3</f>
        <v>894725.203004524</v>
      </c>
      <c r="Z5" s="159">
        <f t="shared" ref="Z5" si="15">Z6/3</f>
        <v>987773.21860588517</v>
      </c>
      <c r="AA5" s="159">
        <f t="shared" ref="AA5:AE5" si="16">AA6/3</f>
        <v>1053909.2333333332</v>
      </c>
      <c r="AB5" s="662">
        <f t="shared" si="16"/>
        <v>1188982.4666666666</v>
      </c>
      <c r="AC5" s="662">
        <f t="shared" si="16"/>
        <v>1325543.3333333333</v>
      </c>
      <c r="AD5" s="662">
        <f t="shared" si="16"/>
        <v>1431190.9666666668</v>
      </c>
      <c r="AE5" s="662">
        <f t="shared" si="16"/>
        <v>1448717.3333333333</v>
      </c>
      <c r="AF5" s="164"/>
      <c r="AG5" s="346">
        <f t="shared" ref="AG5:AG16" si="17">AE5/AD5-1</f>
        <v>1.2246001459530254E-2</v>
      </c>
      <c r="AH5" s="346">
        <f t="shared" ref="AH5:AH16" si="18">AE5/AA5-1</f>
        <v>0.37461300035420519</v>
      </c>
      <c r="AK5" s="175"/>
    </row>
    <row r="6" spans="1:38" ht="13" customHeight="1">
      <c r="B6" s="53" t="str">
        <f>IF('Summary | Sumário'!D$6=Names!B$3,Names!AR5,Names!AS5)</f>
        <v>Total gross revenues</v>
      </c>
      <c r="C6" s="164">
        <f t="shared" ref="C6:G6" si="19">SUM(C7:C12)</f>
        <v>1025568</v>
      </c>
      <c r="D6" s="164">
        <f t="shared" si="19"/>
        <v>1327300.89518</v>
      </c>
      <c r="E6" s="164">
        <f t="shared" si="19"/>
        <v>3116723.912</v>
      </c>
      <c r="F6" s="164">
        <f t="shared" si="19"/>
        <v>5986218.1850000005</v>
      </c>
      <c r="G6" s="164">
        <f t="shared" si="19"/>
        <v>8078785</v>
      </c>
      <c r="H6" s="164">
        <f>SUM(H7:H12)</f>
        <v>10342030.111093931</v>
      </c>
      <c r="I6" s="164">
        <f>SUM(I7:I12)</f>
        <v>14998878</v>
      </c>
      <c r="J6" s="164"/>
      <c r="K6" s="164">
        <f t="shared" ref="K6" si="20">SUM(K7:K11)</f>
        <v>544086.99899999995</v>
      </c>
      <c r="L6" s="164">
        <f t="shared" ref="L6:Z6" si="21">SUM(L7:L12)</f>
        <v>635699.34700000007</v>
      </c>
      <c r="M6" s="164">
        <f t="shared" si="21"/>
        <v>837334.88</v>
      </c>
      <c r="N6" s="164">
        <f t="shared" si="21"/>
        <v>1099602.686</v>
      </c>
      <c r="O6" s="164">
        <f t="shared" si="21"/>
        <v>1281350.0149999999</v>
      </c>
      <c r="P6" s="164">
        <f t="shared" si="21"/>
        <v>1461265.3110000002</v>
      </c>
      <c r="Q6" s="164">
        <f t="shared" si="21"/>
        <v>1539805.4669999999</v>
      </c>
      <c r="R6" s="164">
        <f t="shared" si="21"/>
        <v>1703797.392</v>
      </c>
      <c r="S6" s="164">
        <f t="shared" si="21"/>
        <v>1799831.1240000001</v>
      </c>
      <c r="T6" s="164">
        <f t="shared" si="21"/>
        <v>1938542</v>
      </c>
      <c r="U6" s="164">
        <f t="shared" si="21"/>
        <v>2143465.60824</v>
      </c>
      <c r="V6" s="164">
        <f t="shared" si="21"/>
        <v>2196945.8677600003</v>
      </c>
      <c r="W6" s="164">
        <f t="shared" si="21"/>
        <v>2290675.8497401746</v>
      </c>
      <c r="X6" s="164">
        <f t="shared" si="21"/>
        <v>2403858.9965225304</v>
      </c>
      <c r="Y6" s="164">
        <f t="shared" si="21"/>
        <v>2684175.6090135719</v>
      </c>
      <c r="Z6" s="164">
        <f t="shared" si="21"/>
        <v>2963319.6558176554</v>
      </c>
      <c r="AA6" s="164">
        <f>SUM(AA7:AA12)</f>
        <v>3161727.6999999997</v>
      </c>
      <c r="AB6" s="164">
        <f>SUM(AB7:AB12)</f>
        <v>3566947.4</v>
      </c>
      <c r="AC6" s="164">
        <f>SUM(AC7:AC12)</f>
        <v>3976630</v>
      </c>
      <c r="AD6" s="164">
        <f>SUM(AD7:AD12)</f>
        <v>4293572.9000000004</v>
      </c>
      <c r="AE6" s="164">
        <f>SUM(AE7:AE12)</f>
        <v>4346152</v>
      </c>
      <c r="AF6" s="164"/>
      <c r="AG6" s="345">
        <f t="shared" si="17"/>
        <v>1.2246001459530254E-2</v>
      </c>
      <c r="AH6" s="345">
        <f t="shared" si="18"/>
        <v>0.37461300035420519</v>
      </c>
      <c r="AK6" s="175"/>
    </row>
    <row r="7" spans="1:38" ht="13" customHeight="1">
      <c r="B7" s="67" t="str">
        <f>IF('Summary | Sumário'!D$6=Names!B$3,Names!AR6,Names!AS6)</f>
        <v>Interest income</v>
      </c>
      <c r="C7" s="159">
        <f>'6. NII'!C5</f>
        <v>775515</v>
      </c>
      <c r="D7" s="159">
        <f>'6. NII'!D5</f>
        <v>942655.89517999999</v>
      </c>
      <c r="E7" s="159">
        <f>'6. NII'!E5</f>
        <v>1435427.246</v>
      </c>
      <c r="F7" s="159">
        <f>'6. NII'!F5</f>
        <v>2802658.0819999999</v>
      </c>
      <c r="G7" s="159">
        <f>'6. NII'!G5</f>
        <v>4549827</v>
      </c>
      <c r="H7" s="159">
        <f>'6. NII'!H5</f>
        <v>5139213.5399445314</v>
      </c>
      <c r="I7" s="159">
        <f>'6. NII'!I5</f>
        <v>8638477</v>
      </c>
      <c r="J7" s="164"/>
      <c r="K7" s="159">
        <f>'6. NII'!K5</f>
        <v>289003.935</v>
      </c>
      <c r="L7" s="159">
        <f>'6. NII'!L5</f>
        <v>305659.75100000005</v>
      </c>
      <c r="M7" s="159">
        <f>'6. NII'!M5</f>
        <v>367405.88</v>
      </c>
      <c r="N7" s="159">
        <f>'6. NII'!N5</f>
        <v>473357.68</v>
      </c>
      <c r="O7" s="159">
        <f>'6. NII'!O5</f>
        <v>521159.63199999993</v>
      </c>
      <c r="P7" s="159">
        <f>'6. NII'!P5</f>
        <v>622312.6370000001</v>
      </c>
      <c r="Q7" s="159">
        <f>'6. NII'!Q5</f>
        <v>788342.73100000003</v>
      </c>
      <c r="R7" s="159">
        <f>'6. NII'!R5</f>
        <v>870843.08199999994</v>
      </c>
      <c r="S7" s="159">
        <f>'6. NII'!S5</f>
        <v>1012926.822</v>
      </c>
      <c r="T7" s="159">
        <f>'6. NII'!T5</f>
        <v>1151105</v>
      </c>
      <c r="U7" s="159">
        <f>'6. NII'!U5</f>
        <v>1106935.08874</v>
      </c>
      <c r="V7" s="159">
        <f>'6. NII'!V5</f>
        <v>1278860.08926</v>
      </c>
      <c r="W7" s="159">
        <f>'6. NII'!W5</f>
        <v>1217530.9999999998</v>
      </c>
      <c r="X7" s="159">
        <f>'6. NII'!X5</f>
        <v>1172415.139</v>
      </c>
      <c r="Y7" s="159">
        <f>'6. NII'!Y5</f>
        <v>1412226.140133633</v>
      </c>
      <c r="Z7" s="159">
        <f>'6. NII'!Z5</f>
        <v>1337041.2608108988</v>
      </c>
      <c r="AA7" s="159">
        <f>'6. NII'!AA5</f>
        <v>1806870</v>
      </c>
      <c r="AB7" s="159">
        <f>'6. NII'!AB5</f>
        <v>2128214</v>
      </c>
      <c r="AC7" s="159">
        <f>'6. NII'!AC5</f>
        <v>2226423</v>
      </c>
      <c r="AD7" s="159">
        <f>'6. NII'!AD5</f>
        <v>2476970</v>
      </c>
      <c r="AE7" s="159">
        <f>'6. NII'!AE5</f>
        <v>2569450</v>
      </c>
      <c r="AF7" s="164"/>
      <c r="AG7" s="346">
        <f t="shared" si="17"/>
        <v>3.7335938667000468E-2</v>
      </c>
      <c r="AH7" s="346">
        <f t="shared" si="18"/>
        <v>0.42204475142096554</v>
      </c>
      <c r="AK7" s="175"/>
    </row>
    <row r="8" spans="1:38" ht="13" customHeight="1">
      <c r="A8" s="148" t="str">
        <f>IF('Summary | Sumário'!D$6=Names!B$3,Names!AR7,Names!AS7)</f>
        <v>Income from securities and derivatives</v>
      </c>
      <c r="B8" s="62" t="str">
        <f>IF('Summary | Sumário'!D$6=Names!B$3,Names!M4,Names!N4)</f>
        <v>Income from securities, derivatives and foreign exchange</v>
      </c>
      <c r="C8" s="160">
        <f>'6. NII'!C18</f>
        <v>72729</v>
      </c>
      <c r="D8" s="160">
        <f>'6. NII'!D18</f>
        <v>-25040</v>
      </c>
      <c r="E8" s="160">
        <f>'6. NII'!E18</f>
        <v>721949.66599999997</v>
      </c>
      <c r="F8" s="160">
        <f>'6. NII'!F18</f>
        <v>1605401.1030000001</v>
      </c>
      <c r="G8" s="160">
        <f>'6. NII'!G18</f>
        <v>1634543</v>
      </c>
      <c r="H8" s="160">
        <f>'6. NII'!H18</f>
        <v>2629169.8130000001</v>
      </c>
      <c r="I8" s="160">
        <f>'6. NII'!I18</f>
        <v>3612469</v>
      </c>
      <c r="J8" s="160"/>
      <c r="K8" s="160">
        <f>'6. NII'!K18</f>
        <v>74012.403999999995</v>
      </c>
      <c r="L8" s="160">
        <f>'6. NII'!L18</f>
        <v>89585.596000000005</v>
      </c>
      <c r="M8" s="160">
        <f>'6. NII'!M18</f>
        <v>224342</v>
      </c>
      <c r="N8" s="160">
        <f>'6. NII'!N18</f>
        <v>334009.66600000003</v>
      </c>
      <c r="O8" s="160">
        <f>'6. NII'!O18</f>
        <v>376055.38299999997</v>
      </c>
      <c r="P8" s="160">
        <f>'6. NII'!P18</f>
        <v>429378.674</v>
      </c>
      <c r="Q8" s="160">
        <f>'6. NII'!Q18</f>
        <v>378059.73599999998</v>
      </c>
      <c r="R8" s="160">
        <f>'6. NII'!R18</f>
        <v>421907.31</v>
      </c>
      <c r="S8" s="160">
        <f>'6. NII'!S18</f>
        <v>386325.30200000003</v>
      </c>
      <c r="T8" s="160">
        <f>'6. NII'!T18</f>
        <v>369367</v>
      </c>
      <c r="U8" s="160">
        <f>'6. NII'!U18</f>
        <v>508679.01922000002</v>
      </c>
      <c r="V8" s="160">
        <f>'6. NII'!V18</f>
        <v>370171.67877999996</v>
      </c>
      <c r="W8" s="160">
        <f>'6. NII'!W18</f>
        <v>537136.61082000006</v>
      </c>
      <c r="X8" s="160">
        <f>'6. NII'!X18</f>
        <v>642093.19580384996</v>
      </c>
      <c r="Y8" s="160">
        <f>'6. NII'!Y18</f>
        <v>587740.70944000012</v>
      </c>
      <c r="Z8" s="160">
        <f>'6. NII'!Z18</f>
        <v>862199.29693614994</v>
      </c>
      <c r="AA8" s="160">
        <f>'6. NII'!AA18</f>
        <v>734744.3</v>
      </c>
      <c r="AB8" s="160">
        <f>'6. NII'!AB18</f>
        <v>765251</v>
      </c>
      <c r="AC8" s="160">
        <f>'6. NII'!AC18</f>
        <v>1050027</v>
      </c>
      <c r="AD8" s="160">
        <f>'6. NII'!AD18</f>
        <v>1062446.7000000002</v>
      </c>
      <c r="AE8" s="160">
        <f>'6. NII'!AE18</f>
        <v>1063780</v>
      </c>
      <c r="AF8" s="160"/>
      <c r="AG8" s="375">
        <f t="shared" si="17"/>
        <v>1.2549335416072172E-3</v>
      </c>
      <c r="AH8" s="375">
        <f t="shared" si="18"/>
        <v>0.44782341285260729</v>
      </c>
      <c r="AK8" s="175"/>
    </row>
    <row r="9" spans="1:38" ht="13" customHeight="1">
      <c r="B9" s="67" t="str">
        <f>IF('Summary | Sumário'!D$6=Names!B$3,Names!AR8,Names!AS8)</f>
        <v xml:space="preserve">Revenues from services and commissions </v>
      </c>
      <c r="C9" s="161">
        <f>'3. IS | DRE'!C9</f>
        <v>130457</v>
      </c>
      <c r="D9" s="161">
        <f>'3. IS | DRE'!D9</f>
        <v>257145</v>
      </c>
      <c r="E9" s="161">
        <f>'3. IS | DRE'!E9</f>
        <v>542569</v>
      </c>
      <c r="F9" s="161">
        <f>'3. IS | DRE'!F9</f>
        <v>968039</v>
      </c>
      <c r="G9" s="161">
        <f>'3. IS | DRE'!G9</f>
        <v>1304382</v>
      </c>
      <c r="H9" s="161">
        <f>'3. IS | DRE'!H9</f>
        <v>1753280.4850000001</v>
      </c>
      <c r="I9" s="161">
        <f>'3. IS | DRE'!I9</f>
        <v>2008095</v>
      </c>
      <c r="J9" s="160"/>
      <c r="K9" s="161">
        <f>'3. IS | DRE'!K9</f>
        <v>100965</v>
      </c>
      <c r="L9" s="161">
        <f>'3. IS | DRE'!L9</f>
        <v>110911</v>
      </c>
      <c r="M9" s="161">
        <f>'3. IS | DRE'!M9</f>
        <v>149283</v>
      </c>
      <c r="N9" s="161">
        <f>'3. IS | DRE'!N9</f>
        <v>181410</v>
      </c>
      <c r="O9" s="161">
        <f>'3. IS | DRE'!O9</f>
        <v>206219</v>
      </c>
      <c r="P9" s="161">
        <f>'3. IS | DRE'!P9</f>
        <v>238515</v>
      </c>
      <c r="Q9" s="161">
        <f>'3. IS | DRE'!Q9</f>
        <v>250433</v>
      </c>
      <c r="R9" s="161">
        <f>'3. IS | DRE'!R9</f>
        <v>272872</v>
      </c>
      <c r="S9" s="161">
        <f>'3. IS | DRE'!S9</f>
        <v>282353</v>
      </c>
      <c r="T9" s="161">
        <f>'3. IS | DRE'!T9</f>
        <v>298524</v>
      </c>
      <c r="U9" s="161">
        <f>'3. IS | DRE'!U9</f>
        <v>347780</v>
      </c>
      <c r="V9" s="161">
        <f>'3. IS | DRE'!V9</f>
        <v>375724.6</v>
      </c>
      <c r="W9" s="161">
        <f>'3. IS | DRE'!W9</f>
        <v>374339.16833017452</v>
      </c>
      <c r="X9" s="161">
        <f>'3. IS | DRE'!X9</f>
        <v>397142.87599999999</v>
      </c>
      <c r="Y9" s="161">
        <f>'3. IS | DRE'!Y9</f>
        <v>467667</v>
      </c>
      <c r="Z9" s="161">
        <f>'3. IS | DRE'!Z9</f>
        <v>514131.44066982553</v>
      </c>
      <c r="AA9" s="161">
        <f>'3. IS | DRE'!AA9</f>
        <v>459924</v>
      </c>
      <c r="AB9" s="161">
        <f>'3. IS | DRE'!AB9</f>
        <v>495128</v>
      </c>
      <c r="AC9" s="161">
        <f>'3. IS | DRE'!AC9</f>
        <v>514179</v>
      </c>
      <c r="AD9" s="161">
        <f>'3. IS | DRE'!AD9</f>
        <v>538864</v>
      </c>
      <c r="AE9" s="161">
        <f>'3. IS | DRE'!AE9</f>
        <v>496033</v>
      </c>
      <c r="AF9" s="160"/>
      <c r="AG9" s="376">
        <f t="shared" si="17"/>
        <v>-7.9483877193503361E-2</v>
      </c>
      <c r="AH9" s="376">
        <f t="shared" si="18"/>
        <v>7.8510797436098123E-2</v>
      </c>
      <c r="AK9" s="175"/>
    </row>
    <row r="10" spans="1:38" ht="13" customHeight="1">
      <c r="B10" s="62" t="str">
        <f>IF('Summary | Sumário'!D$6=Names!B$3,Names!AR10,Names!AS10)</f>
        <v>Other revenues</v>
      </c>
      <c r="C10" s="160">
        <f>'3. IS | DRE'!C11</f>
        <v>46867</v>
      </c>
      <c r="D10" s="160">
        <f>'3. IS | DRE'!D11</f>
        <v>92564</v>
      </c>
      <c r="E10" s="160">
        <f>'3. IS | DRE'!E11</f>
        <v>165415</v>
      </c>
      <c r="F10" s="160">
        <f>'3. IS | DRE'!F11</f>
        <v>288682</v>
      </c>
      <c r="G10" s="160">
        <f>'3. IS | DRE'!G11</f>
        <v>286980</v>
      </c>
      <c r="H10" s="160">
        <f>'3. IS | DRE'!H11</f>
        <v>333570.52926939999</v>
      </c>
      <c r="I10" s="160">
        <f>'3. IS | DRE'!I11</f>
        <v>301226</v>
      </c>
      <c r="J10" s="160"/>
      <c r="K10" s="160">
        <f>'3. IS | DRE'!K11</f>
        <v>41623</v>
      </c>
      <c r="L10" s="160">
        <f>'3. IS | DRE'!L11</f>
        <v>69359</v>
      </c>
      <c r="M10" s="160">
        <f>'3. IS | DRE'!M11</f>
        <v>30496</v>
      </c>
      <c r="N10" s="160">
        <f>'3. IS | DRE'!N11</f>
        <v>23937</v>
      </c>
      <c r="O10" s="160">
        <f>'3. IS | DRE'!O11</f>
        <v>95374</v>
      </c>
      <c r="P10" s="160">
        <f>'3. IS | DRE'!P11</f>
        <v>85809</v>
      </c>
      <c r="Q10" s="160">
        <f>'3. IS | DRE'!Q11</f>
        <v>46550</v>
      </c>
      <c r="R10" s="160">
        <f>'3. IS | DRE'!R11</f>
        <v>60949</v>
      </c>
      <c r="S10" s="160">
        <f>'3. IS | DRE'!S11</f>
        <v>50958</v>
      </c>
      <c r="T10" s="160">
        <f>'3. IS | DRE'!T11</f>
        <v>54967</v>
      </c>
      <c r="U10" s="160">
        <f>'3. IS | DRE'!U11</f>
        <v>104770.50028000001</v>
      </c>
      <c r="V10" s="160">
        <f>'3. IS | DRE'!V11</f>
        <v>76284.499719999993</v>
      </c>
      <c r="W10" s="160">
        <f>'3. IS | DRE'!W11</f>
        <v>68201</v>
      </c>
      <c r="X10" s="160">
        <f>'3. IS | DRE'!X11</f>
        <v>72531.218238679983</v>
      </c>
      <c r="Y10" s="160">
        <f>'3. IS | DRE'!Y11</f>
        <v>81802.620979938802</v>
      </c>
      <c r="Z10" s="160">
        <f>'3. IS | DRE'!Z11</f>
        <v>111035.69005078121</v>
      </c>
      <c r="AA10" s="160">
        <f>'3. IS | DRE'!AA11</f>
        <v>56093.4</v>
      </c>
      <c r="AB10" s="160">
        <f>'3. IS | DRE'!AB11</f>
        <v>81444.399999999994</v>
      </c>
      <c r="AC10" s="160">
        <f>'3. IS | DRE'!AC11</f>
        <v>72103</v>
      </c>
      <c r="AD10" s="160">
        <f>'3. IS | DRE'!AD11</f>
        <v>91585.2</v>
      </c>
      <c r="AE10" s="160">
        <f>'3. IS | DRE'!AE11</f>
        <v>108943</v>
      </c>
      <c r="AF10" s="160"/>
      <c r="AG10" s="375">
        <f t="shared" si="17"/>
        <v>0.18952625533383127</v>
      </c>
      <c r="AH10" s="375">
        <f t="shared" si="18"/>
        <v>0.94217144976057776</v>
      </c>
      <c r="AK10" s="175"/>
    </row>
    <row r="11" spans="1:38" ht="13" customHeight="1">
      <c r="B11" s="67" t="str">
        <f>IF('Summary | Sumário'!D$6=Names!B$3,Names!AR11,Names!AS11)</f>
        <v>(+) Cashback expenses</v>
      </c>
      <c r="C11" s="161">
        <f>-'7. Fee Revenue | R. de Serv '!C11</f>
        <v>0</v>
      </c>
      <c r="D11" s="161">
        <f>-'7. Fee Revenue | R. de Serv '!D11</f>
        <v>59976</v>
      </c>
      <c r="E11" s="161">
        <f>-'7. Fee Revenue | R. de Serv '!E11</f>
        <v>251363</v>
      </c>
      <c r="F11" s="161">
        <f>-'7. Fee Revenue | R. de Serv '!F11</f>
        <v>321438</v>
      </c>
      <c r="G11" s="161">
        <f>-'7. Fee Revenue | R. de Serv '!G11</f>
        <v>236482</v>
      </c>
      <c r="H11" s="161">
        <f>-'7. Fee Revenue | R. de Serv '!H11</f>
        <v>360561.95250999997</v>
      </c>
      <c r="I11" s="161">
        <f>-'7. Fee Revenue | R. de Serv '!I11</f>
        <v>273207</v>
      </c>
      <c r="J11" s="160"/>
      <c r="K11" s="161">
        <f>-'7. Fee Revenue | R. de Serv '!K11</f>
        <v>38482.660000000003</v>
      </c>
      <c r="L11" s="161">
        <f>-'7. Fee Revenue | R. de Serv '!L11</f>
        <v>60184</v>
      </c>
      <c r="M11" s="161">
        <f>-'7. Fee Revenue | R. de Serv '!M11</f>
        <v>65808</v>
      </c>
      <c r="N11" s="161">
        <f>-'7. Fee Revenue | R. de Serv '!N11</f>
        <v>86888.34</v>
      </c>
      <c r="O11" s="161">
        <f>-'7. Fee Revenue | R. de Serv '!O11</f>
        <v>82542</v>
      </c>
      <c r="P11" s="161">
        <f>-'7. Fee Revenue | R. de Serv '!P11</f>
        <v>85250</v>
      </c>
      <c r="Q11" s="161">
        <f>-'7. Fee Revenue | R. de Serv '!Q11</f>
        <v>76420</v>
      </c>
      <c r="R11" s="161">
        <f>-'7. Fee Revenue | R. de Serv '!R11</f>
        <v>77226</v>
      </c>
      <c r="S11" s="161">
        <f>-'7. Fee Revenue | R. de Serv '!S11</f>
        <v>67268</v>
      </c>
      <c r="T11" s="161">
        <f>-'7. Fee Revenue | R. de Serv '!T11</f>
        <v>58005</v>
      </c>
      <c r="U11" s="161">
        <f>-'7. Fee Revenue | R. de Serv '!U11</f>
        <v>48391</v>
      </c>
      <c r="V11" s="161">
        <f>-'7. Fee Revenue | R. de Serv '!V11</f>
        <v>62818</v>
      </c>
      <c r="W11" s="161">
        <f>-'7. Fee Revenue | R. de Serv '!W11</f>
        <v>63381.686999999998</v>
      </c>
      <c r="X11" s="161">
        <f>-'7. Fee Revenue | R. de Serv '!X11</f>
        <v>91044.550029999999</v>
      </c>
      <c r="Y11" s="161">
        <f>-'7. Fee Revenue | R. de Serv '!Y11</f>
        <v>104280.54006</v>
      </c>
      <c r="Z11" s="161">
        <f>-'7. Fee Revenue | R. de Serv '!Z11</f>
        <v>101855.17541999999</v>
      </c>
      <c r="AA11" s="161">
        <f>-'7. Fee Revenue | R. de Serv '!AA11</f>
        <v>68120</v>
      </c>
      <c r="AB11" s="161">
        <f>-'7. Fee Revenue | R. de Serv '!AB11</f>
        <v>58376</v>
      </c>
      <c r="AC11" s="161">
        <f>-'7. Fee Revenue | R. de Serv '!AC11</f>
        <v>75042</v>
      </c>
      <c r="AD11" s="161">
        <f>-'7. Fee Revenue | R. de Serv '!AD11</f>
        <v>71669</v>
      </c>
      <c r="AE11" s="161">
        <f>-'7. Fee Revenue | R. de Serv '!AE11</f>
        <v>54461</v>
      </c>
      <c r="AF11" s="160"/>
      <c r="AG11" s="376">
        <f t="shared" si="17"/>
        <v>-0.24010381057360919</v>
      </c>
      <c r="AH11" s="376">
        <f t="shared" si="18"/>
        <v>-0.20051379917792134</v>
      </c>
      <c r="AK11" s="175"/>
    </row>
    <row r="12" spans="1:38" ht="13" customHeight="1">
      <c r="B12" s="62" t="str">
        <f>IF('Summary | Sumário'!D$6=Names!B$3,Names!AR32,Names!AS32)</f>
        <v>(+) Inter Loop</v>
      </c>
      <c r="C12" s="160">
        <f>-'7. Fee Revenue | R. de Serv '!C12</f>
        <v>0</v>
      </c>
      <c r="D12" s="160">
        <f>-'7. Fee Revenue | R. de Serv '!D12</f>
        <v>0</v>
      </c>
      <c r="E12" s="160">
        <f>-'7. Fee Revenue | R. de Serv '!E12</f>
        <v>0</v>
      </c>
      <c r="F12" s="160">
        <f>-'7. Fee Revenue | R. de Serv '!F12</f>
        <v>0</v>
      </c>
      <c r="G12" s="160">
        <f>-'7. Fee Revenue | R. de Serv '!G12</f>
        <v>66571</v>
      </c>
      <c r="H12" s="160">
        <f>-'7. Fee Revenue | R. de Serv '!H12</f>
        <v>126233.79137000001</v>
      </c>
      <c r="I12" s="160">
        <f>-'7. Fee Revenue | R. de Serv '!I12</f>
        <v>165404</v>
      </c>
      <c r="J12" s="160"/>
      <c r="K12" s="160">
        <f>-'7. Fee Revenue | R. de Serv '!K12</f>
        <v>0</v>
      </c>
      <c r="L12" s="160">
        <f>-'7. Fee Revenue | R. de Serv '!L12</f>
        <v>0</v>
      </c>
      <c r="M12" s="160">
        <f>-'7. Fee Revenue | R. de Serv '!M12</f>
        <v>0</v>
      </c>
      <c r="N12" s="160">
        <f>-'7. Fee Revenue | R. de Serv '!N12</f>
        <v>0</v>
      </c>
      <c r="O12" s="160">
        <f>-'7. Fee Revenue | R. de Serv '!O12</f>
        <v>0</v>
      </c>
      <c r="P12" s="160">
        <f>-'7. Fee Revenue | R. de Serv '!P12</f>
        <v>0</v>
      </c>
      <c r="Q12" s="160">
        <f>-'7. Fee Revenue | R. de Serv '!Q12</f>
        <v>0</v>
      </c>
      <c r="R12" s="160">
        <f>-'7. Fee Revenue | R. de Serv '!R12</f>
        <v>0</v>
      </c>
      <c r="S12" s="160">
        <f>-'7. Fee Revenue | R. de Serv '!S12</f>
        <v>0</v>
      </c>
      <c r="T12" s="160">
        <f>-'7. Fee Revenue | R. de Serv '!T12</f>
        <v>6574</v>
      </c>
      <c r="U12" s="160">
        <f>-'7. Fee Revenue | R. de Serv '!U12</f>
        <v>26910</v>
      </c>
      <c r="V12" s="160">
        <f>-'7. Fee Revenue | R. de Serv '!V12</f>
        <v>33087</v>
      </c>
      <c r="W12" s="160">
        <f>-'7. Fee Revenue | R. de Serv '!W12</f>
        <v>30086.383590000005</v>
      </c>
      <c r="X12" s="160">
        <f>-'7. Fee Revenue | R. de Serv '!X12</f>
        <v>28632.017450000003</v>
      </c>
      <c r="Y12" s="160">
        <f>-'7. Fee Revenue | R. de Serv '!Y12</f>
        <v>30458.598399999999</v>
      </c>
      <c r="Z12" s="160">
        <f>-'7. Fee Revenue | R. de Serv '!Z12</f>
        <v>37056.791929999992</v>
      </c>
      <c r="AA12" s="160">
        <f>-'7. Fee Revenue | R. de Serv '!AA12</f>
        <v>35976</v>
      </c>
      <c r="AB12" s="160">
        <f>-'7. Fee Revenue | R. de Serv '!AB12</f>
        <v>38534</v>
      </c>
      <c r="AC12" s="160">
        <f>-'7. Fee Revenue | R. de Serv '!AC12</f>
        <v>38856</v>
      </c>
      <c r="AD12" s="160">
        <f>-'7. Fee Revenue | R. de Serv '!AD12</f>
        <v>52038</v>
      </c>
      <c r="AE12" s="160">
        <f>-'7. Fee Revenue | R. de Serv '!AE12</f>
        <v>53485</v>
      </c>
      <c r="AF12" s="160"/>
      <c r="AG12" s="375">
        <f t="shared" si="17"/>
        <v>2.7806602867135544E-2</v>
      </c>
      <c r="AH12" s="375">
        <f t="shared" si="18"/>
        <v>0.48668556815654873</v>
      </c>
      <c r="AK12" s="175"/>
    </row>
    <row r="13" spans="1:38" ht="13" customHeight="1">
      <c r="B13" s="52" t="str">
        <f>IF('Summary | Sumário'!D$6=Names!B$3,Names!AR12,Names!AS12)</f>
        <v>(÷) Average of active clients</v>
      </c>
      <c r="C13" s="159">
        <f t="shared" ref="C13" si="22">AVERAGE(C14,C15)</f>
        <v>2282.6979999999999</v>
      </c>
      <c r="D13" s="159">
        <f t="shared" ref="D13" si="23">AVERAGE(D14,D15)</f>
        <v>3767.4889999999996</v>
      </c>
      <c r="E13" s="159">
        <f t="shared" ref="E13" si="24">AVERAGE(E14,E15)</f>
        <v>7039.3045000000002</v>
      </c>
      <c r="F13" s="159">
        <f t="shared" ref="F13" si="25">AVERAGE(F14,F15)</f>
        <v>10705.3665</v>
      </c>
      <c r="G13" s="159">
        <f t="shared" ref="G13" si="26">AVERAGE(G14,G15)</f>
        <v>14494.899000000001</v>
      </c>
      <c r="H13" s="159">
        <f t="shared" ref="H13:Z13" si="27">AVERAGE(H14,H15)</f>
        <v>18483.565000000002</v>
      </c>
      <c r="I13" s="159">
        <f t="shared" ref="I13" si="28">AVERAGE(I14,I15)</f>
        <v>22773.1165</v>
      </c>
      <c r="J13" s="164"/>
      <c r="K13" s="159">
        <f t="shared" si="27"/>
        <v>4207.674</v>
      </c>
      <c r="L13" s="159">
        <f t="shared" si="27"/>
        <v>6597.8119999999999</v>
      </c>
      <c r="M13" s="159">
        <f t="shared" si="27"/>
        <v>7514.7129999999997</v>
      </c>
      <c r="N13" s="159">
        <f t="shared" si="27"/>
        <v>8396.3904999999995</v>
      </c>
      <c r="O13" s="159">
        <f t="shared" si="27"/>
        <v>9358.8734999999997</v>
      </c>
      <c r="P13" s="159">
        <f t="shared" si="27"/>
        <v>10303.8135</v>
      </c>
      <c r="Q13" s="159">
        <f t="shared" si="27"/>
        <v>11182.7415</v>
      </c>
      <c r="R13" s="159">
        <f t="shared" si="27"/>
        <v>12116.839</v>
      </c>
      <c r="S13" s="159">
        <f t="shared" si="27"/>
        <v>13062.486000000001</v>
      </c>
      <c r="T13" s="159">
        <f t="shared" si="27"/>
        <v>14017.737499999999</v>
      </c>
      <c r="U13" s="159">
        <f t="shared" si="27"/>
        <v>14984.0635</v>
      </c>
      <c r="V13" s="159">
        <f t="shared" si="27"/>
        <v>15939.307000000001</v>
      </c>
      <c r="W13" s="159">
        <f t="shared" si="27"/>
        <v>16909.548000000003</v>
      </c>
      <c r="X13" s="159">
        <f t="shared" si="27"/>
        <v>17907.845500000003</v>
      </c>
      <c r="Y13" s="159">
        <f t="shared" si="27"/>
        <v>18970.246500000001</v>
      </c>
      <c r="Z13" s="159">
        <f t="shared" si="27"/>
        <v>20050.120000000003</v>
      </c>
      <c r="AA13" s="159">
        <f>AVERAGE(AA14,AA15)</f>
        <v>21070.289000000001</v>
      </c>
      <c r="AB13" s="159">
        <f>AVERAGE(AB14,AB15)</f>
        <v>22144.881999999998</v>
      </c>
      <c r="AC13" s="159">
        <f>AVERAGE(AC14,AC15)</f>
        <v>23318.665999999997</v>
      </c>
      <c r="AD13" s="159">
        <f>AVERAGE(AD14,AD15)</f>
        <v>24455.4535</v>
      </c>
      <c r="AE13" s="159">
        <f>AVERAGE(AE14,AE15)</f>
        <v>25396.883000000002</v>
      </c>
      <c r="AF13" s="164"/>
      <c r="AG13" s="346">
        <f t="shared" si="17"/>
        <v>3.8495687679641843E-2</v>
      </c>
      <c r="AH13" s="346">
        <f t="shared" si="18"/>
        <v>0.205340989864923</v>
      </c>
      <c r="AK13" s="175"/>
    </row>
    <row r="14" spans="1:38" ht="13" customHeight="1">
      <c r="B14" s="54" t="str">
        <f>IF('Summary | Sumário'!D$6=Names!B$3,Names!AR13,Names!AS13)</f>
        <v>Active clients</v>
      </c>
      <c r="C14" s="164">
        <v>2282.6979999999999</v>
      </c>
      <c r="D14" s="164">
        <v>5252.28</v>
      </c>
      <c r="E14" s="164">
        <v>8826.3289999999997</v>
      </c>
      <c r="F14" s="164">
        <v>12584.404</v>
      </c>
      <c r="G14" s="164">
        <v>16405.394</v>
      </c>
      <c r="H14" s="164">
        <v>20561.736000000001</v>
      </c>
      <c r="I14" s="164">
        <v>24984.496999999999</v>
      </c>
      <c r="J14" s="164"/>
      <c r="K14" s="164">
        <v>6132.65</v>
      </c>
      <c r="L14" s="164">
        <v>7062.9740000000002</v>
      </c>
      <c r="M14" s="164">
        <v>7966.4520000000002</v>
      </c>
      <c r="N14" s="164">
        <v>8826.3289999999997</v>
      </c>
      <c r="O14" s="164">
        <v>9891.4179999999997</v>
      </c>
      <c r="P14" s="164">
        <v>10716.209000000001</v>
      </c>
      <c r="Q14" s="164">
        <v>11649.273999999999</v>
      </c>
      <c r="R14" s="164">
        <v>12584.404</v>
      </c>
      <c r="S14" s="164">
        <v>13540.567999999999</v>
      </c>
      <c r="T14" s="164">
        <v>14494.906999999999</v>
      </c>
      <c r="U14" s="164">
        <v>15473.22</v>
      </c>
      <c r="V14" s="164">
        <v>16405.394</v>
      </c>
      <c r="W14" s="164">
        <v>17413.702000000001</v>
      </c>
      <c r="X14" s="164">
        <v>18401.989000000001</v>
      </c>
      <c r="Y14" s="164">
        <v>19538.504000000001</v>
      </c>
      <c r="Z14" s="164">
        <v>20561.736000000001</v>
      </c>
      <c r="AA14" s="164">
        <v>21578.842000000001</v>
      </c>
      <c r="AB14" s="164">
        <v>22710.921999999999</v>
      </c>
      <c r="AC14" s="164">
        <v>23926.41</v>
      </c>
      <c r="AD14" s="164">
        <v>24984.496999999999</v>
      </c>
      <c r="AE14" s="164">
        <v>25809.269</v>
      </c>
      <c r="AF14" s="164"/>
      <c r="AG14" s="345">
        <f t="shared" si="17"/>
        <v>3.3011350998981559E-2</v>
      </c>
      <c r="AH14" s="345">
        <f t="shared" si="18"/>
        <v>0.19604513532283141</v>
      </c>
      <c r="AK14" s="175"/>
    </row>
    <row r="15" spans="1:38" ht="13" customHeight="1">
      <c r="B15" s="59" t="str">
        <f>IF('Summary | Sumário'!D$6=Names!B$3,Names!AR14,Names!AS14)</f>
        <v>Active clients in the previus period</v>
      </c>
      <c r="C15" s="159">
        <f>C14</f>
        <v>2282.6979999999999</v>
      </c>
      <c r="D15" s="159">
        <f t="shared" ref="D15:G15" si="29">C14</f>
        <v>2282.6979999999999</v>
      </c>
      <c r="E15" s="159">
        <f t="shared" si="29"/>
        <v>5252.28</v>
      </c>
      <c r="F15" s="159">
        <f t="shared" si="29"/>
        <v>8826.3289999999997</v>
      </c>
      <c r="G15" s="159">
        <f t="shared" si="29"/>
        <v>12584.404</v>
      </c>
      <c r="H15" s="159">
        <f>G14</f>
        <v>16405.394</v>
      </c>
      <c r="I15" s="159">
        <f>H14</f>
        <v>20561.736000000001</v>
      </c>
      <c r="J15" s="164"/>
      <c r="K15" s="159">
        <f>D15</f>
        <v>2282.6979999999999</v>
      </c>
      <c r="L15" s="159">
        <f t="shared" ref="L15:Z15" si="30">K14</f>
        <v>6132.65</v>
      </c>
      <c r="M15" s="159">
        <f t="shared" si="30"/>
        <v>7062.9740000000002</v>
      </c>
      <c r="N15" s="159">
        <f t="shared" si="30"/>
        <v>7966.4520000000002</v>
      </c>
      <c r="O15" s="159">
        <f t="shared" si="30"/>
        <v>8826.3289999999997</v>
      </c>
      <c r="P15" s="159">
        <f t="shared" si="30"/>
        <v>9891.4179999999997</v>
      </c>
      <c r="Q15" s="159">
        <f t="shared" si="30"/>
        <v>10716.209000000001</v>
      </c>
      <c r="R15" s="159">
        <f t="shared" si="30"/>
        <v>11649.273999999999</v>
      </c>
      <c r="S15" s="159">
        <f t="shared" si="30"/>
        <v>12584.404</v>
      </c>
      <c r="T15" s="159">
        <f t="shared" si="30"/>
        <v>13540.567999999999</v>
      </c>
      <c r="U15" s="159">
        <f t="shared" si="30"/>
        <v>14494.906999999999</v>
      </c>
      <c r="V15" s="159">
        <f t="shared" si="30"/>
        <v>15473.22</v>
      </c>
      <c r="W15" s="159">
        <f t="shared" si="30"/>
        <v>16405.394</v>
      </c>
      <c r="X15" s="159">
        <f t="shared" si="30"/>
        <v>17413.702000000001</v>
      </c>
      <c r="Y15" s="159">
        <f t="shared" si="30"/>
        <v>18401.989000000001</v>
      </c>
      <c r="Z15" s="159">
        <f t="shared" si="30"/>
        <v>19538.504000000001</v>
      </c>
      <c r="AA15" s="159">
        <f>Z14</f>
        <v>20561.736000000001</v>
      </c>
      <c r="AB15" s="159">
        <f>AA14</f>
        <v>21578.842000000001</v>
      </c>
      <c r="AC15" s="159">
        <f>AB14</f>
        <v>22710.921999999999</v>
      </c>
      <c r="AD15" s="159">
        <f>AC14</f>
        <v>23926.41</v>
      </c>
      <c r="AE15" s="159">
        <f>AD14</f>
        <v>24984.496999999999</v>
      </c>
      <c r="AF15" s="164"/>
      <c r="AG15" s="346">
        <f t="shared" si="17"/>
        <v>4.4222555744886094E-2</v>
      </c>
      <c r="AH15" s="346">
        <f t="shared" si="18"/>
        <v>0.21509667277120958</v>
      </c>
      <c r="AK15" s="175"/>
    </row>
    <row r="16" spans="1:38" ht="13" customHeight="1">
      <c r="B16" s="6" t="str">
        <f>IF('Summary | Sumário'!D$6=Names!B$3,Names!AR15,Names!AS15)</f>
        <v>Gross ARPAC (R$)</v>
      </c>
      <c r="C16" s="165">
        <f t="shared" ref="C16" si="31">C5/C13</f>
        <v>37.439906636795584</v>
      </c>
      <c r="D16" s="165">
        <f t="shared" ref="D16:AA16" si="32">D5/D13</f>
        <v>29.358654512771416</v>
      </c>
      <c r="E16" s="165">
        <f t="shared" si="32"/>
        <v>36.896683850892749</v>
      </c>
      <c r="F16" s="165">
        <f t="shared" si="32"/>
        <v>46.598265964707203</v>
      </c>
      <c r="G16" s="165">
        <f t="shared" si="32"/>
        <v>46.446138281704023</v>
      </c>
      <c r="H16" s="165">
        <f t="shared" si="32"/>
        <v>46.627143767512422</v>
      </c>
      <c r="I16" s="165">
        <f t="shared" ref="I16" si="33">I5/I13</f>
        <v>54.885175685110994</v>
      </c>
      <c r="J16" s="322"/>
      <c r="K16" s="165">
        <f t="shared" si="32"/>
        <v>43.102752969930648</v>
      </c>
      <c r="L16" s="165">
        <f t="shared" ref="L16:Z16" si="34">L5/L13</f>
        <v>32.116674790571992</v>
      </c>
      <c r="M16" s="165">
        <f t="shared" si="34"/>
        <v>37.142020815254909</v>
      </c>
      <c r="N16" s="165">
        <f t="shared" si="34"/>
        <v>43.653785357728026</v>
      </c>
      <c r="O16" s="165">
        <f t="shared" si="34"/>
        <v>45.637615645372989</v>
      </c>
      <c r="P16" s="165">
        <f t="shared" si="34"/>
        <v>47.27263716487105</v>
      </c>
      <c r="Q16" s="165">
        <f t="shared" si="34"/>
        <v>45.898270026182757</v>
      </c>
      <c r="R16" s="165">
        <f t="shared" si="34"/>
        <v>46.871338638732432</v>
      </c>
      <c r="S16" s="165">
        <f t="shared" si="34"/>
        <v>45.928754143736498</v>
      </c>
      <c r="T16" s="165">
        <f t="shared" si="34"/>
        <v>46.097358198258931</v>
      </c>
      <c r="U16" s="165">
        <f t="shared" si="34"/>
        <v>47.683229324275089</v>
      </c>
      <c r="V16" s="165">
        <f t="shared" si="34"/>
        <v>45.943985472726851</v>
      </c>
      <c r="W16" s="165">
        <f t="shared" si="34"/>
        <v>45.155471724025865</v>
      </c>
      <c r="X16" s="165">
        <f t="shared" si="34"/>
        <v>44.744988009538986</v>
      </c>
      <c r="Y16" s="165">
        <f t="shared" si="34"/>
        <v>47.164658772595494</v>
      </c>
      <c r="Z16" s="165">
        <f t="shared" si="34"/>
        <v>49.265202333247132</v>
      </c>
      <c r="AA16" s="165">
        <f t="shared" si="32"/>
        <v>50.018736493520954</v>
      </c>
      <c r="AB16" s="165">
        <f t="shared" ref="AB16:AC16" si="35">AB5/AB13</f>
        <v>53.691072576799762</v>
      </c>
      <c r="AC16" s="165">
        <f t="shared" si="35"/>
        <v>56.844732598911676</v>
      </c>
      <c r="AD16" s="165">
        <f>AD5/AD13</f>
        <v>58.522364619681532</v>
      </c>
      <c r="AE16" s="165">
        <f>AE5/AE13</f>
        <v>57.04311561908338</v>
      </c>
      <c r="AF16" s="322"/>
      <c r="AG16" s="377">
        <f t="shared" si="17"/>
        <v>-2.5276644411266092E-2</v>
      </c>
      <c r="AH16" s="377">
        <f t="shared" si="18"/>
        <v>0.14043495733788292</v>
      </c>
    </row>
    <row r="17" spans="2:36" ht="13" customHeight="1">
      <c r="B17" s="69"/>
      <c r="C17" s="163"/>
      <c r="D17" s="163"/>
      <c r="E17" s="163"/>
      <c r="F17" s="163"/>
      <c r="G17" s="163"/>
      <c r="H17" s="163"/>
      <c r="I17" s="163"/>
      <c r="K17" s="163"/>
      <c r="L17" s="163"/>
      <c r="M17" s="163"/>
      <c r="N17" s="163"/>
      <c r="O17" s="163"/>
      <c r="P17" s="163"/>
      <c r="Q17" s="163"/>
      <c r="R17" s="163"/>
      <c r="S17" s="163"/>
      <c r="T17" s="163"/>
      <c r="U17" s="163"/>
      <c r="V17" s="163"/>
      <c r="W17" s="163"/>
      <c r="X17" s="163"/>
      <c r="Y17" s="163"/>
      <c r="Z17" s="163"/>
      <c r="AA17" s="163"/>
      <c r="AB17" s="163"/>
      <c r="AC17" s="163"/>
      <c r="AD17" s="163"/>
      <c r="AE17" s="163"/>
      <c r="AG17" s="163"/>
      <c r="AH17" s="163"/>
    </row>
    <row r="18" spans="2:36" ht="13" customHeight="1">
      <c r="B18" s="5" t="str">
        <f>IF('Summary | Sumário'!D$6=Names!B$3,Names!AR17,Names!AS17)</f>
        <v>ARPAC (net of cost of funding)</v>
      </c>
      <c r="C18" s="158"/>
      <c r="D18" s="158"/>
      <c r="E18" s="158"/>
      <c r="F18" s="158"/>
      <c r="G18" s="158"/>
      <c r="H18" s="158"/>
      <c r="I18" s="158"/>
      <c r="J18" s="167"/>
      <c r="K18" s="158"/>
      <c r="L18" s="158"/>
      <c r="M18" s="158"/>
      <c r="N18" s="158"/>
      <c r="O18" s="158"/>
      <c r="P18" s="158"/>
      <c r="Q18" s="158"/>
      <c r="R18" s="158"/>
      <c r="S18" s="158"/>
      <c r="T18" s="158"/>
      <c r="U18" s="158"/>
      <c r="V18" s="158"/>
      <c r="W18" s="158"/>
      <c r="X18" s="158"/>
      <c r="Y18" s="158"/>
      <c r="Z18" s="158"/>
      <c r="AA18" s="158"/>
      <c r="AB18" s="167"/>
      <c r="AC18" s="167"/>
      <c r="AD18" s="167"/>
      <c r="AE18" s="167"/>
      <c r="AF18" s="167"/>
      <c r="AG18" s="158"/>
      <c r="AH18" s="158"/>
    </row>
    <row r="19" spans="2:36" ht="13" customHeight="1">
      <c r="B19" s="79" t="str">
        <f>IF('Summary | Sumário'!D$6=Names!B$3,Names!AR18,Names!AS18)</f>
        <v>Monthly average total revenues net of cost of funding</v>
      </c>
      <c r="C19" s="159">
        <f>C20/12</f>
        <v>64070.916666666664</v>
      </c>
      <c r="D19" s="159">
        <f t="shared" ref="D19:I19" si="36">D20/12</f>
        <v>95247.157931666661</v>
      </c>
      <c r="E19" s="159">
        <f t="shared" si="36"/>
        <v>214456.90933333329</v>
      </c>
      <c r="F19" s="159">
        <f t="shared" si="36"/>
        <v>334447.34874999995</v>
      </c>
      <c r="G19" s="159">
        <f t="shared" si="36"/>
        <v>432601</v>
      </c>
      <c r="H19" s="159">
        <f t="shared" si="36"/>
        <v>585865.92937446118</v>
      </c>
      <c r="I19" s="159">
        <f t="shared" si="36"/>
        <v>751812.58333333337</v>
      </c>
      <c r="J19" s="164"/>
      <c r="K19" s="159">
        <f t="shared" ref="K19:Z19" si="37">K20/3</f>
        <v>159509.33299999998</v>
      </c>
      <c r="L19" s="159">
        <f t="shared" si="37"/>
        <v>183146.11566666668</v>
      </c>
      <c r="M19" s="159">
        <f t="shared" si="37"/>
        <v>232915.96</v>
      </c>
      <c r="N19" s="159">
        <f>N20/3</f>
        <v>282255.89533333335</v>
      </c>
      <c r="O19" s="159">
        <f t="shared" si="37"/>
        <v>314859.67166666663</v>
      </c>
      <c r="P19" s="159">
        <f t="shared" si="37"/>
        <v>332074.77033333341</v>
      </c>
      <c r="Q19" s="159">
        <f t="shared" si="37"/>
        <v>320042.489</v>
      </c>
      <c r="R19" s="159">
        <f t="shared" si="37"/>
        <v>370812.46399999998</v>
      </c>
      <c r="S19" s="159">
        <f t="shared" si="37"/>
        <v>375686.70800000004</v>
      </c>
      <c r="T19" s="159">
        <f t="shared" si="37"/>
        <v>415445.33333333331</v>
      </c>
      <c r="U19" s="159">
        <f t="shared" si="37"/>
        <v>457689.20274666668</v>
      </c>
      <c r="V19" s="159">
        <f t="shared" si="37"/>
        <v>481582.62092000007</v>
      </c>
      <c r="W19" s="159">
        <f t="shared" si="37"/>
        <v>509476.31981339148</v>
      </c>
      <c r="X19" s="159">
        <f t="shared" si="37"/>
        <v>543738.79584084346</v>
      </c>
      <c r="Y19" s="159">
        <f t="shared" si="37"/>
        <v>616186.29700452404</v>
      </c>
      <c r="Z19" s="159">
        <f t="shared" si="37"/>
        <v>674062.30470504111</v>
      </c>
      <c r="AA19" s="159">
        <f>AA20/3</f>
        <v>660902.56666666653</v>
      </c>
      <c r="AB19" s="662">
        <f>AB20/3</f>
        <v>714329.79999999993</v>
      </c>
      <c r="AC19" s="662">
        <f>AC20/3</f>
        <v>774290.33333333337</v>
      </c>
      <c r="AD19" s="662">
        <f>AD20/3</f>
        <v>857727.63333333342</v>
      </c>
      <c r="AE19" s="662">
        <f>AE20/3</f>
        <v>864890.66666666663</v>
      </c>
      <c r="AF19" s="164"/>
      <c r="AG19" s="346">
        <f t="shared" ref="AG19:AG31" si="38">AE19/AD19-1</f>
        <v>8.3511747260560654E-3</v>
      </c>
      <c r="AH19" s="346">
        <f t="shared" ref="AH19:AH31" si="39">AE19/AA19-1</f>
        <v>0.30865079103692405</v>
      </c>
      <c r="AJ19" s="483"/>
    </row>
    <row r="20" spans="2:36" ht="13" customHeight="1">
      <c r="B20" s="53" t="str">
        <f>IF('Summary | Sumário'!D$6=Names!B$3,Names!AR19,Names!AS19)</f>
        <v>Total revenues net of cost of funding</v>
      </c>
      <c r="C20" s="164">
        <f t="shared" ref="C20" si="40">SUM(C21:C27)</f>
        <v>768851</v>
      </c>
      <c r="D20" s="164">
        <f t="shared" ref="D20:AA20" si="41">SUM(D21:D27)</f>
        <v>1142965.89518</v>
      </c>
      <c r="E20" s="164">
        <f t="shared" si="41"/>
        <v>2573482.9119999995</v>
      </c>
      <c r="F20" s="164">
        <f t="shared" si="41"/>
        <v>4013368.1849999996</v>
      </c>
      <c r="G20" s="164">
        <f t="shared" si="41"/>
        <v>5191212</v>
      </c>
      <c r="H20" s="164">
        <f t="shared" si="41"/>
        <v>7030391.1524935337</v>
      </c>
      <c r="I20" s="164">
        <f t="shared" ref="I20" si="42">SUM(I21:I27)</f>
        <v>9021751</v>
      </c>
      <c r="J20" s="164"/>
      <c r="K20" s="164">
        <f t="shared" si="41"/>
        <v>478527.99899999995</v>
      </c>
      <c r="L20" s="164">
        <f t="shared" si="41"/>
        <v>549438.34700000007</v>
      </c>
      <c r="M20" s="164">
        <f t="shared" si="41"/>
        <v>698747.88</v>
      </c>
      <c r="N20" s="164">
        <f>SUM(N21:N27)</f>
        <v>846767.68599999999</v>
      </c>
      <c r="O20" s="164">
        <f t="shared" si="41"/>
        <v>944579.0149999999</v>
      </c>
      <c r="P20" s="164">
        <f t="shared" si="41"/>
        <v>996224.31100000022</v>
      </c>
      <c r="Q20" s="164">
        <f t="shared" si="41"/>
        <v>960127.46699999995</v>
      </c>
      <c r="R20" s="164">
        <f t="shared" si="41"/>
        <v>1112437.392</v>
      </c>
      <c r="S20" s="164">
        <f t="shared" si="41"/>
        <v>1127060.1240000001</v>
      </c>
      <c r="T20" s="164">
        <f t="shared" si="41"/>
        <v>1246336</v>
      </c>
      <c r="U20" s="164">
        <f t="shared" si="41"/>
        <v>1373067.60824</v>
      </c>
      <c r="V20" s="164">
        <f t="shared" si="41"/>
        <v>1444747.8627600002</v>
      </c>
      <c r="W20" s="164">
        <f t="shared" si="41"/>
        <v>1528428.9594401745</v>
      </c>
      <c r="X20" s="164">
        <f t="shared" si="41"/>
        <v>1631216.3875225303</v>
      </c>
      <c r="Y20" s="164">
        <f t="shared" si="41"/>
        <v>1848558.891013572</v>
      </c>
      <c r="Z20" s="164">
        <f t="shared" si="41"/>
        <v>2022186.9141151232</v>
      </c>
      <c r="AA20" s="164">
        <f t="shared" si="41"/>
        <v>1982707.6999999997</v>
      </c>
      <c r="AB20" s="164">
        <f t="shared" ref="AB20:AC20" si="43">SUM(AB21:AB27)</f>
        <v>2142989.4</v>
      </c>
      <c r="AC20" s="164">
        <f t="shared" si="43"/>
        <v>2322871</v>
      </c>
      <c r="AD20" s="164">
        <f t="shared" ref="AD20:AE20" si="44">SUM(AD21:AD27)</f>
        <v>2573182.9000000004</v>
      </c>
      <c r="AE20" s="164">
        <f t="shared" si="44"/>
        <v>2594672</v>
      </c>
      <c r="AF20" s="164"/>
      <c r="AG20" s="345">
        <f t="shared" si="38"/>
        <v>8.3511747260560654E-3</v>
      </c>
      <c r="AH20" s="345">
        <f t="shared" si="39"/>
        <v>0.30865079103692405</v>
      </c>
      <c r="AJ20" s="483"/>
    </row>
    <row r="21" spans="2:36" ht="13" customHeight="1">
      <c r="B21" s="67" t="str">
        <f>IF('Summary | Sumário'!D$6=Names!B$3,Names!AR20,Names!AS20)</f>
        <v>Interest income</v>
      </c>
      <c r="C21" s="159">
        <f>C7</f>
        <v>775515</v>
      </c>
      <c r="D21" s="159">
        <v>942655.89517999999</v>
      </c>
      <c r="E21" s="159">
        <v>1435428.2459999998</v>
      </c>
      <c r="F21" s="159">
        <v>2802658.0819999995</v>
      </c>
      <c r="G21" s="159">
        <v>4549827</v>
      </c>
      <c r="H21" s="159">
        <v>5139213</v>
      </c>
      <c r="I21" s="159">
        <v>8638477</v>
      </c>
      <c r="J21" s="164"/>
      <c r="K21" s="159">
        <v>289003.935</v>
      </c>
      <c r="L21" s="159">
        <v>305659.75100000005</v>
      </c>
      <c r="M21" s="159">
        <v>367405.88</v>
      </c>
      <c r="N21" s="159">
        <v>473357.68</v>
      </c>
      <c r="O21" s="159">
        <v>521159.63199999993</v>
      </c>
      <c r="P21" s="159">
        <v>622312.6370000001</v>
      </c>
      <c r="Q21" s="159">
        <v>788342.73100000003</v>
      </c>
      <c r="R21" s="159">
        <v>870843.08199999994</v>
      </c>
      <c r="S21" s="159">
        <v>1012926.822</v>
      </c>
      <c r="T21" s="159">
        <v>1151105</v>
      </c>
      <c r="U21" s="159">
        <v>1106935.08874</v>
      </c>
      <c r="V21" s="159">
        <v>1278860.08926</v>
      </c>
      <c r="W21" s="159">
        <v>1217530.9999999998</v>
      </c>
      <c r="X21" s="159">
        <v>1172415.139</v>
      </c>
      <c r="Y21" s="159">
        <v>1412226.140133633</v>
      </c>
      <c r="Z21" s="159">
        <v>1337040.7208663672</v>
      </c>
      <c r="AA21" s="159">
        <v>1806870</v>
      </c>
      <c r="AB21" s="159">
        <v>2128214</v>
      </c>
      <c r="AC21" s="159">
        <v>2226423</v>
      </c>
      <c r="AD21" s="159">
        <v>2476970</v>
      </c>
      <c r="AE21" s="159">
        <v>2569450</v>
      </c>
      <c r="AF21" s="164"/>
      <c r="AG21" s="346">
        <f t="shared" si="38"/>
        <v>3.7335938667000468E-2</v>
      </c>
      <c r="AH21" s="346">
        <f t="shared" si="39"/>
        <v>0.42204475142096554</v>
      </c>
    </row>
    <row r="22" spans="2:36" ht="13" customHeight="1">
      <c r="B22" s="62" t="str">
        <f>IF('Summary | Sumário'!D$6=Names!B$3,Names!AR21,Names!AS21)</f>
        <v>Income from securities and derivatives</v>
      </c>
      <c r="C22" s="160">
        <v>72729</v>
      </c>
      <c r="D22" s="160">
        <v>-25040</v>
      </c>
      <c r="E22" s="160">
        <v>721949.66599999997</v>
      </c>
      <c r="F22" s="160">
        <v>1605401.1030000001</v>
      </c>
      <c r="G22" s="160">
        <v>1634543</v>
      </c>
      <c r="H22" s="160">
        <v>2629169.8134021345</v>
      </c>
      <c r="I22" s="160">
        <v>3612469</v>
      </c>
      <c r="J22" s="160"/>
      <c r="K22" s="160">
        <v>74012.403999999995</v>
      </c>
      <c r="L22" s="160">
        <v>89585.596000000005</v>
      </c>
      <c r="M22" s="160">
        <v>224342</v>
      </c>
      <c r="N22" s="160">
        <v>334009.66600000003</v>
      </c>
      <c r="O22" s="160">
        <v>376055.38299999997</v>
      </c>
      <c r="P22" s="160">
        <v>429378.674</v>
      </c>
      <c r="Q22" s="160">
        <v>378059.73599999998</v>
      </c>
      <c r="R22" s="160">
        <v>421907.31</v>
      </c>
      <c r="S22" s="160">
        <v>386325.30200000003</v>
      </c>
      <c r="T22" s="160">
        <v>369367</v>
      </c>
      <c r="U22" s="160">
        <v>508679.01922000002</v>
      </c>
      <c r="V22" s="160">
        <v>370171.67877999996</v>
      </c>
      <c r="W22" s="160">
        <v>537136.61082000006</v>
      </c>
      <c r="X22" s="160">
        <v>642093.19580384996</v>
      </c>
      <c r="Y22" s="160">
        <v>587740.70944000012</v>
      </c>
      <c r="Z22" s="160">
        <v>862199.29693614994</v>
      </c>
      <c r="AA22" s="160">
        <v>734744.3</v>
      </c>
      <c r="AB22" s="160">
        <v>765251</v>
      </c>
      <c r="AC22" s="160">
        <v>1050027</v>
      </c>
      <c r="AD22" s="160">
        <v>1062446.7000000002</v>
      </c>
      <c r="AE22" s="160">
        <v>1063780</v>
      </c>
      <c r="AF22" s="160"/>
      <c r="AG22" s="375">
        <f t="shared" si="38"/>
        <v>1.2549335416072172E-3</v>
      </c>
      <c r="AH22" s="375">
        <f t="shared" si="39"/>
        <v>0.44782341285260729</v>
      </c>
    </row>
    <row r="23" spans="2:36" ht="13" customHeight="1">
      <c r="B23" s="67" t="str">
        <f>IF('Summary | Sumário'!D$6=Names!B$3,Names!AR22,Names!AS22)</f>
        <v xml:space="preserve">Revenues from services and commissions </v>
      </c>
      <c r="C23" s="161">
        <v>130457</v>
      </c>
      <c r="D23" s="161">
        <v>257145</v>
      </c>
      <c r="E23" s="161">
        <v>542569</v>
      </c>
      <c r="F23" s="161">
        <v>968039</v>
      </c>
      <c r="G23" s="161">
        <v>1304382</v>
      </c>
      <c r="H23" s="161">
        <v>1753280.4850000001</v>
      </c>
      <c r="I23" s="161">
        <v>2008095</v>
      </c>
      <c r="J23" s="160"/>
      <c r="K23" s="161">
        <v>100965</v>
      </c>
      <c r="L23" s="161">
        <v>110911</v>
      </c>
      <c r="M23" s="161">
        <v>149283</v>
      </c>
      <c r="N23" s="161">
        <v>181410</v>
      </c>
      <c r="O23" s="161">
        <v>206219</v>
      </c>
      <c r="P23" s="161">
        <v>238515</v>
      </c>
      <c r="Q23" s="161">
        <v>250433</v>
      </c>
      <c r="R23" s="161">
        <v>272872</v>
      </c>
      <c r="S23" s="161">
        <v>282353</v>
      </c>
      <c r="T23" s="161">
        <v>298524</v>
      </c>
      <c r="U23" s="161">
        <v>347780</v>
      </c>
      <c r="V23" s="161">
        <v>375724.6</v>
      </c>
      <c r="W23" s="161">
        <v>374339.16833017452</v>
      </c>
      <c r="X23" s="161">
        <v>397142.87599999999</v>
      </c>
      <c r="Y23" s="161">
        <v>467667</v>
      </c>
      <c r="Z23" s="161">
        <v>514131.44066982553</v>
      </c>
      <c r="AA23" s="161">
        <v>459924</v>
      </c>
      <c r="AB23" s="161">
        <v>495128</v>
      </c>
      <c r="AC23" s="161">
        <v>514179</v>
      </c>
      <c r="AD23" s="161">
        <v>538864</v>
      </c>
      <c r="AE23" s="161">
        <v>496033</v>
      </c>
      <c r="AF23" s="160"/>
      <c r="AG23" s="376">
        <f t="shared" si="38"/>
        <v>-7.9483877193503361E-2</v>
      </c>
      <c r="AH23" s="376">
        <f t="shared" si="39"/>
        <v>7.8510797436098123E-2</v>
      </c>
    </row>
    <row r="24" spans="2:36" ht="13" customHeight="1">
      <c r="B24" s="62" t="str">
        <f>IF('Summary | Sumário'!D$6=Names!B$3,Names!AR24,Names!AS24)</f>
        <v>Other revenues</v>
      </c>
      <c r="C24" s="160">
        <v>46867</v>
      </c>
      <c r="D24" s="160">
        <v>92564</v>
      </c>
      <c r="E24" s="160">
        <v>165415</v>
      </c>
      <c r="F24" s="160">
        <v>288682</v>
      </c>
      <c r="G24" s="160">
        <v>286980</v>
      </c>
      <c r="H24" s="160">
        <v>333570.52926939999</v>
      </c>
      <c r="I24" s="160">
        <v>301226</v>
      </c>
      <c r="J24" s="160"/>
      <c r="K24" s="160">
        <v>41623</v>
      </c>
      <c r="L24" s="160">
        <v>69359</v>
      </c>
      <c r="M24" s="160">
        <v>30496</v>
      </c>
      <c r="N24" s="160">
        <v>23937</v>
      </c>
      <c r="O24" s="160">
        <v>95374</v>
      </c>
      <c r="P24" s="160">
        <v>85809</v>
      </c>
      <c r="Q24" s="160">
        <v>46550</v>
      </c>
      <c r="R24" s="160">
        <v>60949</v>
      </c>
      <c r="S24" s="160">
        <v>50958</v>
      </c>
      <c r="T24" s="160">
        <v>54967</v>
      </c>
      <c r="U24" s="160">
        <v>104770.50028000001</v>
      </c>
      <c r="V24" s="160">
        <v>76284.499719999993</v>
      </c>
      <c r="W24" s="160">
        <v>68201</v>
      </c>
      <c r="X24" s="160">
        <v>72531.218238679983</v>
      </c>
      <c r="Y24" s="160">
        <v>81802.620979938802</v>
      </c>
      <c r="Z24" s="160">
        <v>111035.69005078121</v>
      </c>
      <c r="AA24" s="160">
        <v>56093.4</v>
      </c>
      <c r="AB24" s="160">
        <v>81444.399999999994</v>
      </c>
      <c r="AC24" s="160">
        <v>72103</v>
      </c>
      <c r="AD24" s="160">
        <v>91585.2</v>
      </c>
      <c r="AE24" s="160">
        <v>108943</v>
      </c>
      <c r="AF24" s="160"/>
      <c r="AG24" s="375">
        <f t="shared" si="38"/>
        <v>0.18952625533383127</v>
      </c>
      <c r="AH24" s="375">
        <f t="shared" si="39"/>
        <v>0.94217144976057776</v>
      </c>
    </row>
    <row r="25" spans="2:36" ht="13" customHeight="1">
      <c r="B25" s="67" t="str">
        <f>IF('Summary | Sumário'!D$6=Names!B$3,Names!AR25,Names!AS25)</f>
        <v>(+) Cashback expenses</v>
      </c>
      <c r="C25" s="161">
        <f t="shared" ref="C25:C26" si="45">C11</f>
        <v>0</v>
      </c>
      <c r="D25" s="161">
        <f t="shared" ref="D25:AA25" si="46">D11</f>
        <v>59976</v>
      </c>
      <c r="E25" s="161">
        <f t="shared" si="46"/>
        <v>251363</v>
      </c>
      <c r="F25" s="161">
        <f t="shared" si="46"/>
        <v>321438</v>
      </c>
      <c r="G25" s="161">
        <f t="shared" si="46"/>
        <v>236482</v>
      </c>
      <c r="H25" s="161">
        <f t="shared" si="46"/>
        <v>360561.95250999997</v>
      </c>
      <c r="I25" s="161">
        <f t="shared" ref="I25" si="47">I11</f>
        <v>273207</v>
      </c>
      <c r="J25" s="160"/>
      <c r="K25" s="161">
        <f t="shared" si="46"/>
        <v>38482.660000000003</v>
      </c>
      <c r="L25" s="161">
        <f t="shared" si="46"/>
        <v>60184</v>
      </c>
      <c r="M25" s="161">
        <f t="shared" si="46"/>
        <v>65808</v>
      </c>
      <c r="N25" s="161">
        <f t="shared" si="46"/>
        <v>86888.34</v>
      </c>
      <c r="O25" s="161">
        <f t="shared" si="46"/>
        <v>82542</v>
      </c>
      <c r="P25" s="161">
        <f t="shared" si="46"/>
        <v>85250</v>
      </c>
      <c r="Q25" s="161">
        <f t="shared" si="46"/>
        <v>76420</v>
      </c>
      <c r="R25" s="161">
        <f t="shared" si="46"/>
        <v>77226</v>
      </c>
      <c r="S25" s="161">
        <f t="shared" si="46"/>
        <v>67268</v>
      </c>
      <c r="T25" s="161">
        <f t="shared" si="46"/>
        <v>58005</v>
      </c>
      <c r="U25" s="161">
        <f t="shared" si="46"/>
        <v>48391</v>
      </c>
      <c r="V25" s="161">
        <f t="shared" si="46"/>
        <v>62818</v>
      </c>
      <c r="W25" s="161">
        <f t="shared" si="46"/>
        <v>63381.686999999998</v>
      </c>
      <c r="X25" s="161">
        <f t="shared" si="46"/>
        <v>91044.550029999999</v>
      </c>
      <c r="Y25" s="161">
        <f t="shared" si="46"/>
        <v>104280.54006</v>
      </c>
      <c r="Z25" s="161">
        <f t="shared" si="46"/>
        <v>101855.17541999999</v>
      </c>
      <c r="AA25" s="161">
        <f t="shared" si="46"/>
        <v>68120</v>
      </c>
      <c r="AB25" s="161">
        <f t="shared" ref="AB25:AC25" si="48">AB11</f>
        <v>58376</v>
      </c>
      <c r="AC25" s="161">
        <f t="shared" si="48"/>
        <v>75042</v>
      </c>
      <c r="AD25" s="161">
        <f t="shared" ref="AD25:AE25" si="49">AD11</f>
        <v>71669</v>
      </c>
      <c r="AE25" s="161">
        <f t="shared" si="49"/>
        <v>54461</v>
      </c>
      <c r="AF25" s="160"/>
      <c r="AG25" s="376">
        <f t="shared" si="38"/>
        <v>-0.24010381057360919</v>
      </c>
      <c r="AH25" s="376">
        <f t="shared" si="39"/>
        <v>-0.20051379917792134</v>
      </c>
    </row>
    <row r="26" spans="2:36" ht="13" customHeight="1">
      <c r="B26" s="62" t="str">
        <f>IF('Summary | Sumário'!D$6=Names!B$3,Names!AR32,Names!AS32)</f>
        <v>(+) Inter Loop</v>
      </c>
      <c r="C26" s="160">
        <f t="shared" si="45"/>
        <v>0</v>
      </c>
      <c r="D26" s="160">
        <f t="shared" ref="D26:AA26" si="50">D12</f>
        <v>0</v>
      </c>
      <c r="E26" s="160">
        <f t="shared" si="50"/>
        <v>0</v>
      </c>
      <c r="F26" s="160">
        <f t="shared" si="50"/>
        <v>0</v>
      </c>
      <c r="G26" s="160">
        <f t="shared" si="50"/>
        <v>66571</v>
      </c>
      <c r="H26" s="160">
        <f t="shared" si="50"/>
        <v>126233.79137000001</v>
      </c>
      <c r="I26" s="160">
        <f t="shared" ref="I26" si="51">I12</f>
        <v>165404</v>
      </c>
      <c r="J26" s="160"/>
      <c r="K26" s="160">
        <f t="shared" si="50"/>
        <v>0</v>
      </c>
      <c r="L26" s="160">
        <f t="shared" si="50"/>
        <v>0</v>
      </c>
      <c r="M26" s="160">
        <f t="shared" si="50"/>
        <v>0</v>
      </c>
      <c r="N26" s="160">
        <f>N12</f>
        <v>0</v>
      </c>
      <c r="O26" s="160">
        <f t="shared" si="50"/>
        <v>0</v>
      </c>
      <c r="P26" s="160">
        <f t="shared" si="50"/>
        <v>0</v>
      </c>
      <c r="Q26" s="160">
        <f t="shared" si="50"/>
        <v>0</v>
      </c>
      <c r="R26" s="160">
        <f t="shared" si="50"/>
        <v>0</v>
      </c>
      <c r="S26" s="160">
        <f t="shared" si="50"/>
        <v>0</v>
      </c>
      <c r="T26" s="160">
        <f t="shared" si="50"/>
        <v>6574</v>
      </c>
      <c r="U26" s="160">
        <f t="shared" si="50"/>
        <v>26910</v>
      </c>
      <c r="V26" s="160">
        <f t="shared" si="50"/>
        <v>33087</v>
      </c>
      <c r="W26" s="160">
        <f t="shared" si="50"/>
        <v>30086.383590000005</v>
      </c>
      <c r="X26" s="160">
        <f t="shared" si="50"/>
        <v>28632.017450000003</v>
      </c>
      <c r="Y26" s="160">
        <f t="shared" si="50"/>
        <v>30458.598399999999</v>
      </c>
      <c r="Z26" s="160">
        <f t="shared" si="50"/>
        <v>37056.791929999992</v>
      </c>
      <c r="AA26" s="160">
        <f t="shared" si="50"/>
        <v>35976</v>
      </c>
      <c r="AB26" s="160">
        <f t="shared" ref="AB26:AC26" si="52">AB12</f>
        <v>38534</v>
      </c>
      <c r="AC26" s="160">
        <f t="shared" si="52"/>
        <v>38856</v>
      </c>
      <c r="AD26" s="160">
        <f t="shared" ref="AD26:AE26" si="53">AD12</f>
        <v>52038</v>
      </c>
      <c r="AE26" s="160">
        <f t="shared" si="53"/>
        <v>53485</v>
      </c>
      <c r="AF26" s="160"/>
      <c r="AG26" s="375">
        <f t="shared" si="38"/>
        <v>2.7806602867135544E-2</v>
      </c>
      <c r="AH26" s="375">
        <f t="shared" si="39"/>
        <v>0.48668556815654873</v>
      </c>
    </row>
    <row r="27" spans="2:36" ht="13" customHeight="1">
      <c r="B27" s="80" t="str">
        <f>IF('Summary | Sumário'!D$6=Names!B$3,Names!AR26,Names!AS26)</f>
        <v>Interest expenses</v>
      </c>
      <c r="C27" s="161">
        <v>-256717</v>
      </c>
      <c r="D27" s="161">
        <v>-184335</v>
      </c>
      <c r="E27" s="161">
        <v>-543242</v>
      </c>
      <c r="F27" s="161">
        <v>-1972850</v>
      </c>
      <c r="G27" s="161">
        <v>-2887573</v>
      </c>
      <c r="H27" s="161">
        <v>-3311638.4190579997</v>
      </c>
      <c r="I27" s="161">
        <v>-5977127</v>
      </c>
      <c r="J27" s="160"/>
      <c r="K27" s="161">
        <v>-65559</v>
      </c>
      <c r="L27" s="161">
        <v>-86261</v>
      </c>
      <c r="M27" s="161">
        <v>-138587</v>
      </c>
      <c r="N27" s="161">
        <v>-252835</v>
      </c>
      <c r="O27" s="161">
        <v>-336771</v>
      </c>
      <c r="P27" s="161">
        <v>-465041</v>
      </c>
      <c r="Q27" s="161">
        <v>-579678</v>
      </c>
      <c r="R27" s="161">
        <v>-591360</v>
      </c>
      <c r="S27" s="161">
        <v>-672771</v>
      </c>
      <c r="T27" s="161">
        <v>-692206</v>
      </c>
      <c r="U27" s="161">
        <v>-770398</v>
      </c>
      <c r="V27" s="161">
        <v>-752198.00500000012</v>
      </c>
      <c r="W27" s="161">
        <v>-762246.89030000009</v>
      </c>
      <c r="X27" s="161">
        <v>-772642.60900000005</v>
      </c>
      <c r="Y27" s="161">
        <v>-835616.71799999999</v>
      </c>
      <c r="Z27" s="161">
        <v>-941132.20175799984</v>
      </c>
      <c r="AA27" s="161">
        <v>-1179020</v>
      </c>
      <c r="AB27" s="161">
        <v>-1423958</v>
      </c>
      <c r="AC27" s="161">
        <v>-1653759</v>
      </c>
      <c r="AD27" s="161">
        <v>-1720390</v>
      </c>
      <c r="AE27" s="161">
        <v>-1751480</v>
      </c>
      <c r="AF27" s="160"/>
      <c r="AG27" s="376">
        <f t="shared" si="38"/>
        <v>1.8071483791465948E-2</v>
      </c>
      <c r="AH27" s="376">
        <f t="shared" si="39"/>
        <v>0.48553883733948533</v>
      </c>
    </row>
    <row r="28" spans="2:36" ht="13" customHeight="1">
      <c r="B28" s="50" t="str">
        <f>IF('Summary | Sumário'!D$6=Names!B$3,Names!AR27,Names!AS27)</f>
        <v>(÷) Average active clients</v>
      </c>
      <c r="C28" s="164">
        <f>C13</f>
        <v>2282.6979999999999</v>
      </c>
      <c r="D28" s="164">
        <f t="shared" ref="D28:AA28" si="54">D13</f>
        <v>3767.4889999999996</v>
      </c>
      <c r="E28" s="164">
        <f t="shared" si="54"/>
        <v>7039.3045000000002</v>
      </c>
      <c r="F28" s="164">
        <f t="shared" si="54"/>
        <v>10705.3665</v>
      </c>
      <c r="G28" s="164">
        <f t="shared" si="54"/>
        <v>14494.899000000001</v>
      </c>
      <c r="H28" s="164">
        <f t="shared" si="54"/>
        <v>18483.565000000002</v>
      </c>
      <c r="I28" s="164">
        <f t="shared" ref="I28" si="55">I13</f>
        <v>22773.1165</v>
      </c>
      <c r="J28" s="164"/>
      <c r="K28" s="164">
        <f t="shared" si="54"/>
        <v>4207.674</v>
      </c>
      <c r="L28" s="164">
        <f t="shared" si="54"/>
        <v>6597.8119999999999</v>
      </c>
      <c r="M28" s="164">
        <f t="shared" si="54"/>
        <v>7514.7129999999997</v>
      </c>
      <c r="N28" s="164">
        <f t="shared" si="54"/>
        <v>8396.3904999999995</v>
      </c>
      <c r="O28" s="164">
        <f t="shared" si="54"/>
        <v>9358.8734999999997</v>
      </c>
      <c r="P28" s="164">
        <f t="shared" si="54"/>
        <v>10303.8135</v>
      </c>
      <c r="Q28" s="164">
        <f t="shared" si="54"/>
        <v>11182.7415</v>
      </c>
      <c r="R28" s="164">
        <f t="shared" si="54"/>
        <v>12116.839</v>
      </c>
      <c r="S28" s="164">
        <f t="shared" si="54"/>
        <v>13062.486000000001</v>
      </c>
      <c r="T28" s="164">
        <f t="shared" si="54"/>
        <v>14017.737499999999</v>
      </c>
      <c r="U28" s="164">
        <f t="shared" si="54"/>
        <v>14984.0635</v>
      </c>
      <c r="V28" s="164">
        <f t="shared" si="54"/>
        <v>15939.307000000001</v>
      </c>
      <c r="W28" s="164">
        <f t="shared" si="54"/>
        <v>16909.548000000003</v>
      </c>
      <c r="X28" s="164">
        <f t="shared" si="54"/>
        <v>17907.845500000003</v>
      </c>
      <c r="Y28" s="164">
        <f t="shared" si="54"/>
        <v>18970.246500000001</v>
      </c>
      <c r="Z28" s="164">
        <f t="shared" si="54"/>
        <v>20050.120000000003</v>
      </c>
      <c r="AA28" s="164">
        <f t="shared" si="54"/>
        <v>21070.289000000001</v>
      </c>
      <c r="AB28" s="164">
        <f t="shared" ref="AB28:AC28" si="56">AB13</f>
        <v>22144.881999999998</v>
      </c>
      <c r="AC28" s="164">
        <f t="shared" si="56"/>
        <v>23318.665999999997</v>
      </c>
      <c r="AD28" s="164">
        <f t="shared" ref="AD28:AE28" si="57">AD13</f>
        <v>24455.4535</v>
      </c>
      <c r="AE28" s="164">
        <f t="shared" si="57"/>
        <v>25396.883000000002</v>
      </c>
      <c r="AF28" s="164"/>
      <c r="AG28" s="345">
        <f t="shared" si="38"/>
        <v>3.8495687679641843E-2</v>
      </c>
      <c r="AH28" s="345">
        <f t="shared" si="39"/>
        <v>0.205340989864923</v>
      </c>
    </row>
    <row r="29" spans="2:36" ht="13" customHeight="1">
      <c r="B29" s="59" t="str">
        <f>IF('Summary | Sumário'!D$6=Names!B$3,Names!AR28,Names!AS28)</f>
        <v>Active clients</v>
      </c>
      <c r="C29" s="159">
        <f>C14</f>
        <v>2282.6979999999999</v>
      </c>
      <c r="D29" s="159">
        <f t="shared" ref="D29:AA29" si="58">D14</f>
        <v>5252.28</v>
      </c>
      <c r="E29" s="159">
        <f t="shared" si="58"/>
        <v>8826.3289999999997</v>
      </c>
      <c r="F29" s="159">
        <f t="shared" si="58"/>
        <v>12584.404</v>
      </c>
      <c r="G29" s="159">
        <f t="shared" si="58"/>
        <v>16405.394</v>
      </c>
      <c r="H29" s="159">
        <f t="shared" si="58"/>
        <v>20561.736000000001</v>
      </c>
      <c r="I29" s="159">
        <f t="shared" ref="I29" si="59">I14</f>
        <v>24984.496999999999</v>
      </c>
      <c r="J29" s="164"/>
      <c r="K29" s="159">
        <f t="shared" si="58"/>
        <v>6132.65</v>
      </c>
      <c r="L29" s="159">
        <f t="shared" si="58"/>
        <v>7062.9740000000002</v>
      </c>
      <c r="M29" s="159">
        <f t="shared" si="58"/>
        <v>7966.4520000000002</v>
      </c>
      <c r="N29" s="159">
        <f t="shared" si="58"/>
        <v>8826.3289999999997</v>
      </c>
      <c r="O29" s="159">
        <f t="shared" si="58"/>
        <v>9891.4179999999997</v>
      </c>
      <c r="P29" s="159">
        <f t="shared" si="58"/>
        <v>10716.209000000001</v>
      </c>
      <c r="Q29" s="159">
        <f t="shared" si="58"/>
        <v>11649.273999999999</v>
      </c>
      <c r="R29" s="159">
        <f t="shared" si="58"/>
        <v>12584.404</v>
      </c>
      <c r="S29" s="159">
        <f t="shared" si="58"/>
        <v>13540.567999999999</v>
      </c>
      <c r="T29" s="159">
        <f t="shared" si="58"/>
        <v>14494.906999999999</v>
      </c>
      <c r="U29" s="159">
        <f t="shared" si="58"/>
        <v>15473.22</v>
      </c>
      <c r="V29" s="159">
        <f t="shared" si="58"/>
        <v>16405.394</v>
      </c>
      <c r="W29" s="159">
        <f t="shared" si="58"/>
        <v>17413.702000000001</v>
      </c>
      <c r="X29" s="159">
        <f t="shared" si="58"/>
        <v>18401.989000000001</v>
      </c>
      <c r="Y29" s="159">
        <f t="shared" si="58"/>
        <v>19538.504000000001</v>
      </c>
      <c r="Z29" s="159">
        <f t="shared" si="58"/>
        <v>20561.736000000001</v>
      </c>
      <c r="AA29" s="159">
        <f t="shared" si="58"/>
        <v>21578.842000000001</v>
      </c>
      <c r="AB29" s="159">
        <f t="shared" ref="AB29:AC29" si="60">AB14</f>
        <v>22710.921999999999</v>
      </c>
      <c r="AC29" s="159">
        <f t="shared" si="60"/>
        <v>23926.41</v>
      </c>
      <c r="AD29" s="159">
        <f t="shared" ref="AD29:AE29" si="61">AD14</f>
        <v>24984.496999999999</v>
      </c>
      <c r="AE29" s="159">
        <f t="shared" si="61"/>
        <v>25809.269</v>
      </c>
      <c r="AF29" s="164"/>
      <c r="AG29" s="346">
        <f t="shared" si="38"/>
        <v>3.3011350998981559E-2</v>
      </c>
      <c r="AH29" s="346">
        <f t="shared" si="39"/>
        <v>0.19604513532283141</v>
      </c>
    </row>
    <row r="30" spans="2:36" ht="13" customHeight="1">
      <c r="B30" s="54" t="str">
        <f>IF('Summary | Sumário'!D$6=Names!B$3,Names!AR29,Names!AS29)</f>
        <v>Active clients in the previus period</v>
      </c>
      <c r="C30" s="164">
        <f>C15</f>
        <v>2282.6979999999999</v>
      </c>
      <c r="D30" s="164">
        <f t="shared" ref="D30:AA30" si="62">D15</f>
        <v>2282.6979999999999</v>
      </c>
      <c r="E30" s="164">
        <f t="shared" si="62"/>
        <v>5252.28</v>
      </c>
      <c r="F30" s="164">
        <f t="shared" si="62"/>
        <v>8826.3289999999997</v>
      </c>
      <c r="G30" s="164">
        <f t="shared" si="62"/>
        <v>12584.404</v>
      </c>
      <c r="H30" s="164">
        <f t="shared" si="62"/>
        <v>16405.394</v>
      </c>
      <c r="I30" s="164">
        <f t="shared" ref="I30" si="63">I15</f>
        <v>20561.736000000001</v>
      </c>
      <c r="J30" s="164"/>
      <c r="K30" s="164">
        <f t="shared" si="62"/>
        <v>2282.6979999999999</v>
      </c>
      <c r="L30" s="164">
        <f t="shared" si="62"/>
        <v>6132.65</v>
      </c>
      <c r="M30" s="164">
        <f t="shared" si="62"/>
        <v>7062.9740000000002</v>
      </c>
      <c r="N30" s="164">
        <f t="shared" si="62"/>
        <v>7966.4520000000002</v>
      </c>
      <c r="O30" s="164">
        <f t="shared" si="62"/>
        <v>8826.3289999999997</v>
      </c>
      <c r="P30" s="164">
        <f t="shared" si="62"/>
        <v>9891.4179999999997</v>
      </c>
      <c r="Q30" s="164">
        <f t="shared" si="62"/>
        <v>10716.209000000001</v>
      </c>
      <c r="R30" s="164">
        <f t="shared" si="62"/>
        <v>11649.273999999999</v>
      </c>
      <c r="S30" s="164">
        <f t="shared" si="62"/>
        <v>12584.404</v>
      </c>
      <c r="T30" s="164">
        <f t="shared" si="62"/>
        <v>13540.567999999999</v>
      </c>
      <c r="U30" s="164">
        <f t="shared" si="62"/>
        <v>14494.906999999999</v>
      </c>
      <c r="V30" s="164">
        <f t="shared" si="62"/>
        <v>15473.22</v>
      </c>
      <c r="W30" s="164">
        <f t="shared" si="62"/>
        <v>16405.394</v>
      </c>
      <c r="X30" s="164">
        <f t="shared" si="62"/>
        <v>17413.702000000001</v>
      </c>
      <c r="Y30" s="164">
        <f t="shared" si="62"/>
        <v>18401.989000000001</v>
      </c>
      <c r="Z30" s="164">
        <f t="shared" si="62"/>
        <v>19538.504000000001</v>
      </c>
      <c r="AA30" s="164">
        <f t="shared" si="62"/>
        <v>20561.736000000001</v>
      </c>
      <c r="AB30" s="164">
        <f t="shared" ref="AB30:AC30" si="64">AB15</f>
        <v>21578.842000000001</v>
      </c>
      <c r="AC30" s="164">
        <f t="shared" si="64"/>
        <v>22710.921999999999</v>
      </c>
      <c r="AD30" s="164">
        <f t="shared" ref="AD30:AE30" si="65">AD15</f>
        <v>23926.41</v>
      </c>
      <c r="AE30" s="164">
        <f t="shared" si="65"/>
        <v>24984.496999999999</v>
      </c>
      <c r="AF30" s="164"/>
      <c r="AG30" s="345">
        <f t="shared" si="38"/>
        <v>4.4222555744886094E-2</v>
      </c>
      <c r="AH30" s="345">
        <f t="shared" si="39"/>
        <v>0.21509667277120958</v>
      </c>
    </row>
    <row r="31" spans="2:36" ht="13" customHeight="1">
      <c r="B31" s="78" t="str">
        <f>IF('Summary | Sumário'!D$6=Names!B$3,Names!AR30,Names!AS30)</f>
        <v>Net ARPAC (R$)</v>
      </c>
      <c r="C31" s="166">
        <f t="shared" ref="C31" si="66">C19/C28</f>
        <v>28.068065362420551</v>
      </c>
      <c r="D31" s="166">
        <f t="shared" ref="D31:AA31" si="67">D19/D28</f>
        <v>25.281336702420809</v>
      </c>
      <c r="E31" s="166">
        <f t="shared" si="67"/>
        <v>30.465638946764312</v>
      </c>
      <c r="F31" s="166">
        <f t="shared" si="67"/>
        <v>31.241092843481812</v>
      </c>
      <c r="G31" s="166">
        <f t="shared" si="67"/>
        <v>29.845051007254341</v>
      </c>
      <c r="H31" s="166">
        <f t="shared" si="67"/>
        <v>31.696587177552658</v>
      </c>
      <c r="I31" s="166">
        <f t="shared" ref="I31" si="68">I19/I28</f>
        <v>33.01316195933628</v>
      </c>
      <c r="J31" s="322"/>
      <c r="K31" s="166">
        <f t="shared" si="67"/>
        <v>37.909147191536221</v>
      </c>
      <c r="L31" s="166">
        <f t="shared" si="67"/>
        <v>27.758613865728016</v>
      </c>
      <c r="M31" s="166">
        <f t="shared" si="67"/>
        <v>30.994658079423658</v>
      </c>
      <c r="N31" s="166">
        <f t="shared" si="67"/>
        <v>33.616337321773372</v>
      </c>
      <c r="O31" s="166">
        <f t="shared" si="67"/>
        <v>33.64290282015957</v>
      </c>
      <c r="P31" s="166">
        <f t="shared" si="67"/>
        <v>32.22833665742624</v>
      </c>
      <c r="Q31" s="166">
        <f t="shared" si="67"/>
        <v>28.619322819900649</v>
      </c>
      <c r="R31" s="166">
        <f t="shared" si="67"/>
        <v>30.603069331861221</v>
      </c>
      <c r="S31" s="166">
        <f t="shared" si="67"/>
        <v>28.760735743563668</v>
      </c>
      <c r="T31" s="166">
        <f t="shared" si="67"/>
        <v>29.637117497266114</v>
      </c>
      <c r="U31" s="166">
        <f t="shared" si="67"/>
        <v>30.545065612319828</v>
      </c>
      <c r="V31" s="166">
        <f t="shared" si="67"/>
        <v>30.213523142505508</v>
      </c>
      <c r="W31" s="166">
        <f t="shared" si="67"/>
        <v>30.129505520395423</v>
      </c>
      <c r="X31" s="166">
        <f t="shared" si="67"/>
        <v>30.36316098666606</v>
      </c>
      <c r="Y31" s="166">
        <f t="shared" si="67"/>
        <v>32.481723260924625</v>
      </c>
      <c r="Z31" s="166">
        <f t="shared" si="67"/>
        <v>33.618866356163508</v>
      </c>
      <c r="AA31" s="166">
        <f t="shared" si="67"/>
        <v>31.366563916929024</v>
      </c>
      <c r="AB31" s="166">
        <f t="shared" ref="AB31:AC31" si="69">AB19/AB28</f>
        <v>32.257105727634944</v>
      </c>
      <c r="AC31" s="166">
        <f t="shared" si="69"/>
        <v>33.204743930606213</v>
      </c>
      <c r="AD31" s="166">
        <f t="shared" ref="AD31:AE31" si="70">AD19/AD28</f>
        <v>35.073061856462132</v>
      </c>
      <c r="AE31" s="166">
        <f t="shared" si="70"/>
        <v>34.054992759019548</v>
      </c>
      <c r="AF31" s="322"/>
      <c r="AG31" s="378">
        <f t="shared" si="38"/>
        <v>-2.9027094971322165E-2</v>
      </c>
      <c r="AH31" s="378">
        <f t="shared" si="39"/>
        <v>8.571002068350686E-2</v>
      </c>
    </row>
    <row r="32" spans="2:36" ht="13" customHeight="1">
      <c r="B32" s="65"/>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row>
    <row r="33" spans="1:39" ht="13" customHeight="1">
      <c r="B33" s="7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row>
    <row r="34" spans="1:39" ht="13" customHeight="1">
      <c r="B34" s="66"/>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row>
    <row r="35" spans="1:39" ht="13" customHeight="1">
      <c r="B35" s="64"/>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row>
    <row r="36" spans="1:39" ht="13" customHeight="1">
      <c r="B36" s="14"/>
    </row>
    <row r="38" spans="1:39" s="121" customFormat="1" ht="13" customHeight="1">
      <c r="A38" s="120"/>
      <c r="B38" s="47"/>
      <c r="AI38" s="120"/>
      <c r="AJ38" s="120"/>
      <c r="AK38" s="120"/>
      <c r="AL38" s="120"/>
      <c r="AM38" s="120"/>
    </row>
    <row r="39" spans="1:39" ht="13" customHeight="1">
      <c r="X39" s="180"/>
      <c r="Y39" s="180"/>
      <c r="Z39" s="180"/>
      <c r="AA39" s="180"/>
      <c r="AB39" s="180"/>
      <c r="AC39" s="180"/>
      <c r="AD39" s="180"/>
      <c r="AE39" s="180"/>
      <c r="AG39" s="486"/>
      <c r="AH39" s="486"/>
      <c r="AI39" s="153"/>
      <c r="AJ39" s="487"/>
      <c r="AL39" s="488"/>
    </row>
    <row r="40" spans="1:39" ht="13" customHeight="1">
      <c r="X40" s="180"/>
      <c r="Y40" s="180"/>
      <c r="Z40" s="180"/>
      <c r="AA40" s="180"/>
      <c r="AB40" s="180"/>
      <c r="AC40" s="180"/>
      <c r="AD40" s="180"/>
      <c r="AE40" s="180"/>
      <c r="AG40" s="486"/>
      <c r="AH40" s="486"/>
      <c r="AI40" s="153"/>
      <c r="AJ40" s="487"/>
    </row>
    <row r="41" spans="1:39" ht="13" customHeight="1">
      <c r="W41" s="180"/>
      <c r="X41" s="180"/>
      <c r="Y41" s="180"/>
      <c r="Z41" s="180"/>
      <c r="AA41" s="180"/>
      <c r="AB41" s="180"/>
      <c r="AC41" s="180"/>
      <c r="AD41" s="180"/>
      <c r="AE41" s="180"/>
      <c r="AJ41" s="487"/>
    </row>
    <row r="42" spans="1:39" ht="13" customHeight="1">
      <c r="W42" s="180"/>
      <c r="X42" s="180"/>
      <c r="Y42" s="180"/>
      <c r="Z42" s="180"/>
      <c r="AA42" s="180"/>
      <c r="AB42" s="180"/>
      <c r="AC42" s="180"/>
      <c r="AD42" s="180"/>
      <c r="AE42" s="180"/>
      <c r="AG42" s="486"/>
      <c r="AH42" s="486"/>
      <c r="AI42" s="153"/>
      <c r="AJ42" s="487"/>
    </row>
    <row r="43" spans="1:39" ht="13" customHeight="1">
      <c r="W43" s="180"/>
      <c r="X43" s="180"/>
      <c r="Y43" s="180"/>
      <c r="Z43" s="180"/>
      <c r="AA43" s="180"/>
      <c r="AB43" s="180"/>
      <c r="AC43" s="180"/>
      <c r="AD43" s="180"/>
      <c r="AE43" s="180"/>
      <c r="AJ43" s="487"/>
    </row>
    <row r="44" spans="1:39" ht="13" customHeight="1">
      <c r="X44" s="180"/>
      <c r="Y44" s="180"/>
      <c r="Z44" s="180"/>
      <c r="AA44" s="180"/>
      <c r="AB44" s="180"/>
      <c r="AC44" s="180"/>
      <c r="AD44" s="180"/>
      <c r="AE44" s="180"/>
      <c r="AG44" s="486"/>
      <c r="AH44" s="486"/>
      <c r="AI44" s="153"/>
      <c r="AJ44" s="487"/>
    </row>
    <row r="45" spans="1:39" ht="13" customHeight="1">
      <c r="AG45" s="486"/>
      <c r="AH45" s="486"/>
      <c r="AI45" s="153"/>
      <c r="AJ45" s="487"/>
    </row>
    <row r="46" spans="1:39" ht="13" customHeight="1">
      <c r="AJ46" s="487"/>
    </row>
    <row r="47" spans="1:39" ht="13" customHeight="1">
      <c r="AG47" s="486"/>
      <c r="AH47" s="486"/>
      <c r="AI47" s="153"/>
      <c r="AJ47" s="487"/>
    </row>
    <row r="48" spans="1:39" ht="13" customHeight="1">
      <c r="AG48" s="486"/>
      <c r="AH48" s="486"/>
      <c r="AI48" s="153"/>
      <c r="AJ48" s="487"/>
    </row>
    <row r="49" spans="35:37" ht="13" customHeight="1">
      <c r="AJ49" s="487"/>
    </row>
    <row r="54" spans="35:37" ht="13" customHeight="1">
      <c r="AI54" s="484"/>
    </row>
    <row r="55" spans="35:37" ht="13" customHeight="1">
      <c r="AI55" s="484"/>
      <c r="AK55" s="217"/>
    </row>
    <row r="56" spans="35:37" ht="13" customHeight="1">
      <c r="AI56" s="484"/>
      <c r="AK56" s="485"/>
    </row>
    <row r="57" spans="35:37" ht="13" customHeight="1">
      <c r="AK57" s="485"/>
    </row>
    <row r="58" spans="35:37" ht="13" customHeight="1">
      <c r="AK58" s="485"/>
    </row>
  </sheetData>
  <sheetProtection algorithmName="SHA-512" hashValue="S3CQhbUZdyTT/Z+xL0E9eGIL0cBXi2UCRqSF9rQtgOFaljxUFmQa1arlpaUXGrW2dZKrIbOHF6W+fzWXxD4//Q==" saltValue="lSU0UcU7L8agcNiQC5JWc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D6E0A-FF71-1D4C-8C0E-32C40F189DDC}">
  <sheetPr codeName="Sheet19">
    <tabColor rgb="FFF7CAB0"/>
  </sheetPr>
  <dimension ref="A1:AL22"/>
  <sheetViews>
    <sheetView showGridLines="0" zoomScaleNormal="100" zoomScaleSheetLayoutView="5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ustomWidth="1"/>
    <col min="10" max="10" width="2.83203125" style="120" customWidth="1"/>
    <col min="11" max="31" width="10.83203125" style="120" customWidth="1"/>
    <col min="32" max="32" width="5.83203125" style="120" customWidth="1"/>
    <col min="33" max="34" width="10.83203125" style="120" customWidth="1"/>
    <col min="35" max="16384" width="10.83203125" style="120"/>
  </cols>
  <sheetData>
    <row r="1" spans="1:38" ht="13" customHeight="1">
      <c r="C1" s="121"/>
      <c r="D1" s="121"/>
      <c r="E1" s="121"/>
      <c r="F1" s="121"/>
      <c r="G1" s="121"/>
      <c r="H1" s="121"/>
      <c r="I1" s="121"/>
      <c r="K1" s="121"/>
      <c r="L1" s="121"/>
      <c r="M1" s="121"/>
      <c r="N1" s="121"/>
      <c r="O1" s="121"/>
      <c r="P1" s="121"/>
      <c r="Q1" s="121"/>
      <c r="R1" s="121"/>
      <c r="S1" s="121"/>
    </row>
    <row r="2" spans="1:38" s="9" customFormat="1" ht="13" customHeight="1">
      <c r="B2" s="255" t="str">
        <f>IF('Summary | Sumário'!D$6=Names!B$3,Names!AA1,Names!AB1)</f>
        <v>Funding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1:38" ht="13" customHeight="1">
      <c r="B3" s="13"/>
      <c r="C3" s="130"/>
      <c r="D3" s="130"/>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row>
    <row r="4" spans="1:38" ht="13" customHeight="1">
      <c r="A4" s="198"/>
      <c r="B4" s="3" t="str">
        <f>IF('Summary | Sumário'!D$6=Names!B$3,Names!AA37,Names!AB10)</f>
        <v>All-in cost of funding</v>
      </c>
      <c r="AI4" s="206"/>
    </row>
    <row r="5" spans="1:38" ht="13" customHeight="1">
      <c r="A5" s="198"/>
      <c r="B5" s="259" t="str">
        <f>IF('Summary | Sumário'!D$6=Names!B$3,Names!AA11,Names!AB11)</f>
        <v>Annualized interest expenses</v>
      </c>
      <c r="C5" s="277">
        <f>C6</f>
        <v>256717</v>
      </c>
      <c r="D5" s="277">
        <f t="shared" ref="D5:F5" si="0">D6</f>
        <v>184335</v>
      </c>
      <c r="E5" s="277">
        <f t="shared" si="0"/>
        <v>543242</v>
      </c>
      <c r="F5" s="277">
        <f t="shared" si="0"/>
        <v>1972850</v>
      </c>
      <c r="G5" s="277">
        <f>G6</f>
        <v>2887573</v>
      </c>
      <c r="H5" s="277">
        <f>H6</f>
        <v>3311638.4190579997</v>
      </c>
      <c r="I5" s="277">
        <f>I6</f>
        <v>5977127</v>
      </c>
      <c r="J5" s="164"/>
      <c r="K5" s="277">
        <f>K6*4</f>
        <v>262236</v>
      </c>
      <c r="L5" s="277">
        <f t="shared" ref="L5:AB5" si="1">L6*4</f>
        <v>345044</v>
      </c>
      <c r="M5" s="277">
        <f t="shared" si="1"/>
        <v>554348</v>
      </c>
      <c r="N5" s="277">
        <f t="shared" si="1"/>
        <v>1011340</v>
      </c>
      <c r="O5" s="277">
        <f t="shared" si="1"/>
        <v>1347084</v>
      </c>
      <c r="P5" s="277">
        <f t="shared" si="1"/>
        <v>1860164</v>
      </c>
      <c r="Q5" s="277">
        <f t="shared" si="1"/>
        <v>2318712</v>
      </c>
      <c r="R5" s="277">
        <f t="shared" si="1"/>
        <v>2365440</v>
      </c>
      <c r="S5" s="277">
        <f t="shared" si="1"/>
        <v>2691084</v>
      </c>
      <c r="T5" s="277">
        <f t="shared" si="1"/>
        <v>2768824</v>
      </c>
      <c r="U5" s="277">
        <f t="shared" si="1"/>
        <v>3081592</v>
      </c>
      <c r="V5" s="277">
        <f t="shared" si="1"/>
        <v>3008792.0200000005</v>
      </c>
      <c r="W5" s="277">
        <f t="shared" si="1"/>
        <v>3048987.5612000003</v>
      </c>
      <c r="X5" s="277">
        <f t="shared" si="1"/>
        <v>3090570.4360000002</v>
      </c>
      <c r="Y5" s="277">
        <f t="shared" si="1"/>
        <v>3342466.872</v>
      </c>
      <c r="Z5" s="277">
        <f t="shared" si="1"/>
        <v>3764528.8070319993</v>
      </c>
      <c r="AA5" s="277">
        <f t="shared" si="1"/>
        <v>4716080</v>
      </c>
      <c r="AB5" s="277">
        <f t="shared" si="1"/>
        <v>5695832</v>
      </c>
      <c r="AC5" s="277">
        <f>AC6*4</f>
        <v>6615036</v>
      </c>
      <c r="AD5" s="277">
        <f>AD6*4</f>
        <v>6881560</v>
      </c>
      <c r="AE5" s="277">
        <f>AE6*4</f>
        <v>7005920</v>
      </c>
      <c r="AF5" s="164"/>
      <c r="AG5" s="344">
        <f>AE5/AD5-1</f>
        <v>1.8071483791465948E-2</v>
      </c>
      <c r="AH5" s="344">
        <f>AE5/AA5-1</f>
        <v>0.48553883733948533</v>
      </c>
      <c r="AI5" s="206"/>
    </row>
    <row r="6" spans="1:38" ht="13" customHeight="1">
      <c r="A6" s="198"/>
      <c r="B6" s="111" t="str">
        <f>IF('Summary | Sumário'!D$6=Names!B$3,Names!AA12,Names!AB12)</f>
        <v>Interest expenses</v>
      </c>
      <c r="C6" s="164">
        <v>256717</v>
      </c>
      <c r="D6" s="164">
        <v>184335</v>
      </c>
      <c r="E6" s="164">
        <v>543242</v>
      </c>
      <c r="F6" s="164">
        <v>1972850</v>
      </c>
      <c r="G6" s="164">
        <v>2887573</v>
      </c>
      <c r="H6" s="164">
        <v>3311638.4190579997</v>
      </c>
      <c r="I6" s="164">
        <v>5977127</v>
      </c>
      <c r="J6" s="164"/>
      <c r="K6" s="164">
        <v>65559</v>
      </c>
      <c r="L6" s="164">
        <v>86261</v>
      </c>
      <c r="M6" s="164">
        <v>138587</v>
      </c>
      <c r="N6" s="164">
        <v>252835</v>
      </c>
      <c r="O6" s="164">
        <v>336771</v>
      </c>
      <c r="P6" s="164">
        <v>465041</v>
      </c>
      <c r="Q6" s="164">
        <v>579678</v>
      </c>
      <c r="R6" s="164">
        <v>591360</v>
      </c>
      <c r="S6" s="164">
        <v>672771</v>
      </c>
      <c r="T6" s="164">
        <v>692206</v>
      </c>
      <c r="U6" s="164">
        <v>770398</v>
      </c>
      <c r="V6" s="164">
        <v>752198.00500000012</v>
      </c>
      <c r="W6" s="164">
        <v>762246.89030000009</v>
      </c>
      <c r="X6" s="164">
        <v>772642.60900000005</v>
      </c>
      <c r="Y6" s="164">
        <v>835616.71799999999</v>
      </c>
      <c r="Z6" s="164">
        <v>941132.20175799984</v>
      </c>
      <c r="AA6" s="164">
        <v>1179020</v>
      </c>
      <c r="AB6" s="164">
        <v>1423958</v>
      </c>
      <c r="AC6" s="164">
        <v>1653759</v>
      </c>
      <c r="AD6" s="164">
        <v>1720390</v>
      </c>
      <c r="AE6" s="164">
        <v>1751480</v>
      </c>
      <c r="AF6" s="164"/>
      <c r="AG6" s="345">
        <f>AE6/AD6-1</f>
        <v>1.8071483791465948E-2</v>
      </c>
      <c r="AH6" s="345">
        <f>AE6/AA6-1</f>
        <v>0.48553883733948533</v>
      </c>
      <c r="AI6" s="206"/>
    </row>
    <row r="7" spans="1:38" ht="13" customHeight="1">
      <c r="A7" s="198"/>
      <c r="B7" s="21" t="str">
        <f>IF('Summary | Sumário'!D$6=Names!B$3,Names!AA13,Names!AB13)</f>
        <v>(÷) Average funding</v>
      </c>
      <c r="C7" s="208">
        <f>AVERAGE(C8:C9)</f>
        <v>6974552</v>
      </c>
      <c r="D7" s="208">
        <f t="shared" ref="D7:AA7" si="2">AVERAGE(D8:D9)</f>
        <v>10635449.5</v>
      </c>
      <c r="E7" s="208">
        <f t="shared" si="2"/>
        <v>18670032</v>
      </c>
      <c r="F7" s="208">
        <f t="shared" si="2"/>
        <v>27780267.5</v>
      </c>
      <c r="G7" s="208">
        <f t="shared" si="2"/>
        <v>38014925</v>
      </c>
      <c r="H7" s="208">
        <f t="shared" si="2"/>
        <v>49289164.19822</v>
      </c>
      <c r="I7" s="208">
        <f t="shared" ref="I7" si="3">AVERAGE(I8:I9)</f>
        <v>63992451.19822</v>
      </c>
      <c r="J7" s="207"/>
      <c r="K7" s="208">
        <f t="shared" si="2"/>
        <v>14818087.006689999</v>
      </c>
      <c r="L7" s="208">
        <f t="shared" si="2"/>
        <v>16731200.244014997</v>
      </c>
      <c r="M7" s="208">
        <f t="shared" si="2"/>
        <v>19641228.496824998</v>
      </c>
      <c r="N7" s="208">
        <f t="shared" si="2"/>
        <v>22101800.259500001</v>
      </c>
      <c r="O7" s="208">
        <f t="shared" si="2"/>
        <v>23894688</v>
      </c>
      <c r="P7" s="208">
        <f t="shared" si="2"/>
        <v>26211898</v>
      </c>
      <c r="Q7" s="208">
        <f t="shared" si="2"/>
        <v>29183363</v>
      </c>
      <c r="R7" s="208">
        <f t="shared" si="2"/>
        <v>31602703.5</v>
      </c>
      <c r="S7" s="208">
        <f t="shared" si="2"/>
        <v>33024751.5</v>
      </c>
      <c r="T7" s="208">
        <f t="shared" si="2"/>
        <v>34598886.020369999</v>
      </c>
      <c r="U7" s="208">
        <f t="shared" si="2"/>
        <v>37618356.800609998</v>
      </c>
      <c r="V7" s="208">
        <f t="shared" si="2"/>
        <v>41542329.280239999</v>
      </c>
      <c r="W7" s="208">
        <f t="shared" si="2"/>
        <v>43648306.502857968</v>
      </c>
      <c r="X7" s="208">
        <f t="shared" si="2"/>
        <v>45771591.04785797</v>
      </c>
      <c r="Y7" s="208">
        <f t="shared" si="2"/>
        <v>49013724.09087</v>
      </c>
      <c r="Z7" s="208">
        <f t="shared" si="2"/>
        <v>52666571.744089998</v>
      </c>
      <c r="AA7" s="208">
        <f t="shared" si="2"/>
        <v>57069702.19822</v>
      </c>
      <c r="AB7" s="208">
        <f t="shared" ref="AB7" si="4">AVERAGE(AB8:AB9)</f>
        <v>60657909</v>
      </c>
      <c r="AC7" s="208">
        <f>AVERAGE(AC8:AC9)</f>
        <v>65095187</v>
      </c>
      <c r="AD7" s="208">
        <f>AVERAGE(AD8:AD9)</f>
        <v>70434135</v>
      </c>
      <c r="AE7" s="208">
        <f>AVERAGE(AE8:AE9)</f>
        <v>73492769.5</v>
      </c>
      <c r="AF7" s="207"/>
      <c r="AG7" s="350">
        <f>AE7/AD7-1</f>
        <v>4.3425456989001132E-2</v>
      </c>
      <c r="AH7" s="350">
        <f>AE7/AA7-1</f>
        <v>0.28777208692517475</v>
      </c>
      <c r="AI7" s="206"/>
    </row>
    <row r="8" spans="1:38" ht="13" customHeight="1">
      <c r="A8" s="198"/>
      <c r="B8" s="111" t="str">
        <f>IF('Summary | Sumário'!D$6=Names!B$3,Names!AA14,Names!AB14)</f>
        <v>Total funding</v>
      </c>
      <c r="C8" s="207">
        <f>'4. Funding'!C15</f>
        <v>6974552</v>
      </c>
      <c r="D8" s="207">
        <f>'4. Funding'!D15</f>
        <v>14296347</v>
      </c>
      <c r="E8" s="207">
        <f>'4. Funding'!E15</f>
        <v>23043717</v>
      </c>
      <c r="F8" s="207">
        <f>'4. Funding'!F15</f>
        <v>32516818</v>
      </c>
      <c r="G8" s="207">
        <f>'4. Funding'!G15</f>
        <v>43513032</v>
      </c>
      <c r="H8" s="207">
        <f>'4. Funding'!H15</f>
        <v>55065296.396439999</v>
      </c>
      <c r="I8" s="207">
        <f>'4. Funding'!I15</f>
        <v>72919606</v>
      </c>
      <c r="J8" s="207"/>
      <c r="K8" s="207">
        <f>'4. Funding'!K15</f>
        <v>15339827.01338</v>
      </c>
      <c r="L8" s="207">
        <f>'4. Funding'!L15</f>
        <v>18122573.474649996</v>
      </c>
      <c r="M8" s="207">
        <f>'4. Funding'!M15</f>
        <v>21159883.519000001</v>
      </c>
      <c r="N8" s="207">
        <f>'4. Funding'!N15</f>
        <v>23043717</v>
      </c>
      <c r="O8" s="207">
        <f>'4. Funding'!O15</f>
        <v>24745659</v>
      </c>
      <c r="P8" s="207">
        <f>'4. Funding'!P15</f>
        <v>27678137</v>
      </c>
      <c r="Q8" s="207">
        <f>'4. Funding'!Q15</f>
        <v>30688589</v>
      </c>
      <c r="R8" s="207">
        <f>'4. Funding'!R15</f>
        <v>32516818</v>
      </c>
      <c r="S8" s="207">
        <f>'4. Funding'!S15</f>
        <v>33532685</v>
      </c>
      <c r="T8" s="207">
        <f>'4. Funding'!T15</f>
        <v>35665087.040739998</v>
      </c>
      <c r="U8" s="207">
        <f>'4. Funding'!U15</f>
        <v>39571626.560479999</v>
      </c>
      <c r="V8" s="207">
        <f>'4. Funding'!V15</f>
        <v>43513032</v>
      </c>
      <c r="W8" s="207">
        <f>'4. Funding'!W15</f>
        <v>43783581.005715944</v>
      </c>
      <c r="X8" s="207">
        <f>'4. Funding'!X15</f>
        <v>47759601.090000004</v>
      </c>
      <c r="Y8" s="207">
        <f>'4. Funding'!Y15</f>
        <v>50267847.091739997</v>
      </c>
      <c r="Z8" s="207">
        <f>'4. Funding'!Z15</f>
        <v>55065296.396439999</v>
      </c>
      <c r="AA8" s="207">
        <f>'4. Funding'!AA15</f>
        <v>59074108</v>
      </c>
      <c r="AB8" s="207">
        <f>'4. Funding'!AB15</f>
        <v>62241710</v>
      </c>
      <c r="AC8" s="207">
        <f>'4. Funding'!AC15</f>
        <v>67948664</v>
      </c>
      <c r="AD8" s="207">
        <f>'4. Funding'!AD15</f>
        <v>72919606</v>
      </c>
      <c r="AE8" s="207">
        <f>'4. Funding'!AE15</f>
        <v>74065933</v>
      </c>
      <c r="AF8" s="207"/>
      <c r="AG8" s="349">
        <f>AE8/AD8-1</f>
        <v>1.572042229630255E-2</v>
      </c>
      <c r="AH8" s="349">
        <f>AE8/AA8-1</f>
        <v>0.25377996397338753</v>
      </c>
      <c r="AI8" s="206"/>
    </row>
    <row r="9" spans="1:38" ht="13" customHeight="1">
      <c r="A9" s="198"/>
      <c r="B9" s="114" t="str">
        <f>IF('Summary | Sumário'!D$6=Names!B$3,Names!AA15,Names!AB15)</f>
        <v>Total funding in the previous period</v>
      </c>
      <c r="C9" s="208">
        <f>C8</f>
        <v>6974552</v>
      </c>
      <c r="D9" s="208">
        <f>C8</f>
        <v>6974552</v>
      </c>
      <c r="E9" s="208">
        <f t="shared" ref="E9:AE9" si="5">D8</f>
        <v>14296347</v>
      </c>
      <c r="F9" s="208">
        <f t="shared" si="5"/>
        <v>23043717</v>
      </c>
      <c r="G9" s="208">
        <f t="shared" si="5"/>
        <v>32516818</v>
      </c>
      <c r="H9" s="208">
        <f t="shared" si="5"/>
        <v>43513032</v>
      </c>
      <c r="I9" s="208">
        <f t="shared" si="5"/>
        <v>55065296.396439999</v>
      </c>
      <c r="J9" s="207"/>
      <c r="K9" s="208">
        <f>D8</f>
        <v>14296347</v>
      </c>
      <c r="L9" s="208">
        <f t="shared" si="5"/>
        <v>15339827.01338</v>
      </c>
      <c r="M9" s="208">
        <f t="shared" si="5"/>
        <v>18122573.474649996</v>
      </c>
      <c r="N9" s="208">
        <f t="shared" si="5"/>
        <v>21159883.519000001</v>
      </c>
      <c r="O9" s="208">
        <f t="shared" si="5"/>
        <v>23043717</v>
      </c>
      <c r="P9" s="208">
        <f t="shared" si="5"/>
        <v>24745659</v>
      </c>
      <c r="Q9" s="208">
        <f t="shared" si="5"/>
        <v>27678137</v>
      </c>
      <c r="R9" s="208">
        <f t="shared" si="5"/>
        <v>30688589</v>
      </c>
      <c r="S9" s="208">
        <f t="shared" si="5"/>
        <v>32516818</v>
      </c>
      <c r="T9" s="208">
        <f t="shared" si="5"/>
        <v>33532685</v>
      </c>
      <c r="U9" s="208">
        <f t="shared" si="5"/>
        <v>35665087.040739998</v>
      </c>
      <c r="V9" s="208">
        <f t="shared" si="5"/>
        <v>39571626.560479999</v>
      </c>
      <c r="W9" s="208">
        <f t="shared" si="5"/>
        <v>43513032</v>
      </c>
      <c r="X9" s="208">
        <f t="shared" si="5"/>
        <v>43783581.005715944</v>
      </c>
      <c r="Y9" s="208">
        <f t="shared" si="5"/>
        <v>47759601.090000004</v>
      </c>
      <c r="Z9" s="208">
        <f t="shared" si="5"/>
        <v>50267847.091739997</v>
      </c>
      <c r="AA9" s="208">
        <f t="shared" si="5"/>
        <v>55065296.396439999</v>
      </c>
      <c r="AB9" s="208">
        <f t="shared" si="5"/>
        <v>59074108</v>
      </c>
      <c r="AC9" s="208">
        <f t="shared" si="5"/>
        <v>62241710</v>
      </c>
      <c r="AD9" s="208">
        <f t="shared" si="5"/>
        <v>67948664</v>
      </c>
      <c r="AE9" s="208">
        <f t="shared" si="5"/>
        <v>72919606</v>
      </c>
      <c r="AF9" s="207"/>
      <c r="AG9" s="350">
        <f>AE9/AD9-1</f>
        <v>7.3157317706791014E-2</v>
      </c>
      <c r="AH9" s="350">
        <f>AE9/AA9-1</f>
        <v>0.3242388722475722</v>
      </c>
      <c r="AI9" s="206"/>
    </row>
    <row r="10" spans="1:38" ht="13" customHeight="1">
      <c r="A10" s="198"/>
      <c r="B10" s="275" t="str">
        <f>IF('Summary | Sumário'!D$6=Names!B$3,Names!AA36,Names!AB16)</f>
        <v>All-in cost of funding (%)</v>
      </c>
      <c r="C10" s="285">
        <f>C5/C7</f>
        <v>3.6807668793637213E-2</v>
      </c>
      <c r="D10" s="285">
        <f t="shared" ref="D10:AA10" si="6">D5/D7</f>
        <v>1.7332130625978714E-2</v>
      </c>
      <c r="E10" s="285">
        <f t="shared" si="6"/>
        <v>2.9097004225809575E-2</v>
      </c>
      <c r="F10" s="285">
        <f t="shared" si="6"/>
        <v>7.1016234814873541E-2</v>
      </c>
      <c r="G10" s="285">
        <f t="shared" si="6"/>
        <v>7.5958929288956908E-2</v>
      </c>
      <c r="H10" s="285">
        <f t="shared" si="6"/>
        <v>6.7187960537127431E-2</v>
      </c>
      <c r="I10" s="285">
        <f t="shared" ref="I10" si="7">I5/I7</f>
        <v>9.3403626335324036E-2</v>
      </c>
      <c r="J10" s="318"/>
      <c r="K10" s="285">
        <f t="shared" si="6"/>
        <v>1.7697021206691994E-2</v>
      </c>
      <c r="L10" s="285">
        <f t="shared" si="6"/>
        <v>2.0622788261913692E-2</v>
      </c>
      <c r="M10" s="285">
        <f t="shared" si="6"/>
        <v>2.8223692835181377E-2</v>
      </c>
      <c r="N10" s="285">
        <f t="shared" si="6"/>
        <v>4.5758263495540207E-2</v>
      </c>
      <c r="O10" s="285">
        <f t="shared" si="6"/>
        <v>5.637587734981097E-2</v>
      </c>
      <c r="P10" s="285">
        <f t="shared" si="6"/>
        <v>7.0966398541608855E-2</v>
      </c>
      <c r="Q10" s="285">
        <f t="shared" si="6"/>
        <v>7.9453214490735696E-2</v>
      </c>
      <c r="R10" s="285">
        <f t="shared" si="6"/>
        <v>7.48492925613152E-2</v>
      </c>
      <c r="S10" s="285">
        <f t="shared" si="6"/>
        <v>8.148688113519946E-2</v>
      </c>
      <c r="T10" s="285">
        <f t="shared" si="6"/>
        <v>8.0026391554047796E-2</v>
      </c>
      <c r="U10" s="285">
        <f t="shared" si="6"/>
        <v>8.1917240998416782E-2</v>
      </c>
      <c r="V10" s="285">
        <f t="shared" si="6"/>
        <v>7.2427138105401342E-2</v>
      </c>
      <c r="W10" s="285">
        <f t="shared" si="6"/>
        <v>6.9853513354529828E-2</v>
      </c>
      <c r="X10" s="285">
        <f t="shared" si="6"/>
        <v>6.7521586321274127E-2</v>
      </c>
      <c r="Y10" s="285">
        <f t="shared" si="6"/>
        <v>6.8194509476634843E-2</v>
      </c>
      <c r="Z10" s="285">
        <f t="shared" si="6"/>
        <v>7.1478523897930329E-2</v>
      </c>
      <c r="AA10" s="285">
        <f t="shared" si="6"/>
        <v>8.2637193087492483E-2</v>
      </c>
      <c r="AB10" s="285">
        <f t="shared" ref="AB10" si="8">AB5/AB7</f>
        <v>9.3900895924388036E-2</v>
      </c>
      <c r="AC10" s="285">
        <f>AC5/AC7</f>
        <v>0.10162096930453553</v>
      </c>
      <c r="AD10" s="285">
        <f>AD5/AD7</f>
        <v>9.7702058809978995E-2</v>
      </c>
      <c r="AE10" s="285">
        <f>AE5/AE7</f>
        <v>9.5328017268419857E-2</v>
      </c>
      <c r="AF10" s="318"/>
      <c r="AG10" s="353">
        <f>(AE10-AD10)*100</f>
        <v>-0.23740415415591382</v>
      </c>
      <c r="AH10" s="353">
        <f>(AE10-AA10)*100</f>
        <v>1.2690824180927374</v>
      </c>
      <c r="AI10" s="206"/>
    </row>
    <row r="11" spans="1:38" ht="13" customHeight="1">
      <c r="A11" s="198"/>
      <c r="B11" s="115" t="str">
        <f>IF('Summary | Sumário'!D$6=Names!B$3,Names!AA17,Names!AB17)</f>
        <v>(÷) Average daily CDI rate in the period (%)</v>
      </c>
      <c r="C11" s="212">
        <v>5.9375494071146499E-2</v>
      </c>
      <c r="D11" s="212">
        <v>2.7735059760956016E-2</v>
      </c>
      <c r="E11" s="212">
        <v>4.4600000000000001E-2</v>
      </c>
      <c r="F11" s="212">
        <v>0.124527888446216</v>
      </c>
      <c r="G11" s="212">
        <v>0.1320823293</v>
      </c>
      <c r="H11" s="212">
        <v>0.10831818181818199</v>
      </c>
      <c r="I11" s="212">
        <v>0.14308811475409824</v>
      </c>
      <c r="J11" s="209"/>
      <c r="K11" s="212">
        <v>2.022950819672133E-2</v>
      </c>
      <c r="L11" s="212">
        <v>3.2427419354838741E-2</v>
      </c>
      <c r="M11" s="212">
        <v>4.8576923076923101E-2</v>
      </c>
      <c r="N11" s="212">
        <v>7.6261904761904697E-2</v>
      </c>
      <c r="O11" s="212">
        <v>0.10270967741935499</v>
      </c>
      <c r="P11" s="212">
        <v>0.123758064516129</v>
      </c>
      <c r="Q11" s="212">
        <v>0.13465384615384601</v>
      </c>
      <c r="R11" s="212">
        <v>0.13650000000000001</v>
      </c>
      <c r="S11" s="212">
        <v>0.13650000000000001</v>
      </c>
      <c r="T11" s="212">
        <v>0.13650000000000001</v>
      </c>
      <c r="U11" s="212">
        <v>0.13275000000000001</v>
      </c>
      <c r="V11" s="212">
        <v>0.1224016393</v>
      </c>
      <c r="W11" s="212">
        <v>0.11281147540983601</v>
      </c>
      <c r="X11" s="212">
        <v>0.10507142857142864</v>
      </c>
      <c r="Y11" s="212">
        <v>0.10430303030303033</v>
      </c>
      <c r="Z11" s="212">
        <v>0.1114206349206348</v>
      </c>
      <c r="AA11" s="212">
        <v>0.129532786885246</v>
      </c>
      <c r="AB11" s="212">
        <v>0.14481967213114699</v>
      </c>
      <c r="AC11" s="212">
        <v>0.14899999999999999</v>
      </c>
      <c r="AD11" s="212">
        <v>0.14899999999999999</v>
      </c>
      <c r="AE11" s="212">
        <v>0.148631147540983</v>
      </c>
      <c r="AF11" s="209"/>
      <c r="AG11" s="340">
        <f>(AE11-AD11)*100</f>
        <v>-3.6885245901699393E-2</v>
      </c>
      <c r="AH11" s="340">
        <f>(AE11-AA11)*100</f>
        <v>1.9098360655737001</v>
      </c>
      <c r="AI11" s="206"/>
    </row>
    <row r="12" spans="1:38" ht="13" customHeight="1">
      <c r="A12" s="198"/>
      <c r="B12" s="275" t="str">
        <f>IF('Summary | Sumário'!D$6=Names!B$3,Names!AA35,Names!AB18)</f>
        <v>All-in cost of funding % of CDI</v>
      </c>
      <c r="C12" s="285">
        <f t="shared" ref="C12:AA12" si="9">C10/C11</f>
        <v>0.61991347389097162</v>
      </c>
      <c r="D12" s="285">
        <f t="shared" si="9"/>
        <v>0.62491773139706708</v>
      </c>
      <c r="E12" s="285">
        <f t="shared" si="9"/>
        <v>0.65239919788810707</v>
      </c>
      <c r="F12" s="285">
        <f t="shared" si="9"/>
        <v>0.57028377900702687</v>
      </c>
      <c r="G12" s="285">
        <f t="shared" si="9"/>
        <v>0.57508774785785755</v>
      </c>
      <c r="H12" s="285">
        <f t="shared" si="9"/>
        <v>0.62028331171498152</v>
      </c>
      <c r="I12" s="285">
        <f t="shared" ref="I12" si="10">I10/I11</f>
        <v>0.65276998369739736</v>
      </c>
      <c r="J12" s="318"/>
      <c r="K12" s="285">
        <f t="shared" si="9"/>
        <v>0.87481223144911713</v>
      </c>
      <c r="L12" s="285">
        <f t="shared" si="9"/>
        <v>0.63596760618684289</v>
      </c>
      <c r="M12" s="285">
        <f t="shared" si="9"/>
        <v>0.58101030381212626</v>
      </c>
      <c r="N12" s="285">
        <f t="shared" si="9"/>
        <v>0.60001469460277557</v>
      </c>
      <c r="O12" s="285">
        <f t="shared" si="9"/>
        <v>0.54888574052893768</v>
      </c>
      <c r="P12" s="285">
        <f t="shared" si="9"/>
        <v>0.57342847772445593</v>
      </c>
      <c r="Q12" s="285">
        <f t="shared" si="9"/>
        <v>0.59005529184779504</v>
      </c>
      <c r="R12" s="285">
        <f t="shared" si="9"/>
        <v>0.54834646565066081</v>
      </c>
      <c r="S12" s="285">
        <f t="shared" si="9"/>
        <v>0.59697348816995932</v>
      </c>
      <c r="T12" s="285">
        <f t="shared" si="9"/>
        <v>0.5862739307988849</v>
      </c>
      <c r="U12" s="285">
        <f t="shared" si="9"/>
        <v>0.61707902823666128</v>
      </c>
      <c r="V12" s="285">
        <f t="shared" si="9"/>
        <v>0.59171705967014232</v>
      </c>
      <c r="W12" s="285">
        <f t="shared" si="9"/>
        <v>0.61920574215306567</v>
      </c>
      <c r="X12" s="285">
        <f t="shared" si="9"/>
        <v>0.64262556661987569</v>
      </c>
      <c r="Y12" s="285">
        <f t="shared" si="9"/>
        <v>0.65381139242560993</v>
      </c>
      <c r="Z12" s="285">
        <f t="shared" si="9"/>
        <v>0.64151962469828561</v>
      </c>
      <c r="AA12" s="285">
        <f t="shared" si="9"/>
        <v>0.63796352317117477</v>
      </c>
      <c r="AB12" s="285">
        <f t="shared" ref="AB12" si="11">AB10/AB11</f>
        <v>0.64839876062799318</v>
      </c>
      <c r="AC12" s="285">
        <f>AC10/AC11</f>
        <v>0.68201992821835933</v>
      </c>
      <c r="AD12" s="285">
        <f>AD10/AD11</f>
        <v>0.6557185155032148</v>
      </c>
      <c r="AE12" s="285">
        <f>AE10/AE11</f>
        <v>0.64137308259787518</v>
      </c>
      <c r="AF12" s="318"/>
      <c r="AG12" s="353">
        <f>(AE12-AD12)*100</f>
        <v>-1.4345432905339628</v>
      </c>
      <c r="AH12" s="353">
        <f>(AE12-AA12)*100</f>
        <v>0.34095594267004037</v>
      </c>
      <c r="AI12" s="206"/>
    </row>
    <row r="13" spans="1:38" ht="13" customHeight="1">
      <c r="A13" s="198"/>
      <c r="AI13" s="206"/>
    </row>
    <row r="14" spans="1:38" ht="13" customHeight="1">
      <c r="B14" s="3" t="s">
        <v>930</v>
      </c>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row>
    <row r="15" spans="1:38" ht="13" customHeight="1">
      <c r="B15" s="259" t="s">
        <v>491</v>
      </c>
      <c r="C15" s="277">
        <f>C16</f>
        <v>256717</v>
      </c>
      <c r="D15" s="277">
        <f t="shared" ref="D15:I15" si="12">D16</f>
        <v>184335</v>
      </c>
      <c r="E15" s="277">
        <f t="shared" si="12"/>
        <v>543242</v>
      </c>
      <c r="F15" s="277">
        <f t="shared" si="12"/>
        <v>1972850</v>
      </c>
      <c r="G15" s="277">
        <f t="shared" si="12"/>
        <v>2887573</v>
      </c>
      <c r="H15" s="277">
        <f t="shared" si="12"/>
        <v>3311638.4190579997</v>
      </c>
      <c r="I15" s="277">
        <f t="shared" si="12"/>
        <v>5977127</v>
      </c>
      <c r="J15" s="213"/>
      <c r="K15" s="277">
        <f>K16*4</f>
        <v>262236</v>
      </c>
      <c r="L15" s="277">
        <f t="shared" ref="L15:AE15" si="13">L16*4</f>
        <v>345044</v>
      </c>
      <c r="M15" s="277">
        <f t="shared" si="13"/>
        <v>554348</v>
      </c>
      <c r="N15" s="277">
        <f t="shared" si="13"/>
        <v>1011340</v>
      </c>
      <c r="O15" s="277">
        <f t="shared" si="13"/>
        <v>1347084</v>
      </c>
      <c r="P15" s="277">
        <f t="shared" si="13"/>
        <v>1860164</v>
      </c>
      <c r="Q15" s="277">
        <f t="shared" si="13"/>
        <v>2318712</v>
      </c>
      <c r="R15" s="277">
        <f t="shared" si="13"/>
        <v>2365440</v>
      </c>
      <c r="S15" s="277">
        <f t="shared" si="13"/>
        <v>2691084</v>
      </c>
      <c r="T15" s="277">
        <f t="shared" si="13"/>
        <v>2768824</v>
      </c>
      <c r="U15" s="277">
        <f t="shared" si="13"/>
        <v>3081592</v>
      </c>
      <c r="V15" s="277">
        <f t="shared" si="13"/>
        <v>3008792.0200000005</v>
      </c>
      <c r="W15" s="277">
        <f t="shared" si="13"/>
        <v>3048987.5612000003</v>
      </c>
      <c r="X15" s="277">
        <f t="shared" si="13"/>
        <v>3090570.4360000002</v>
      </c>
      <c r="Y15" s="277">
        <f t="shared" si="13"/>
        <v>3342466.872</v>
      </c>
      <c r="Z15" s="277">
        <f t="shared" si="13"/>
        <v>3764528.8070319993</v>
      </c>
      <c r="AA15" s="277">
        <f t="shared" si="13"/>
        <v>4716080</v>
      </c>
      <c r="AB15" s="277">
        <f t="shared" si="13"/>
        <v>5695832</v>
      </c>
      <c r="AC15" s="277">
        <f t="shared" si="13"/>
        <v>6615036</v>
      </c>
      <c r="AD15" s="277">
        <f t="shared" si="13"/>
        <v>6881560</v>
      </c>
      <c r="AE15" s="277">
        <f t="shared" si="13"/>
        <v>7005920</v>
      </c>
      <c r="AF15" s="213"/>
      <c r="AG15" s="344">
        <f t="shared" ref="AG15:AG20" si="14">AE15/AD15-1</f>
        <v>1.8071483791465948E-2</v>
      </c>
      <c r="AH15" s="344">
        <f t="shared" ref="AH15:AH20" si="15">AE15/AA15-1</f>
        <v>0.48553883733948533</v>
      </c>
      <c r="AJ15" s="147"/>
    </row>
    <row r="16" spans="1:38" ht="13" customHeight="1">
      <c r="A16" s="198"/>
      <c r="B16" s="111" t="s">
        <v>116</v>
      </c>
      <c r="C16" s="164">
        <v>256717</v>
      </c>
      <c r="D16" s="164">
        <v>184335</v>
      </c>
      <c r="E16" s="164">
        <v>543242</v>
      </c>
      <c r="F16" s="164">
        <v>1972850</v>
      </c>
      <c r="G16" s="164">
        <v>2887573</v>
      </c>
      <c r="H16" s="164">
        <v>3311638.4190579997</v>
      </c>
      <c r="I16" s="164">
        <v>5977127</v>
      </c>
      <c r="J16" s="164"/>
      <c r="K16" s="164">
        <v>65559</v>
      </c>
      <c r="L16" s="164">
        <v>86261</v>
      </c>
      <c r="M16" s="164">
        <v>138587</v>
      </c>
      <c r="N16" s="164">
        <v>252835</v>
      </c>
      <c r="O16" s="164">
        <v>336771</v>
      </c>
      <c r="P16" s="164">
        <v>465041</v>
      </c>
      <c r="Q16" s="164">
        <v>579678</v>
      </c>
      <c r="R16" s="164">
        <v>591360</v>
      </c>
      <c r="S16" s="164">
        <v>672771</v>
      </c>
      <c r="T16" s="164">
        <v>692206</v>
      </c>
      <c r="U16" s="164">
        <v>770398</v>
      </c>
      <c r="V16" s="164">
        <v>752198.00500000012</v>
      </c>
      <c r="W16" s="164">
        <v>762246.89030000009</v>
      </c>
      <c r="X16" s="164">
        <v>772642.60900000005</v>
      </c>
      <c r="Y16" s="164">
        <v>835616.71799999999</v>
      </c>
      <c r="Z16" s="164">
        <v>941132.20175799984</v>
      </c>
      <c r="AA16" s="164">
        <v>1179020</v>
      </c>
      <c r="AB16" s="164">
        <v>1423958</v>
      </c>
      <c r="AC16" s="164">
        <v>1653759</v>
      </c>
      <c r="AD16" s="164">
        <v>1720390</v>
      </c>
      <c r="AE16" s="164">
        <v>1751480</v>
      </c>
      <c r="AF16" s="213"/>
      <c r="AG16" s="345">
        <f t="shared" si="14"/>
        <v>1.8071483791465948E-2</v>
      </c>
      <c r="AH16" s="345">
        <f t="shared" si="15"/>
        <v>0.48553883733948533</v>
      </c>
      <c r="AI16" s="147"/>
      <c r="AJ16" s="147"/>
      <c r="AK16" s="195"/>
    </row>
    <row r="17" spans="1:35" ht="13" customHeight="1">
      <c r="A17" s="198"/>
      <c r="B17" s="52" t="s">
        <v>1184</v>
      </c>
      <c r="C17" s="698">
        <v>253</v>
      </c>
      <c r="D17" s="698">
        <v>251</v>
      </c>
      <c r="E17" s="698">
        <v>251</v>
      </c>
      <c r="F17" s="698">
        <v>251</v>
      </c>
      <c r="G17" s="698">
        <v>249</v>
      </c>
      <c r="H17" s="698">
        <v>253</v>
      </c>
      <c r="I17" s="698">
        <v>254</v>
      </c>
      <c r="J17" s="209"/>
      <c r="K17" s="698">
        <v>61</v>
      </c>
      <c r="L17" s="698">
        <v>62</v>
      </c>
      <c r="M17" s="698">
        <v>65</v>
      </c>
      <c r="N17" s="698">
        <v>63</v>
      </c>
      <c r="O17" s="698">
        <v>62</v>
      </c>
      <c r="P17" s="698">
        <v>62</v>
      </c>
      <c r="Q17" s="698">
        <v>65</v>
      </c>
      <c r="R17" s="698">
        <v>62</v>
      </c>
      <c r="S17" s="698">
        <v>63</v>
      </c>
      <c r="T17" s="698">
        <v>61</v>
      </c>
      <c r="U17" s="698">
        <v>64</v>
      </c>
      <c r="V17" s="698">
        <v>61</v>
      </c>
      <c r="W17" s="698">
        <v>61</v>
      </c>
      <c r="X17" s="698">
        <v>63</v>
      </c>
      <c r="Y17" s="698">
        <v>66</v>
      </c>
      <c r="Z17" s="698">
        <v>63</v>
      </c>
      <c r="AA17" s="698">
        <v>61</v>
      </c>
      <c r="AB17" s="698">
        <v>61</v>
      </c>
      <c r="AC17" s="698">
        <v>66</v>
      </c>
      <c r="AD17" s="698">
        <v>61</v>
      </c>
      <c r="AE17" s="698">
        <v>62</v>
      </c>
      <c r="AF17" s="209"/>
      <c r="AG17" s="350">
        <f t="shared" si="14"/>
        <v>1.6393442622950838E-2</v>
      </c>
      <c r="AH17" s="350">
        <f t="shared" si="15"/>
        <v>1.6393442622950838E-2</v>
      </c>
    </row>
    <row r="18" spans="1:35" ht="13" customHeight="1">
      <c r="A18" s="198"/>
      <c r="B18" s="696" t="s">
        <v>553</v>
      </c>
      <c r="C18" s="207">
        <f t="shared" ref="C18:G18" si="16">AVERAGE(C19:C20)</f>
        <v>6974552</v>
      </c>
      <c r="D18" s="207">
        <f t="shared" si="16"/>
        <v>10635449.5</v>
      </c>
      <c r="E18" s="207">
        <f t="shared" si="16"/>
        <v>18670032</v>
      </c>
      <c r="F18" s="207">
        <f t="shared" si="16"/>
        <v>27780267.5</v>
      </c>
      <c r="G18" s="207">
        <f t="shared" si="16"/>
        <v>38014925</v>
      </c>
      <c r="H18" s="207">
        <f t="shared" ref="H18:I18" si="17">AVERAGE(H19:H20)</f>
        <v>49289164.19822</v>
      </c>
      <c r="I18" s="207">
        <f t="shared" si="17"/>
        <v>63992451.19822</v>
      </c>
      <c r="K18" s="207">
        <f t="shared" ref="K18:R18" si="18">AVERAGE(K19:K20)</f>
        <v>14818087.006689999</v>
      </c>
      <c r="L18" s="207">
        <f t="shared" si="18"/>
        <v>16731200.244014997</v>
      </c>
      <c r="M18" s="207">
        <f t="shared" si="18"/>
        <v>19641228.496824998</v>
      </c>
      <c r="N18" s="207">
        <f t="shared" si="18"/>
        <v>22101800.259500001</v>
      </c>
      <c r="O18" s="207">
        <f t="shared" si="18"/>
        <v>23894688</v>
      </c>
      <c r="P18" s="207">
        <f t="shared" si="18"/>
        <v>26211898</v>
      </c>
      <c r="Q18" s="207">
        <f t="shared" si="18"/>
        <v>29183363</v>
      </c>
      <c r="R18" s="207">
        <f t="shared" si="18"/>
        <v>31602703.5</v>
      </c>
      <c r="S18" s="207">
        <f t="shared" ref="S18:AC18" si="19">AVERAGE(S19:S20)</f>
        <v>33024751.5</v>
      </c>
      <c r="T18" s="207">
        <f t="shared" si="19"/>
        <v>34598886.020369999</v>
      </c>
      <c r="U18" s="207">
        <f t="shared" si="19"/>
        <v>37618356.800609998</v>
      </c>
      <c r="V18" s="207">
        <f t="shared" si="19"/>
        <v>41542329.280239999</v>
      </c>
      <c r="W18" s="207">
        <f t="shared" si="19"/>
        <v>43648306.502857968</v>
      </c>
      <c r="X18" s="207">
        <f t="shared" si="19"/>
        <v>45771591.04785797</v>
      </c>
      <c r="Y18" s="207">
        <f t="shared" si="19"/>
        <v>49013724.09087</v>
      </c>
      <c r="Z18" s="207">
        <f t="shared" si="19"/>
        <v>52666571.744089998</v>
      </c>
      <c r="AA18" s="207">
        <f t="shared" si="19"/>
        <v>57069702.19822</v>
      </c>
      <c r="AB18" s="207">
        <f t="shared" si="19"/>
        <v>60657909</v>
      </c>
      <c r="AC18" s="207">
        <f t="shared" si="19"/>
        <v>65095187</v>
      </c>
      <c r="AD18" s="207">
        <f t="shared" ref="AD18:AE18" si="20">AVERAGE(AD19:AD20)</f>
        <v>70434135</v>
      </c>
      <c r="AE18" s="207">
        <f t="shared" si="20"/>
        <v>73492769.5</v>
      </c>
      <c r="AG18" s="349">
        <f t="shared" si="14"/>
        <v>4.3425456989001132E-2</v>
      </c>
      <c r="AH18" s="349">
        <f t="shared" si="15"/>
        <v>0.28777208692517475</v>
      </c>
      <c r="AI18" s="170"/>
    </row>
    <row r="19" spans="1:35" ht="13" customHeight="1">
      <c r="B19" s="114" t="s">
        <v>416</v>
      </c>
      <c r="C19" s="208">
        <f t="shared" ref="C19:G20" si="21">C8</f>
        <v>6974552</v>
      </c>
      <c r="D19" s="208">
        <f t="shared" si="21"/>
        <v>14296347</v>
      </c>
      <c r="E19" s="208">
        <f t="shared" si="21"/>
        <v>23043717</v>
      </c>
      <c r="F19" s="208">
        <f t="shared" si="21"/>
        <v>32516818</v>
      </c>
      <c r="G19" s="208">
        <f t="shared" si="21"/>
        <v>43513032</v>
      </c>
      <c r="H19" s="208">
        <f t="shared" ref="H19:I19" si="22">H8</f>
        <v>55065296.396439999</v>
      </c>
      <c r="I19" s="208">
        <f t="shared" si="22"/>
        <v>72919606</v>
      </c>
      <c r="K19" s="208">
        <f t="shared" ref="K19:R19" si="23">K8</f>
        <v>15339827.01338</v>
      </c>
      <c r="L19" s="208">
        <f t="shared" si="23"/>
        <v>18122573.474649996</v>
      </c>
      <c r="M19" s="208">
        <f t="shared" si="23"/>
        <v>21159883.519000001</v>
      </c>
      <c r="N19" s="208">
        <f t="shared" si="23"/>
        <v>23043717</v>
      </c>
      <c r="O19" s="208">
        <f t="shared" si="23"/>
        <v>24745659</v>
      </c>
      <c r="P19" s="208">
        <f t="shared" si="23"/>
        <v>27678137</v>
      </c>
      <c r="Q19" s="208">
        <f t="shared" si="23"/>
        <v>30688589</v>
      </c>
      <c r="R19" s="208">
        <f t="shared" si="23"/>
        <v>32516818</v>
      </c>
      <c r="S19" s="208">
        <f>S8</f>
        <v>33532685</v>
      </c>
      <c r="T19" s="208">
        <f t="shared" ref="T19:AC19" si="24">T8</f>
        <v>35665087.040739998</v>
      </c>
      <c r="U19" s="208">
        <f t="shared" si="24"/>
        <v>39571626.560479999</v>
      </c>
      <c r="V19" s="208">
        <f t="shared" si="24"/>
        <v>43513032</v>
      </c>
      <c r="W19" s="208">
        <f t="shared" si="24"/>
        <v>43783581.005715944</v>
      </c>
      <c r="X19" s="208">
        <f t="shared" si="24"/>
        <v>47759601.090000004</v>
      </c>
      <c r="Y19" s="208">
        <f t="shared" si="24"/>
        <v>50267847.091739997</v>
      </c>
      <c r="Z19" s="208">
        <f t="shared" si="24"/>
        <v>55065296.396439999</v>
      </c>
      <c r="AA19" s="208">
        <f t="shared" si="24"/>
        <v>59074108</v>
      </c>
      <c r="AB19" s="208">
        <f t="shared" si="24"/>
        <v>62241710</v>
      </c>
      <c r="AC19" s="208">
        <f t="shared" si="24"/>
        <v>67948664</v>
      </c>
      <c r="AD19" s="208">
        <f t="shared" ref="AD19:AE19" si="25">AD8</f>
        <v>72919606</v>
      </c>
      <c r="AE19" s="208">
        <f t="shared" si="25"/>
        <v>74065933</v>
      </c>
      <c r="AG19" s="350">
        <f t="shared" si="14"/>
        <v>1.572042229630255E-2</v>
      </c>
      <c r="AH19" s="350">
        <f t="shared" si="15"/>
        <v>0.25377996397338753</v>
      </c>
      <c r="AI19" s="170"/>
    </row>
    <row r="20" spans="1:35" ht="13" customHeight="1">
      <c r="B20" s="697" t="s">
        <v>602</v>
      </c>
      <c r="C20" s="207">
        <f t="shared" si="21"/>
        <v>6974552</v>
      </c>
      <c r="D20" s="207">
        <f t="shared" si="21"/>
        <v>6974552</v>
      </c>
      <c r="E20" s="207">
        <f t="shared" si="21"/>
        <v>14296347</v>
      </c>
      <c r="F20" s="207">
        <f t="shared" si="21"/>
        <v>23043717</v>
      </c>
      <c r="G20" s="207">
        <f t="shared" si="21"/>
        <v>32516818</v>
      </c>
      <c r="H20" s="207">
        <f t="shared" ref="H20:I20" si="26">H9</f>
        <v>43513032</v>
      </c>
      <c r="I20" s="207">
        <f t="shared" si="26"/>
        <v>55065296.396439999</v>
      </c>
      <c r="K20" s="207">
        <f t="shared" ref="K20:R20" si="27">K9</f>
        <v>14296347</v>
      </c>
      <c r="L20" s="207">
        <f t="shared" si="27"/>
        <v>15339827.01338</v>
      </c>
      <c r="M20" s="207">
        <f t="shared" si="27"/>
        <v>18122573.474649996</v>
      </c>
      <c r="N20" s="207">
        <f t="shared" si="27"/>
        <v>21159883.519000001</v>
      </c>
      <c r="O20" s="207">
        <f t="shared" si="27"/>
        <v>23043717</v>
      </c>
      <c r="P20" s="207">
        <f t="shared" si="27"/>
        <v>24745659</v>
      </c>
      <c r="Q20" s="207">
        <f t="shared" si="27"/>
        <v>27678137</v>
      </c>
      <c r="R20" s="207">
        <f t="shared" si="27"/>
        <v>30688589</v>
      </c>
      <c r="S20" s="207">
        <f>S9</f>
        <v>32516818</v>
      </c>
      <c r="T20" s="207">
        <f t="shared" ref="T20:AC20" si="28">T9</f>
        <v>33532685</v>
      </c>
      <c r="U20" s="207">
        <f t="shared" si="28"/>
        <v>35665087.040739998</v>
      </c>
      <c r="V20" s="207">
        <f t="shared" si="28"/>
        <v>39571626.560479999</v>
      </c>
      <c r="W20" s="207">
        <f t="shared" si="28"/>
        <v>43513032</v>
      </c>
      <c r="X20" s="207">
        <f t="shared" si="28"/>
        <v>43783581.005715944</v>
      </c>
      <c r="Y20" s="207">
        <f t="shared" si="28"/>
        <v>47759601.090000004</v>
      </c>
      <c r="Z20" s="207">
        <f t="shared" si="28"/>
        <v>50267847.091739997</v>
      </c>
      <c r="AA20" s="207">
        <f t="shared" si="28"/>
        <v>55065296.396439999</v>
      </c>
      <c r="AB20" s="207">
        <f t="shared" si="28"/>
        <v>59074108</v>
      </c>
      <c r="AC20" s="207">
        <f t="shared" si="28"/>
        <v>62241710</v>
      </c>
      <c r="AD20" s="207">
        <f t="shared" ref="AD20:AE20" si="29">AD9</f>
        <v>67948664</v>
      </c>
      <c r="AE20" s="207">
        <f t="shared" si="29"/>
        <v>72919606</v>
      </c>
      <c r="AG20" s="349">
        <f t="shared" si="14"/>
        <v>7.3157317706791014E-2</v>
      </c>
      <c r="AH20" s="349">
        <f t="shared" si="15"/>
        <v>0.3242388722475722</v>
      </c>
    </row>
    <row r="21" spans="1:35" ht="13" customHeight="1">
      <c r="B21" s="115" t="s">
        <v>651</v>
      </c>
      <c r="C21" s="360">
        <f t="shared" ref="C21:H21" si="30">C11</f>
        <v>5.9375494071146499E-2</v>
      </c>
      <c r="D21" s="360">
        <f t="shared" si="30"/>
        <v>2.7735059760956016E-2</v>
      </c>
      <c r="E21" s="360">
        <f t="shared" si="30"/>
        <v>4.4600000000000001E-2</v>
      </c>
      <c r="F21" s="360">
        <f t="shared" si="30"/>
        <v>0.124527888446216</v>
      </c>
      <c r="G21" s="360">
        <f t="shared" si="30"/>
        <v>0.1320823293</v>
      </c>
      <c r="H21" s="360">
        <f t="shared" si="30"/>
        <v>0.10831818181818199</v>
      </c>
      <c r="I21" s="360">
        <f t="shared" ref="I21" si="31">I11</f>
        <v>0.14308811475409824</v>
      </c>
      <c r="K21" s="360">
        <f t="shared" ref="K21:R21" si="32">K11</f>
        <v>2.022950819672133E-2</v>
      </c>
      <c r="L21" s="360">
        <f t="shared" si="32"/>
        <v>3.2427419354838741E-2</v>
      </c>
      <c r="M21" s="360">
        <f t="shared" si="32"/>
        <v>4.8576923076923101E-2</v>
      </c>
      <c r="N21" s="360">
        <f t="shared" si="32"/>
        <v>7.6261904761904697E-2</v>
      </c>
      <c r="O21" s="360">
        <f t="shared" si="32"/>
        <v>0.10270967741935499</v>
      </c>
      <c r="P21" s="360">
        <f t="shared" si="32"/>
        <v>0.123758064516129</v>
      </c>
      <c r="Q21" s="360">
        <f t="shared" si="32"/>
        <v>0.13465384615384601</v>
      </c>
      <c r="R21" s="360">
        <f t="shared" si="32"/>
        <v>0.13650000000000001</v>
      </c>
      <c r="S21" s="360">
        <f>S11</f>
        <v>0.13650000000000001</v>
      </c>
      <c r="T21" s="360">
        <f t="shared" ref="T21:AC21" si="33">T11</f>
        <v>0.13650000000000001</v>
      </c>
      <c r="U21" s="360">
        <f t="shared" si="33"/>
        <v>0.13275000000000001</v>
      </c>
      <c r="V21" s="360">
        <f t="shared" si="33"/>
        <v>0.1224016393</v>
      </c>
      <c r="W21" s="360">
        <f t="shared" si="33"/>
        <v>0.11281147540983601</v>
      </c>
      <c r="X21" s="360">
        <f t="shared" si="33"/>
        <v>0.10507142857142864</v>
      </c>
      <c r="Y21" s="360">
        <f t="shared" si="33"/>
        <v>0.10430303030303033</v>
      </c>
      <c r="Z21" s="360">
        <f t="shared" si="33"/>
        <v>0.1114206349206348</v>
      </c>
      <c r="AA21" s="360">
        <f t="shared" si="33"/>
        <v>0.129532786885246</v>
      </c>
      <c r="AB21" s="360">
        <f t="shared" si="33"/>
        <v>0.14481967213114699</v>
      </c>
      <c r="AC21" s="360">
        <f t="shared" si="33"/>
        <v>0.14899999999999999</v>
      </c>
      <c r="AD21" s="360">
        <f t="shared" ref="AD21:AE21" si="34">AD11</f>
        <v>0.14899999999999999</v>
      </c>
      <c r="AE21" s="360">
        <f t="shared" si="34"/>
        <v>0.148631147540983</v>
      </c>
      <c r="AG21" s="340">
        <f>(AE21-AD21)*100</f>
        <v>-3.6885245901699393E-2</v>
      </c>
      <c r="AH21" s="340">
        <f>(AE21-AA21)*100</f>
        <v>1.9098360655737001</v>
      </c>
    </row>
    <row r="22" spans="1:35" ht="13" customHeight="1">
      <c r="A22" s="198"/>
      <c r="B22" s="275" t="s">
        <v>1185</v>
      </c>
      <c r="C22" s="285">
        <f>(C15/C17*252)/C18/C21</f>
        <v>0.61746322300602696</v>
      </c>
      <c r="D22" s="285">
        <f t="shared" ref="D22:H22" si="35">(D15/D17*252)/D18/D21</f>
        <v>0.62740744347434618</v>
      </c>
      <c r="E22" s="285">
        <f t="shared" si="35"/>
        <v>0.65499839787969305</v>
      </c>
      <c r="F22" s="285">
        <f t="shared" si="35"/>
        <v>0.57255582593534171</v>
      </c>
      <c r="G22" s="285">
        <f t="shared" si="35"/>
        <v>0.58201651590433767</v>
      </c>
      <c r="H22" s="285">
        <f t="shared" si="35"/>
        <v>0.61783159902045603</v>
      </c>
      <c r="I22" s="285">
        <f t="shared" ref="I22" si="36">(I15/I17*252)/I18/I21</f>
        <v>0.64763006256592182</v>
      </c>
      <c r="J22" s="318"/>
      <c r="K22" s="285">
        <f t="shared" ref="K22:R22" si="37">(K15/K17*63)/K18/K21</f>
        <v>0.90349459969335033</v>
      </c>
      <c r="L22" s="285">
        <f t="shared" si="37"/>
        <v>0.64622514822211452</v>
      </c>
      <c r="M22" s="285">
        <f t="shared" si="37"/>
        <v>0.56313306369482996</v>
      </c>
      <c r="N22" s="285">
        <f t="shared" si="37"/>
        <v>0.60001469460277557</v>
      </c>
      <c r="O22" s="285">
        <f t="shared" si="37"/>
        <v>0.55773873634392046</v>
      </c>
      <c r="P22" s="285">
        <f t="shared" si="37"/>
        <v>0.58267732413936646</v>
      </c>
      <c r="Q22" s="285">
        <f t="shared" si="37"/>
        <v>0.57189974440632441</v>
      </c>
      <c r="R22" s="285">
        <f t="shared" si="37"/>
        <v>0.55719076348373597</v>
      </c>
      <c r="S22" s="285">
        <f>(S15/S17*63)/S18/S21</f>
        <v>0.59697348816995932</v>
      </c>
      <c r="T22" s="285">
        <f t="shared" ref="T22:AA22" si="38">(T15/T17*63)/T18/T21</f>
        <v>0.60549602689065163</v>
      </c>
      <c r="U22" s="285">
        <f t="shared" si="38"/>
        <v>0.60743716842046347</v>
      </c>
      <c r="V22" s="285">
        <f t="shared" si="38"/>
        <v>0.61111761900358963</v>
      </c>
      <c r="W22" s="285">
        <f t="shared" si="38"/>
        <v>0.63950756976464163</v>
      </c>
      <c r="X22" s="285">
        <f t="shared" si="38"/>
        <v>0.64262556661987569</v>
      </c>
      <c r="Y22" s="285">
        <f t="shared" si="38"/>
        <v>0.62409269276990043</v>
      </c>
      <c r="Z22" s="285">
        <f t="shared" si="38"/>
        <v>0.64151962469828561</v>
      </c>
      <c r="AA22" s="285">
        <f t="shared" si="38"/>
        <v>0.65888035999645922</v>
      </c>
      <c r="AB22" s="285">
        <f t="shared" ref="AB22" si="39">(AB15/AB17*63)/AB18/AB21</f>
        <v>0.66965773638628801</v>
      </c>
      <c r="AC22" s="285">
        <f t="shared" ref="AC22:AD22" si="40">(AC15/AC17*63)/AC18/AC21</f>
        <v>0.65101902239025189</v>
      </c>
      <c r="AD22" s="285">
        <f t="shared" si="40"/>
        <v>0.67721748322463171</v>
      </c>
      <c r="AE22" s="285">
        <f t="shared" ref="AE22" si="41">(AE15/AE17*63)/AE18/AE21</f>
        <v>0.65171780973655047</v>
      </c>
      <c r="AF22" s="318"/>
      <c r="AG22" s="353">
        <f>(AE22-AD22)*100</f>
        <v>-2.5499673488081243</v>
      </c>
      <c r="AH22" s="353">
        <f>(AE22-AA22)*100</f>
        <v>-0.71625502599087509</v>
      </c>
      <c r="AI22" s="206"/>
    </row>
  </sheetData>
  <sheetProtection algorithmName="SHA-512" hashValue="wGB2CdVd3lb3n8v4iZpradfDueoC3LIP8ZvJeZsOD1FROd4gIqE7NhBU34wqRwgbt5dV5eKLigookXj9GKvObw==" saltValue="ip25Cch4N3faHKC+dw1cb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G13:AH13 K18:AC22 J3:AC5 C18:H22 C2:H5 J2:AB2 C7:H10 J7:AC10 J6 J16 C12:H15 J12:AC15 J11" unlockedFormula="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6CFC-0E74-4E4D-B57A-D30C5D0FD116}">
  <sheetPr codeName="Sheet20">
    <tabColor rgb="FFF7CAB0"/>
  </sheetPr>
  <dimension ref="A1:AL36"/>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81" customWidth="1"/>
    <col min="2" max="2" width="68.33203125" style="105" customWidth="1"/>
    <col min="3" max="9" width="10.83203125" style="182" customWidth="1"/>
    <col min="10" max="10" width="2.83203125" style="182" customWidth="1"/>
    <col min="11" max="31" width="10.83203125" style="182" customWidth="1"/>
    <col min="32" max="32" width="5.83203125" style="182" customWidth="1"/>
    <col min="33" max="34" width="10.83203125" style="182" customWidth="1"/>
    <col min="35" max="35" width="10.83203125" style="181" customWidth="1"/>
    <col min="36" max="16384" width="10.83203125" style="181"/>
  </cols>
  <sheetData>
    <row r="1" spans="1:38" ht="13" customHeight="1">
      <c r="AI1" s="182"/>
    </row>
    <row r="2" spans="1:38" s="9" customFormat="1" ht="13" customHeight="1">
      <c r="B2" s="255" t="str">
        <f>IF('Summary | Sumário'!D$6=Names!B$3,Names!CN1,Names!CO1)</f>
        <v>ROE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20"/>
      <c r="AG2" s="104" t="str">
        <f>IF('Summary | Sumário'!$D$6=Names!$B$3,Names!$I$24,Names!$J$24)</f>
        <v>QoQ Variation</v>
      </c>
      <c r="AH2" s="104" t="str">
        <f>IF('Summary | Sumário'!$D$6=Names!$B$3,Names!$I$25,Names!$J$25)</f>
        <v>YoY Variation</v>
      </c>
      <c r="AI2" s="10"/>
      <c r="AK2" s="11"/>
      <c r="AL2" s="12"/>
    </row>
    <row r="3" spans="1:38" ht="13" customHeight="1">
      <c r="B3" s="106"/>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4"/>
    </row>
    <row r="4" spans="1:38" s="186" customFormat="1" ht="13" customHeight="1">
      <c r="A4" s="185"/>
      <c r="B4" s="613" t="str">
        <f>IF('Summary | Sumário'!D$6=Names!B$3,Names!CN3,Names!CO3)</f>
        <v>ROE Including Minority Interest (%)</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row>
    <row r="5" spans="1:38" ht="13" customHeight="1">
      <c r="B5" s="276" t="str">
        <f>IF('Summary | Sumário'!D$6=Names!B$3,Names!CN4,Names!CO4)</f>
        <v>Annualized net income including minority interest</v>
      </c>
      <c r="C5" s="277">
        <f>C6</f>
        <v>30370</v>
      </c>
      <c r="D5" s="277">
        <f>D6</f>
        <v>30686</v>
      </c>
      <c r="E5" s="277">
        <f t="shared" ref="E5:I5" si="0">E6</f>
        <v>-55067</v>
      </c>
      <c r="F5" s="277">
        <f t="shared" si="0"/>
        <v>-14079</v>
      </c>
      <c r="G5" s="277">
        <f t="shared" si="0"/>
        <v>352260</v>
      </c>
      <c r="H5" s="277">
        <f t="shared" si="0"/>
        <v>972841</v>
      </c>
      <c r="I5" s="277">
        <f t="shared" si="0"/>
        <v>1397321</v>
      </c>
      <c r="J5" s="164"/>
      <c r="K5" s="277">
        <f>K6*4</f>
        <v>-10772</v>
      </c>
      <c r="L5" s="277">
        <f>L6*4</f>
        <v>-121992</v>
      </c>
      <c r="M5" s="277">
        <f t="shared" ref="M5:AE5" si="1">M6*4</f>
        <v>137390.97371999966</v>
      </c>
      <c r="N5" s="277">
        <f t="shared" si="1"/>
        <v>-224894.97371999966</v>
      </c>
      <c r="O5" s="277">
        <f t="shared" si="1"/>
        <v>-115288</v>
      </c>
      <c r="P5" s="277">
        <f t="shared" si="1"/>
        <v>62100</v>
      </c>
      <c r="Q5" s="277">
        <f t="shared" si="1"/>
        <v>-118380</v>
      </c>
      <c r="R5" s="277">
        <f t="shared" si="1"/>
        <v>115252</v>
      </c>
      <c r="S5" s="277">
        <f t="shared" si="1"/>
        <v>96860</v>
      </c>
      <c r="T5" s="277">
        <f t="shared" si="1"/>
        <v>256688</v>
      </c>
      <c r="U5" s="277">
        <f t="shared" si="1"/>
        <v>416644</v>
      </c>
      <c r="V5" s="277">
        <f t="shared" si="1"/>
        <v>638848</v>
      </c>
      <c r="W5" s="277">
        <f t="shared" si="1"/>
        <v>780880</v>
      </c>
      <c r="X5" s="277">
        <f t="shared" si="1"/>
        <v>890660</v>
      </c>
      <c r="Y5" s="277">
        <f t="shared" si="1"/>
        <v>1040044</v>
      </c>
      <c r="Z5" s="277">
        <f t="shared" si="1"/>
        <v>1179780</v>
      </c>
      <c r="AA5" s="277">
        <f t="shared" si="1"/>
        <v>1227151.6000000006</v>
      </c>
      <c r="AB5" s="277">
        <f t="shared" si="1"/>
        <v>1328668.7999999998</v>
      </c>
      <c r="AC5" s="277">
        <f t="shared" si="1"/>
        <v>1424021.6</v>
      </c>
      <c r="AD5" s="277">
        <f t="shared" si="1"/>
        <v>1609441.9999999991</v>
      </c>
      <c r="AE5" s="277">
        <f t="shared" si="1"/>
        <v>1670188</v>
      </c>
      <c r="AF5" s="164"/>
      <c r="AG5" s="331">
        <f>AE5/AD5-1</f>
        <v>3.7743516075758432E-2</v>
      </c>
      <c r="AH5" s="331">
        <f>AE5/AA5-1</f>
        <v>0.36102825437378661</v>
      </c>
    </row>
    <row r="6" spans="1:38" ht="13" customHeight="1">
      <c r="B6" s="54" t="str">
        <f>IF('Summary | Sumário'!D$6=Names!B$3,Names!CN5,Names!CO5)</f>
        <v>Net income including minority interest</v>
      </c>
      <c r="C6" s="164">
        <f>'3. IS | DRE'!C29-'3. IS | DRE'!C28</f>
        <v>30370</v>
      </c>
      <c r="D6" s="164">
        <f>'3. IS | DRE'!D29-'3. IS | DRE'!D28</f>
        <v>30686</v>
      </c>
      <c r="E6" s="164">
        <f>'3. IS | DRE'!E29-'3. IS | DRE'!E28</f>
        <v>-55067</v>
      </c>
      <c r="F6" s="164">
        <f>'3. IS | DRE'!F29-'3. IS | DRE'!F28</f>
        <v>-14079</v>
      </c>
      <c r="G6" s="164">
        <f>'3. IS | DRE'!G29-'3. IS | DRE'!G28</f>
        <v>352260</v>
      </c>
      <c r="H6" s="164">
        <f>'3. IS | DRE'!H29-'3. IS | DRE'!H28</f>
        <v>972841</v>
      </c>
      <c r="I6" s="164">
        <f>'3. IS | DRE'!I29-'3. IS | DRE'!I28</f>
        <v>1397321</v>
      </c>
      <c r="J6" s="164"/>
      <c r="K6" s="164">
        <f>'3. IS | DRE'!K29-'3. IS | DRE'!K28</f>
        <v>-2693</v>
      </c>
      <c r="L6" s="164">
        <f>'3. IS | DRE'!L29-'3. IS | DRE'!L28</f>
        <v>-30498</v>
      </c>
      <c r="M6" s="164">
        <f>'3. IS | DRE'!M29-'3. IS | DRE'!M28</f>
        <v>34347.743429999915</v>
      </c>
      <c r="N6" s="164">
        <f>'3. IS | DRE'!N29-'3. IS | DRE'!N28</f>
        <v>-56223.743429999915</v>
      </c>
      <c r="O6" s="164">
        <f>'3. IS | DRE'!O29-'3. IS | DRE'!O28</f>
        <v>-28822</v>
      </c>
      <c r="P6" s="164">
        <f>'3. IS | DRE'!P29-'3. IS | DRE'!P28</f>
        <v>15525</v>
      </c>
      <c r="Q6" s="164">
        <f>'3. IS | DRE'!Q29-'3. IS | DRE'!Q28</f>
        <v>-29595</v>
      </c>
      <c r="R6" s="164">
        <f>'3. IS | DRE'!R29-'3. IS | DRE'!R28</f>
        <v>28813</v>
      </c>
      <c r="S6" s="164">
        <f>'3. IS | DRE'!S29-'3. IS | DRE'!S28</f>
        <v>24215</v>
      </c>
      <c r="T6" s="164">
        <f>'3. IS | DRE'!T29-'3. IS | DRE'!T28</f>
        <v>64172</v>
      </c>
      <c r="U6" s="164">
        <f>'3. IS | DRE'!U29-'3. IS | DRE'!U28</f>
        <v>104161</v>
      </c>
      <c r="V6" s="164">
        <f>'3. IS | DRE'!V29-'3. IS | DRE'!V28</f>
        <v>159712</v>
      </c>
      <c r="W6" s="164">
        <f>'3. IS | DRE'!W29-'3. IS | DRE'!W28</f>
        <v>195220</v>
      </c>
      <c r="X6" s="164">
        <f>'3. IS | DRE'!X29-'3. IS | DRE'!X28</f>
        <v>222665</v>
      </c>
      <c r="Y6" s="164">
        <f>'3. IS | DRE'!Y29-'3. IS | DRE'!Y28</f>
        <v>260011</v>
      </c>
      <c r="Z6" s="164">
        <f>'3. IS | DRE'!Z29-'3. IS | DRE'!Z28</f>
        <v>294945</v>
      </c>
      <c r="AA6" s="164">
        <f>'3. IS | DRE'!AA29-'3. IS | DRE'!AA28</f>
        <v>306787.90000000014</v>
      </c>
      <c r="AB6" s="164">
        <f>'3. IS | DRE'!AB29-'3. IS | DRE'!AB28</f>
        <v>332167.19999999995</v>
      </c>
      <c r="AC6" s="164">
        <f>'3. IS | DRE'!AC29-'3. IS | DRE'!AC28</f>
        <v>356005.4</v>
      </c>
      <c r="AD6" s="164">
        <f>'3. IS | DRE'!AD29-'3. IS | DRE'!AD28</f>
        <v>402360.49999999977</v>
      </c>
      <c r="AE6" s="164">
        <f>'3. IS | DRE'!AE29-'3. IS | DRE'!AE28</f>
        <v>417547</v>
      </c>
      <c r="AF6" s="164"/>
      <c r="AG6" s="191">
        <f>AE6/AD6-1</f>
        <v>3.7743516075758432E-2</v>
      </c>
      <c r="AH6" s="191">
        <f>AE6/AA6-1</f>
        <v>0.36102825437378661</v>
      </c>
    </row>
    <row r="7" spans="1:38" ht="13" customHeight="1">
      <c r="B7" s="52" t="str">
        <f>IF('Summary | Sumário'!D$6=Names!B$3,Names!CN6,Names!CO6)</f>
        <v xml:space="preserve"> (÷) Average total equity of the last two periods</v>
      </c>
      <c r="C7" s="159">
        <f>'2. BS | BP'!C36</f>
        <v>2161938</v>
      </c>
      <c r="D7" s="159">
        <f>AVERAGE(C8:D8)</f>
        <v>2743076.5</v>
      </c>
      <c r="E7" s="159">
        <f t="shared" ref="E7:I7" si="2">AVERAGE(D8:E8)</f>
        <v>5886999.2936204048</v>
      </c>
      <c r="F7" s="159">
        <f t="shared" si="2"/>
        <v>7769443.7936204048</v>
      </c>
      <c r="G7" s="159">
        <f t="shared" si="2"/>
        <v>7342897.5</v>
      </c>
      <c r="H7" s="159">
        <f t="shared" si="2"/>
        <v>8334499</v>
      </c>
      <c r="I7" s="159">
        <f t="shared" si="2"/>
        <v>9732634.5</v>
      </c>
      <c r="J7" s="164"/>
      <c r="K7" s="159">
        <f>AVERAGE(K8,D8)</f>
        <v>3287415.5</v>
      </c>
      <c r="L7" s="159">
        <f t="shared" ref="L7" si="3">AVERAGE(K8:L8)</f>
        <v>5971620.8960000006</v>
      </c>
      <c r="M7" s="159">
        <f t="shared" ref="M7" si="4">AVERAGE(L8:M8)</f>
        <v>8615476.4862966407</v>
      </c>
      <c r="N7" s="159">
        <f t="shared" ref="N7" si="5">AVERAGE(M8:N8)</f>
        <v>8494055.3839170448</v>
      </c>
      <c r="O7" s="159">
        <f t="shared" ref="O7" si="6">AVERAGE(N8:O8)</f>
        <v>8402074.7936204039</v>
      </c>
      <c r="P7" s="159">
        <f t="shared" ref="P7" si="7">AVERAGE(O8:P8)</f>
        <v>7734873.5</v>
      </c>
      <c r="Q7" s="159">
        <f t="shared" ref="Q7" si="8">AVERAGE(P8:Q8)</f>
        <v>7127888</v>
      </c>
      <c r="R7" s="159">
        <f t="shared" ref="R7" si="9">AVERAGE(Q8:R8)</f>
        <v>7114749.5</v>
      </c>
      <c r="S7" s="159">
        <f t="shared" ref="S7" si="10">AVERAGE(R8:S8)</f>
        <v>7114505</v>
      </c>
      <c r="T7" s="159">
        <f t="shared" ref="T7" si="11">AVERAGE(S8:T8)</f>
        <v>7228782</v>
      </c>
      <c r="U7" s="159">
        <f t="shared" ref="U7" si="12">AVERAGE(T8:U8)</f>
        <v>7342942.5</v>
      </c>
      <c r="V7" s="159">
        <f t="shared" ref="V7" si="13">AVERAGE(U8:V8)</f>
        <v>7482459</v>
      </c>
      <c r="W7" s="159">
        <f t="shared" ref="W7" si="14">AVERAGE(V8:W8)</f>
        <v>8067571.5004530167</v>
      </c>
      <c r="X7" s="159">
        <f t="shared" ref="X7" si="15">AVERAGE(W8:X8)</f>
        <v>8572993.7814530171</v>
      </c>
      <c r="Y7" s="159">
        <f t="shared" ref="Y7" si="16">AVERAGE(X8:Y8)</f>
        <v>8737436.7809999995</v>
      </c>
      <c r="Z7" s="159">
        <f t="shared" ref="Z7" si="17">AVERAGE(Y8:Z8)</f>
        <v>8969822.5</v>
      </c>
      <c r="AA7" s="159">
        <f t="shared" ref="AA7:AE7" si="18">AVERAGE(Z8:AA8)</f>
        <v>9042578.5</v>
      </c>
      <c r="AB7" s="159">
        <f t="shared" si="18"/>
        <v>9200341</v>
      </c>
      <c r="AC7" s="159">
        <f t="shared" si="18"/>
        <v>9597982</v>
      </c>
      <c r="AD7" s="159">
        <f t="shared" si="18"/>
        <v>10100547</v>
      </c>
      <c r="AE7" s="159">
        <f t="shared" si="18"/>
        <v>10403346</v>
      </c>
      <c r="AF7" s="164"/>
      <c r="AG7" s="190">
        <f>AE7/AD7-1</f>
        <v>2.9978475423162676E-2</v>
      </c>
      <c r="AH7" s="190">
        <f>AE7/AA7-1</f>
        <v>0.15048445529115395</v>
      </c>
    </row>
    <row r="8" spans="1:38" ht="13" customHeight="1">
      <c r="B8" s="54" t="str">
        <f>IF('Summary | Sumário'!D$6=Names!B$3,Names!CN7,Names!CO7)</f>
        <v>Total equity</v>
      </c>
      <c r="C8" s="164">
        <f>'2. BS | BP'!C36</f>
        <v>2161938</v>
      </c>
      <c r="D8" s="164">
        <f>'2. BS | BP'!D36</f>
        <v>3324215</v>
      </c>
      <c r="E8" s="164">
        <f>'2. BS | BP'!E36</f>
        <v>8449783.5872408096</v>
      </c>
      <c r="F8" s="164">
        <f>'2. BS | BP'!F36</f>
        <v>7089104</v>
      </c>
      <c r="G8" s="164">
        <f>'2. BS | BP'!G36</f>
        <v>7596691</v>
      </c>
      <c r="H8" s="164">
        <f>'2. BS | BP'!H36</f>
        <v>9072307</v>
      </c>
      <c r="I8" s="164">
        <f>'2. BS | BP'!I36</f>
        <v>10392962</v>
      </c>
      <c r="J8" s="164"/>
      <c r="K8" s="164">
        <f>'2. BS | BP'!K36</f>
        <v>3250616</v>
      </c>
      <c r="L8" s="164">
        <f>'2. BS | BP'!L36</f>
        <v>8692625.7920000013</v>
      </c>
      <c r="M8" s="164">
        <f>'2. BS | BP'!M36</f>
        <v>8538327.1805932801</v>
      </c>
      <c r="N8" s="164">
        <f>'2. BS | BP'!N36</f>
        <v>8449783.5872408096</v>
      </c>
      <c r="O8" s="164">
        <f>'2. BS | BP'!O36</f>
        <v>8354366</v>
      </c>
      <c r="P8" s="164">
        <f>'2. BS | BP'!P36</f>
        <v>7115381</v>
      </c>
      <c r="Q8" s="164">
        <f>'2. BS | BP'!Q36</f>
        <v>7140395</v>
      </c>
      <c r="R8" s="164">
        <f>'2. BS | BP'!R36</f>
        <v>7089104</v>
      </c>
      <c r="S8" s="164">
        <f>'2. BS | BP'!S36</f>
        <v>7139906</v>
      </c>
      <c r="T8" s="164">
        <f>'2. BS | BP'!T36</f>
        <v>7317658</v>
      </c>
      <c r="U8" s="164">
        <f>'2. BS | BP'!U36</f>
        <v>7368227</v>
      </c>
      <c r="V8" s="164">
        <f>'2. BS | BP'!V36</f>
        <v>7596691</v>
      </c>
      <c r="W8" s="164">
        <f>'2. BS | BP'!W36</f>
        <v>8538452.0009060334</v>
      </c>
      <c r="X8" s="164">
        <f>'2. BS | BP'!X36</f>
        <v>8607535.5620000008</v>
      </c>
      <c r="Y8" s="164">
        <f>'2. BS | BP'!Y36</f>
        <v>8867338</v>
      </c>
      <c r="Z8" s="164">
        <f>'2. BS | BP'!Z36</f>
        <v>9072307</v>
      </c>
      <c r="AA8" s="164">
        <f>'2. BS | BP'!AA36</f>
        <v>9012850</v>
      </c>
      <c r="AB8" s="164">
        <f>'2. BS | BP'!AB36</f>
        <v>9387832</v>
      </c>
      <c r="AC8" s="164">
        <f>'2. BS | BP'!AC36</f>
        <v>9808132</v>
      </c>
      <c r="AD8" s="164">
        <f>'2. BS | BP'!AD36</f>
        <v>10392962</v>
      </c>
      <c r="AE8" s="164">
        <f>'2. BS | BP'!AE36</f>
        <v>10413730</v>
      </c>
      <c r="AF8" s="164"/>
      <c r="AG8" s="191">
        <f>AE8/AD8-1</f>
        <v>1.9982753713523316E-3</v>
      </c>
      <c r="AH8" s="191">
        <f>AE8/AA8-1</f>
        <v>0.15543141181757147</v>
      </c>
      <c r="AI8" s="623"/>
    </row>
    <row r="9" spans="1:38" s="622" customFormat="1" ht="13" customHeight="1">
      <c r="B9" s="620" t="str">
        <f>IF('Summary | Sumário'!D$6=Names!B$3,Names!CN8,Names!CO8)</f>
        <v>ROE including minority interest (%)</v>
      </c>
      <c r="C9" s="621">
        <f t="shared" ref="C9:H9" si="19">C5/C7</f>
        <v>1.4047581382999882E-2</v>
      </c>
      <c r="D9" s="621">
        <f t="shared" si="19"/>
        <v>1.1186709521225529E-2</v>
      </c>
      <c r="E9" s="621">
        <f t="shared" si="19"/>
        <v>-9.3540014621158081E-3</v>
      </c>
      <c r="F9" s="621">
        <f t="shared" si="19"/>
        <v>-1.8120988289484065E-3</v>
      </c>
      <c r="G9" s="621">
        <f t="shared" si="19"/>
        <v>4.7972888086753221E-2</v>
      </c>
      <c r="H9" s="621">
        <f t="shared" si="19"/>
        <v>0.11672459256399215</v>
      </c>
      <c r="I9" s="621">
        <f t="shared" ref="I9" si="20">I5/I7</f>
        <v>0.14357068479248861</v>
      </c>
      <c r="J9" s="167"/>
      <c r="K9" s="621">
        <f t="shared" ref="K9:Z9" si="21">K5/K7</f>
        <v>-3.2767382157807556E-3</v>
      </c>
      <c r="L9" s="621">
        <f t="shared" si="21"/>
        <v>-2.0428624342465292E-2</v>
      </c>
      <c r="M9" s="621">
        <f t="shared" si="21"/>
        <v>1.594699654029897E-2</v>
      </c>
      <c r="N9" s="621">
        <f t="shared" si="21"/>
        <v>-2.6476749156336327E-2</v>
      </c>
      <c r="O9" s="621">
        <f t="shared" si="21"/>
        <v>-1.3721372736117133E-2</v>
      </c>
      <c r="P9" s="621">
        <f t="shared" si="21"/>
        <v>8.0285734472580576E-3</v>
      </c>
      <c r="Q9" s="621">
        <f t="shared" si="21"/>
        <v>-1.6608005064052633E-2</v>
      </c>
      <c r="R9" s="621">
        <f t="shared" si="21"/>
        <v>1.619902429453068E-2</v>
      </c>
      <c r="S9" s="621">
        <f t="shared" si="21"/>
        <v>1.3614439795881794E-2</v>
      </c>
      <c r="T9" s="621">
        <f t="shared" si="21"/>
        <v>3.5509163231094806E-2</v>
      </c>
      <c r="U9" s="621">
        <f t="shared" si="21"/>
        <v>5.6740741194691365E-2</v>
      </c>
      <c r="V9" s="621">
        <f t="shared" si="21"/>
        <v>8.5379418717830599E-2</v>
      </c>
      <c r="W9" s="621">
        <f t="shared" si="21"/>
        <v>9.6792448626721359E-2</v>
      </c>
      <c r="X9" s="621">
        <f t="shared" si="21"/>
        <v>0.10389136195652811</v>
      </c>
      <c r="Y9" s="621">
        <f t="shared" si="21"/>
        <v>0.1190330787012535</v>
      </c>
      <c r="Z9" s="621">
        <f t="shared" si="21"/>
        <v>0.13152768630594419</v>
      </c>
      <c r="AA9" s="621">
        <f>AA5/AA7</f>
        <v>0.13570815005918949</v>
      </c>
      <c r="AB9" s="621">
        <f>AB5/AB7</f>
        <v>0.14441516895949832</v>
      </c>
      <c r="AC9" s="621">
        <f>AC5/AC7</f>
        <v>0.14836677126504302</v>
      </c>
      <c r="AD9" s="621">
        <f>AD5/AD7</f>
        <v>0.15934206335557857</v>
      </c>
      <c r="AE9" s="621">
        <f>AE5/AE7</f>
        <v>0.1605433482650678</v>
      </c>
      <c r="AF9" s="168"/>
      <c r="AG9" s="352">
        <f>(AE9-AD9)*100</f>
        <v>0.12012849094892308</v>
      </c>
      <c r="AH9" s="352">
        <f>(AE9-AA9)*100</f>
        <v>2.4835198205878317</v>
      </c>
    </row>
    <row r="10" spans="1:38" ht="13" customHeight="1">
      <c r="B10" s="53"/>
      <c r="C10" s="164"/>
      <c r="D10" s="164"/>
      <c r="E10" s="164"/>
      <c r="F10" s="164"/>
      <c r="G10" s="164"/>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91"/>
      <c r="AH10" s="191"/>
    </row>
    <row r="11" spans="1:38" s="186" customFormat="1" ht="13" customHeight="1">
      <c r="A11" s="185"/>
      <c r="B11" s="613" t="str">
        <f>IF('Summary | Sumário'!D$6=Names!B$3,Names!CN10,Names!CO10)</f>
        <v>ROE (%)</v>
      </c>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row>
    <row r="12" spans="1:38" ht="13" customHeight="1">
      <c r="B12" s="276" t="str">
        <f>IF('Summary | Sumário'!D$6=Names!B$3,Names!CN11,Names!CO11)</f>
        <v>Annualized net income</v>
      </c>
      <c r="C12" s="277">
        <f>C13</f>
        <v>27683</v>
      </c>
      <c r="D12" s="277">
        <f t="shared" ref="D12:I12" si="22">D13</f>
        <v>17911</v>
      </c>
      <c r="E12" s="277">
        <f t="shared" si="22"/>
        <v>-72664</v>
      </c>
      <c r="F12" s="277">
        <f t="shared" si="22"/>
        <v>-11090</v>
      </c>
      <c r="G12" s="277">
        <f t="shared" si="22"/>
        <v>302343</v>
      </c>
      <c r="H12" s="277">
        <f t="shared" si="22"/>
        <v>907132</v>
      </c>
      <c r="I12" s="277">
        <f t="shared" si="22"/>
        <v>1312390</v>
      </c>
      <c r="J12" s="164"/>
      <c r="K12" s="277">
        <f>K13*4</f>
        <v>-34636</v>
      </c>
      <c r="L12" s="277">
        <f t="shared" ref="L12:AD12" si="23">L13*4</f>
        <v>-48116</v>
      </c>
      <c r="M12" s="277">
        <f t="shared" si="23"/>
        <v>12595.833239999987</v>
      </c>
      <c r="N12" s="277">
        <f t="shared" si="23"/>
        <v>-220499.83324000001</v>
      </c>
      <c r="O12" s="277">
        <f t="shared" si="23"/>
        <v>13088</v>
      </c>
      <c r="P12" s="277">
        <f t="shared" si="23"/>
        <v>-66360</v>
      </c>
      <c r="Q12" s="277">
        <f t="shared" si="23"/>
        <v>-120032</v>
      </c>
      <c r="R12" s="277">
        <f t="shared" si="23"/>
        <v>128944</v>
      </c>
      <c r="S12" s="277">
        <f t="shared" si="23"/>
        <v>45620</v>
      </c>
      <c r="T12" s="277">
        <f t="shared" si="23"/>
        <v>194984</v>
      </c>
      <c r="U12" s="277">
        <f t="shared" si="23"/>
        <v>365164</v>
      </c>
      <c r="V12" s="277">
        <f t="shared" si="23"/>
        <v>603604</v>
      </c>
      <c r="W12" s="277">
        <f t="shared" si="23"/>
        <v>731172</v>
      </c>
      <c r="X12" s="277">
        <f t="shared" si="23"/>
        <v>825916</v>
      </c>
      <c r="Y12" s="277">
        <f t="shared" si="23"/>
        <v>970684</v>
      </c>
      <c r="Z12" s="277">
        <f t="shared" si="23"/>
        <v>1100756</v>
      </c>
      <c r="AA12" s="277">
        <f t="shared" si="23"/>
        <v>1146088</v>
      </c>
      <c r="AB12" s="277">
        <f t="shared" si="23"/>
        <v>1260523.2</v>
      </c>
      <c r="AC12" s="277">
        <f t="shared" si="23"/>
        <v>1345380.8</v>
      </c>
      <c r="AD12" s="277">
        <f t="shared" si="23"/>
        <v>1497568</v>
      </c>
      <c r="AE12" s="277">
        <f>AE13*4</f>
        <v>1579152</v>
      </c>
      <c r="AF12" s="164"/>
      <c r="AG12" s="331">
        <f>AE12/AD12-1</f>
        <v>5.4477659779055054E-2</v>
      </c>
      <c r="AH12" s="331">
        <f>AE12/AA12-1</f>
        <v>0.37786278191552491</v>
      </c>
    </row>
    <row r="13" spans="1:38" ht="13" customHeight="1">
      <c r="B13" s="54" t="str">
        <f>IF('Summary | Sumário'!D$6=Names!B$3,Names!CN12,Names!CO12)</f>
        <v>Net income excluding minority interest</v>
      </c>
      <c r="C13" s="189">
        <f>'3. IS | DRE'!C29</f>
        <v>27683</v>
      </c>
      <c r="D13" s="189">
        <f>'3. IS | DRE'!D29</f>
        <v>17911</v>
      </c>
      <c r="E13" s="189">
        <f>'3. IS | DRE'!E29</f>
        <v>-72664</v>
      </c>
      <c r="F13" s="189">
        <f>'3. IS | DRE'!F29</f>
        <v>-11090</v>
      </c>
      <c r="G13" s="189">
        <f>'3. IS | DRE'!G29</f>
        <v>302343</v>
      </c>
      <c r="H13" s="189">
        <f>'3. IS | DRE'!H29</f>
        <v>907132</v>
      </c>
      <c r="I13" s="189">
        <f>'3. IS | DRE'!I29</f>
        <v>1312390</v>
      </c>
      <c r="J13" s="189"/>
      <c r="K13" s="189">
        <f>'3. IS | DRE'!K29</f>
        <v>-8659</v>
      </c>
      <c r="L13" s="189">
        <f>'3. IS | DRE'!L29</f>
        <v>-12029</v>
      </c>
      <c r="M13" s="189">
        <f>'3. IS | DRE'!M29</f>
        <v>3148.9583099999968</v>
      </c>
      <c r="N13" s="189">
        <f>'3. IS | DRE'!N29</f>
        <v>-55124.958310000002</v>
      </c>
      <c r="O13" s="189">
        <f>'3. IS | DRE'!O29</f>
        <v>3272</v>
      </c>
      <c r="P13" s="189">
        <f>'3. IS | DRE'!P29</f>
        <v>-16590</v>
      </c>
      <c r="Q13" s="189">
        <f>'3. IS | DRE'!Q29</f>
        <v>-30008</v>
      </c>
      <c r="R13" s="189">
        <f>'3. IS | DRE'!R29</f>
        <v>32236</v>
      </c>
      <c r="S13" s="189">
        <f>'3. IS | DRE'!S29</f>
        <v>11405</v>
      </c>
      <c r="T13" s="189">
        <f>'3. IS | DRE'!T29</f>
        <v>48746</v>
      </c>
      <c r="U13" s="189">
        <f>'3. IS | DRE'!U29</f>
        <v>91291</v>
      </c>
      <c r="V13" s="189">
        <f>'3. IS | DRE'!V29</f>
        <v>150901</v>
      </c>
      <c r="W13" s="189">
        <f>'3. IS | DRE'!W29</f>
        <v>182793</v>
      </c>
      <c r="X13" s="189">
        <f>'3. IS | DRE'!X29</f>
        <v>206479</v>
      </c>
      <c r="Y13" s="189">
        <f>'3. IS | DRE'!Y29</f>
        <v>242671</v>
      </c>
      <c r="Z13" s="189">
        <f>'3. IS | DRE'!Z29</f>
        <v>275189</v>
      </c>
      <c r="AA13" s="189">
        <f>'3. IS | DRE'!AA29</f>
        <v>286522</v>
      </c>
      <c r="AB13" s="189">
        <f>'3. IS | DRE'!AB29</f>
        <v>315130.8</v>
      </c>
      <c r="AC13" s="189">
        <f>'3. IS | DRE'!AC29</f>
        <v>336345.2</v>
      </c>
      <c r="AD13" s="189">
        <f>'3. IS | DRE'!AD29</f>
        <v>374392</v>
      </c>
      <c r="AE13" s="189">
        <f>'3. IS | DRE'!AE29</f>
        <v>394788</v>
      </c>
      <c r="AF13" s="164"/>
      <c r="AG13" s="191">
        <f>AE13/AD13-1</f>
        <v>5.4477659779055054E-2</v>
      </c>
      <c r="AH13" s="191">
        <f>AE13/AA13-1</f>
        <v>0.37786278191552491</v>
      </c>
    </row>
    <row r="14" spans="1:38" ht="13" customHeight="1">
      <c r="B14" s="52" t="str">
        <f>IF('Summary | Sumário'!D$6=Names!B$3,Names!CN13,Names!CO13)</f>
        <v xml:space="preserve"> (÷) Average equity attributable to owners of the Company of the last two periods</v>
      </c>
      <c r="C14" s="159">
        <f>C15</f>
        <v>2157761</v>
      </c>
      <c r="D14" s="159">
        <f>AVERAGE(C15:D15)</f>
        <v>2716697.5</v>
      </c>
      <c r="E14" s="159">
        <f t="shared" ref="E14" si="24">AVERAGE(D15:E15)</f>
        <v>2965879.4270890998</v>
      </c>
      <c r="F14" s="159">
        <f t="shared" ref="F14" si="25">AVERAGE(E15:F15)</f>
        <v>4824253.4270890998</v>
      </c>
      <c r="G14" s="159">
        <f t="shared" ref="G14" si="26">AVERAGE(F15:G15)</f>
        <v>7232096</v>
      </c>
      <c r="H14" s="159">
        <f t="shared" ref="H14:I14" si="27">AVERAGE(G15:H15)</f>
        <v>8183492.5</v>
      </c>
      <c r="I14" s="159">
        <f t="shared" si="27"/>
        <v>9532382</v>
      </c>
      <c r="J14" s="164"/>
      <c r="K14" s="159">
        <f>AVERAGE(K15,D15)</f>
        <v>3238302.5</v>
      </c>
      <c r="L14" s="159">
        <f t="shared" ref="L14" si="28">AVERAGE(K15:L15)</f>
        <v>2963276.5</v>
      </c>
      <c r="M14" s="159">
        <f t="shared" ref="M14" si="29">AVERAGE(L15:M15)</f>
        <v>2705015.8902966403</v>
      </c>
      <c r="N14" s="159">
        <f t="shared" ref="N14" si="30">AVERAGE(M15:N15)</f>
        <v>2670287.3173857401</v>
      </c>
      <c r="O14" s="159">
        <f t="shared" ref="O14" si="31">AVERAGE(N15:O15)</f>
        <v>2635980.0466781999</v>
      </c>
      <c r="P14" s="159">
        <f t="shared" ref="P14" si="32">AVERAGE(O15:P15)</f>
        <v>4824947.1195890997</v>
      </c>
      <c r="Q14" s="159">
        <f t="shared" ref="Q14" si="33">AVERAGE(P15:Q15)</f>
        <v>7039234.5</v>
      </c>
      <c r="R14" s="159">
        <f t="shared" ref="R14" si="34">AVERAGE(Q15:R15)</f>
        <v>7018396</v>
      </c>
      <c r="S14" s="159">
        <f t="shared" ref="S14" si="35">AVERAGE(R15:S15)</f>
        <v>7011674</v>
      </c>
      <c r="T14" s="159">
        <f t="shared" ref="T14" si="36">AVERAGE(S15:T15)</f>
        <v>7117461.5</v>
      </c>
      <c r="U14" s="159">
        <f t="shared" ref="U14" si="37">AVERAGE(T15:U15)</f>
        <v>7232162.5</v>
      </c>
      <c r="V14" s="159">
        <f t="shared" ref="V14" si="38">AVERAGE(U15:V15)</f>
        <v>7366089</v>
      </c>
      <c r="W14" s="159">
        <f t="shared" ref="W14" si="39">AVERAGE(V15:W15)</f>
        <v>7932142.0004530167</v>
      </c>
      <c r="X14" s="159">
        <f t="shared" ref="X14" si="40">AVERAGE(W15:X15)</f>
        <v>8427232.4739530161</v>
      </c>
      <c r="Y14" s="159">
        <f t="shared" ref="Y14" si="41">AVERAGE(X15:Y15)</f>
        <v>8584620.9735000003</v>
      </c>
      <c r="Z14" s="159">
        <f t="shared" ref="Z14" si="42">AVERAGE(Y15:Z15)</f>
        <v>8801213</v>
      </c>
      <c r="AA14" s="159">
        <f t="shared" ref="AA14:AE14" si="43">AVERAGE(Z15:AA15)</f>
        <v>8897865.5</v>
      </c>
      <c r="AB14" s="159">
        <f t="shared" si="43"/>
        <v>9095082</v>
      </c>
      <c r="AC14" s="159">
        <f t="shared" si="43"/>
        <v>9484711.5</v>
      </c>
      <c r="AD14" s="159">
        <f t="shared" si="43"/>
        <v>9924702</v>
      </c>
      <c r="AE14" s="159">
        <f t="shared" si="43"/>
        <v>10182269</v>
      </c>
      <c r="AF14" s="164"/>
      <c r="AG14" s="190">
        <f>AE14/AD14-1</f>
        <v>2.5952114229726986E-2</v>
      </c>
      <c r="AH14" s="190">
        <f>AE14/AA14-1</f>
        <v>0.14434961958011172</v>
      </c>
    </row>
    <row r="15" spans="1:38" ht="13" customHeight="1">
      <c r="B15" s="54" t="str">
        <f>IF('Summary | Sumário'!D$6=Names!B$3,Names!CN14,Names!CO14)</f>
        <v>Equity attributable to owners of the Company</v>
      </c>
      <c r="C15" s="164">
        <f>'2. BS | BP'!C30</f>
        <v>2157761</v>
      </c>
      <c r="D15" s="164">
        <f>'2. BS | BP'!D30</f>
        <v>3275634</v>
      </c>
      <c r="E15" s="164">
        <f>'2. BS | BP'!E30</f>
        <v>2656124.8541782</v>
      </c>
      <c r="F15" s="164">
        <f>'2. BS | BP'!F30</f>
        <v>6992382</v>
      </c>
      <c r="G15" s="164">
        <f>'2. BS | BP'!G30</f>
        <v>7471810</v>
      </c>
      <c r="H15" s="164">
        <f>'2. BS | BP'!H30</f>
        <v>8895175</v>
      </c>
      <c r="I15" s="164">
        <f>'2. BS | BP'!I30</f>
        <v>10169589</v>
      </c>
      <c r="J15" s="164"/>
      <c r="K15" s="164">
        <f>'2. BS | BP'!K30</f>
        <v>3200971</v>
      </c>
      <c r="L15" s="164">
        <f>'2. BS | BP'!L30</f>
        <v>2725582.0000000005</v>
      </c>
      <c r="M15" s="164">
        <f>'2. BS | BP'!M30</f>
        <v>2684449.7805932802</v>
      </c>
      <c r="N15" s="164">
        <f>'2. BS | BP'!N30</f>
        <v>2656124.8541782</v>
      </c>
      <c r="O15" s="164">
        <f>'2. BS | BP'!O30</f>
        <v>2615835.2391781998</v>
      </c>
      <c r="P15" s="164">
        <f>'2. BS | BP'!P30</f>
        <v>7034059</v>
      </c>
      <c r="Q15" s="164">
        <f>'2. BS | BP'!Q30</f>
        <v>7044410</v>
      </c>
      <c r="R15" s="164">
        <f>'2. BS | BP'!R30</f>
        <v>6992382</v>
      </c>
      <c r="S15" s="164">
        <f>'2. BS | BP'!S30</f>
        <v>7030966</v>
      </c>
      <c r="T15" s="164">
        <f>'2. BS | BP'!T30</f>
        <v>7203957</v>
      </c>
      <c r="U15" s="164">
        <f>'2. BS | BP'!U30</f>
        <v>7260368</v>
      </c>
      <c r="V15" s="164">
        <f>'2. BS | BP'!V30</f>
        <v>7471810</v>
      </c>
      <c r="W15" s="164">
        <f>'2. BS | BP'!W30</f>
        <v>8392474.0009060334</v>
      </c>
      <c r="X15" s="164">
        <f>'2. BS | BP'!X30</f>
        <v>8461990.9470000006</v>
      </c>
      <c r="Y15" s="164">
        <f>'2. BS | BP'!Y30</f>
        <v>8707251</v>
      </c>
      <c r="Z15" s="164">
        <f>'2. BS | BP'!Z30</f>
        <v>8895175</v>
      </c>
      <c r="AA15" s="164">
        <f>'2. BS | BP'!AA30</f>
        <v>8900556</v>
      </c>
      <c r="AB15" s="164">
        <f>'2. BS | BP'!AB30</f>
        <v>9289608</v>
      </c>
      <c r="AC15" s="164">
        <f>'2. BS | BP'!AC30</f>
        <v>9679815</v>
      </c>
      <c r="AD15" s="164">
        <f>'2. BS | BP'!AD30</f>
        <v>10169589</v>
      </c>
      <c r="AE15" s="164">
        <f>'2. BS | BP'!AE30</f>
        <v>10194949</v>
      </c>
      <c r="AF15" s="164"/>
      <c r="AG15" s="191">
        <f>AE15/AD15-1</f>
        <v>2.4937094311283658E-3</v>
      </c>
      <c r="AH15" s="191">
        <f>AE15/AA15-1</f>
        <v>0.14542833054474347</v>
      </c>
      <c r="AI15" s="623"/>
    </row>
    <row r="16" spans="1:38" s="622" customFormat="1" ht="13" customHeight="1">
      <c r="B16" s="620" t="str">
        <f>IF('Summary | Sumário'!D$6=Names!B$3,Names!CN15,Names!CO15)</f>
        <v>ROE (%)</v>
      </c>
      <c r="C16" s="621">
        <f t="shared" ref="C16:G16" si="44">C12/C14</f>
        <v>1.2829502433309343E-2</v>
      </c>
      <c r="D16" s="621">
        <f t="shared" si="44"/>
        <v>6.5929313072213601E-3</v>
      </c>
      <c r="E16" s="621">
        <f t="shared" si="44"/>
        <v>-2.4499984502511288E-2</v>
      </c>
      <c r="F16" s="621">
        <f t="shared" si="44"/>
        <v>-2.2988012896933527E-3</v>
      </c>
      <c r="G16" s="621">
        <f t="shared" si="44"/>
        <v>4.180572271164542E-2</v>
      </c>
      <c r="H16" s="621">
        <f>H12/H14</f>
        <v>0.11084900487169751</v>
      </c>
      <c r="I16" s="621">
        <f>I12/I14</f>
        <v>0.1376770255325479</v>
      </c>
      <c r="J16" s="167"/>
      <c r="K16" s="621">
        <f t="shared" ref="K16:Z16" si="45">K12/K14</f>
        <v>-1.0695727159522619E-2</v>
      </c>
      <c r="L16" s="621">
        <f t="shared" si="45"/>
        <v>-1.623743177526633E-2</v>
      </c>
      <c r="M16" s="621">
        <f t="shared" si="45"/>
        <v>4.6564729195060989E-3</v>
      </c>
      <c r="N16" s="621">
        <f t="shared" si="45"/>
        <v>-8.2575321316311887E-2</v>
      </c>
      <c r="O16" s="621">
        <f t="shared" si="45"/>
        <v>4.9651362181186423E-3</v>
      </c>
      <c r="P16" s="621">
        <f t="shared" si="45"/>
        <v>-1.375351860968195E-2</v>
      </c>
      <c r="Q16" s="621">
        <f t="shared" si="45"/>
        <v>-1.7051854146924641E-2</v>
      </c>
      <c r="R16" s="621">
        <f t="shared" si="45"/>
        <v>1.8372289052940301E-2</v>
      </c>
      <c r="S16" s="621">
        <f t="shared" si="45"/>
        <v>6.506292220659432E-3</v>
      </c>
      <c r="T16" s="621">
        <f t="shared" si="45"/>
        <v>2.7395160479617629E-2</v>
      </c>
      <c r="U16" s="621">
        <f t="shared" si="45"/>
        <v>5.0491675207795732E-2</v>
      </c>
      <c r="V16" s="621">
        <f t="shared" si="45"/>
        <v>8.194362028479428E-2</v>
      </c>
      <c r="W16" s="621">
        <f t="shared" si="45"/>
        <v>9.2178380059035961E-2</v>
      </c>
      <c r="X16" s="621">
        <f t="shared" si="45"/>
        <v>9.8005602972595141E-2</v>
      </c>
      <c r="Y16" s="621">
        <f t="shared" si="45"/>
        <v>0.1130724353464666</v>
      </c>
      <c r="Z16" s="621">
        <f t="shared" si="45"/>
        <v>0.12506866951180479</v>
      </c>
      <c r="AA16" s="621">
        <f>AA12/AA14</f>
        <v>0.12880482403335947</v>
      </c>
      <c r="AB16" s="621">
        <f>AB12/AB14</f>
        <v>0.13859393461213435</v>
      </c>
      <c r="AC16" s="621">
        <f>AC12/AC14</f>
        <v>0.1418473086925206</v>
      </c>
      <c r="AD16" s="621">
        <f>AD12/AD14</f>
        <v>0.15089299406672363</v>
      </c>
      <c r="AE16" s="621">
        <f>AE12/AE14</f>
        <v>0.15508841889759542</v>
      </c>
      <c r="AF16" s="168"/>
      <c r="AG16" s="352">
        <f>(AE16-AD16)*100</f>
        <v>0.41954248308717912</v>
      </c>
      <c r="AH16" s="352">
        <f>(AE16-AA16)*100</f>
        <v>2.6283594864235953</v>
      </c>
    </row>
    <row r="17" spans="2:34" ht="13" customHeight="1">
      <c r="B17" s="50"/>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row>
    <row r="18" spans="2:34" ht="13" customHeight="1">
      <c r="B18" s="613" t="str">
        <f>IF('Summary | Sumário'!D$6=Names!B$3,Names!CN17,Names!CO17)</f>
        <v>ROTE (%)</v>
      </c>
      <c r="C18" s="164"/>
      <c r="D18" s="164"/>
      <c r="E18" s="164"/>
      <c r="F18" s="164"/>
      <c r="G18" s="164"/>
      <c r="H18" s="164"/>
      <c r="I18" s="164"/>
      <c r="J18" s="164"/>
      <c r="K18" s="189"/>
      <c r="L18" s="189"/>
      <c r="M18" s="189"/>
      <c r="N18" s="189"/>
      <c r="O18" s="164"/>
      <c r="P18" s="164"/>
      <c r="Q18" s="164"/>
      <c r="R18" s="164"/>
      <c r="S18" s="164"/>
      <c r="T18" s="164"/>
      <c r="U18" s="164"/>
      <c r="V18" s="164"/>
      <c r="W18" s="164"/>
      <c r="X18" s="164"/>
      <c r="Y18" s="164"/>
      <c r="Z18" s="164"/>
      <c r="AA18" s="164"/>
      <c r="AB18" s="164"/>
      <c r="AC18" s="164"/>
      <c r="AD18" s="164"/>
      <c r="AE18" s="164"/>
      <c r="AF18" s="164"/>
      <c r="AG18" s="191"/>
      <c r="AH18" s="191"/>
    </row>
    <row r="19" spans="2:34" ht="13" customHeight="1">
      <c r="B19" s="276" t="str">
        <f>IF('Summary | Sumário'!D$6=Names!B$3,Names!CN11,Names!CO11)</f>
        <v>Annualized net income</v>
      </c>
      <c r="C19" s="277">
        <f>C20</f>
        <v>27683</v>
      </c>
      <c r="D19" s="277">
        <f t="shared" ref="D19:I19" si="46">D20</f>
        <v>17911</v>
      </c>
      <c r="E19" s="277">
        <f t="shared" si="46"/>
        <v>-72664</v>
      </c>
      <c r="F19" s="277">
        <f t="shared" si="46"/>
        <v>-11090</v>
      </c>
      <c r="G19" s="277">
        <f t="shared" si="46"/>
        <v>302343</v>
      </c>
      <c r="H19" s="277">
        <f t="shared" si="46"/>
        <v>907132</v>
      </c>
      <c r="I19" s="277">
        <f t="shared" si="46"/>
        <v>1312390</v>
      </c>
      <c r="J19" s="164"/>
      <c r="K19" s="277">
        <f t="shared" ref="K19" si="47">K20*4</f>
        <v>-34636</v>
      </c>
      <c r="L19" s="277">
        <f t="shared" ref="L19" si="48">L20*4</f>
        <v>-48116</v>
      </c>
      <c r="M19" s="277">
        <f t="shared" ref="M19" si="49">M20*4</f>
        <v>12595.833239999987</v>
      </c>
      <c r="N19" s="277">
        <f t="shared" ref="N19" si="50">N20*4</f>
        <v>-220499.83324000001</v>
      </c>
      <c r="O19" s="277">
        <f t="shared" ref="O19" si="51">O20*4</f>
        <v>13088</v>
      </c>
      <c r="P19" s="277">
        <f t="shared" ref="P19" si="52">P20*4</f>
        <v>-66360</v>
      </c>
      <c r="Q19" s="277">
        <f t="shared" ref="Q19" si="53">Q20*4</f>
        <v>-120032</v>
      </c>
      <c r="R19" s="277">
        <f t="shared" ref="R19" si="54">R20*4</f>
        <v>128944</v>
      </c>
      <c r="S19" s="277">
        <f t="shared" ref="S19" si="55">S20*4</f>
        <v>45620</v>
      </c>
      <c r="T19" s="277">
        <f t="shared" ref="T19" si="56">T20*4</f>
        <v>194984</v>
      </c>
      <c r="U19" s="277">
        <f t="shared" ref="U19" si="57">U20*4</f>
        <v>365164</v>
      </c>
      <c r="V19" s="277">
        <f t="shared" ref="V19" si="58">V20*4</f>
        <v>603604</v>
      </c>
      <c r="W19" s="277">
        <f t="shared" ref="W19" si="59">W20*4</f>
        <v>731172</v>
      </c>
      <c r="X19" s="277">
        <f t="shared" ref="X19" si="60">X20*4</f>
        <v>825916</v>
      </c>
      <c r="Y19" s="277">
        <f t="shared" ref="Y19" si="61">Y20*4</f>
        <v>970684</v>
      </c>
      <c r="Z19" s="277">
        <f t="shared" ref="Z19" si="62">Z20*4</f>
        <v>1100756</v>
      </c>
      <c r="AA19" s="277">
        <f t="shared" ref="AA19" si="63">AA20*4</f>
        <v>1146088</v>
      </c>
      <c r="AB19" s="277">
        <f t="shared" ref="AB19" si="64">AB20*4</f>
        <v>1260523.2</v>
      </c>
      <c r="AC19" s="277">
        <f t="shared" ref="AC19" si="65">AC20*4</f>
        <v>1345380.8</v>
      </c>
      <c r="AD19" s="277">
        <f t="shared" ref="AD19" si="66">AD20*4</f>
        <v>1497568</v>
      </c>
      <c r="AE19" s="277">
        <f t="shared" ref="AE19" si="67">AE20*4</f>
        <v>1579152</v>
      </c>
      <c r="AF19" s="164"/>
      <c r="AG19" s="331">
        <f t="shared" ref="AG19:AG24" si="68">AE19/AD19-1</f>
        <v>5.4477659779055054E-2</v>
      </c>
      <c r="AH19" s="331">
        <f t="shared" ref="AH19:AH24" si="69">AE19/AA19-1</f>
        <v>0.37786278191552491</v>
      </c>
    </row>
    <row r="20" spans="2:34" ht="13" customHeight="1">
      <c r="B20" s="54" t="str">
        <f>IF('Summary | Sumário'!D$6=Names!B$3,Names!CN12,Names!CO12)</f>
        <v>Net income excluding minority interest</v>
      </c>
      <c r="C20" s="189">
        <f>'3. IS | DRE'!C29</f>
        <v>27683</v>
      </c>
      <c r="D20" s="189">
        <f>'3. IS | DRE'!D29</f>
        <v>17911</v>
      </c>
      <c r="E20" s="189">
        <f>'3. IS | DRE'!E29</f>
        <v>-72664</v>
      </c>
      <c r="F20" s="189">
        <f>'3. IS | DRE'!F29</f>
        <v>-11090</v>
      </c>
      <c r="G20" s="189">
        <f>'3. IS | DRE'!G29</f>
        <v>302343</v>
      </c>
      <c r="H20" s="189">
        <f>'3. IS | DRE'!H29</f>
        <v>907132</v>
      </c>
      <c r="I20" s="189">
        <f>'3. IS | DRE'!I29</f>
        <v>1312390</v>
      </c>
      <c r="J20" s="191"/>
      <c r="K20" s="189">
        <f>'3. IS | DRE'!K29</f>
        <v>-8659</v>
      </c>
      <c r="L20" s="189">
        <f>'3. IS | DRE'!L29</f>
        <v>-12029</v>
      </c>
      <c r="M20" s="189">
        <f>'3. IS | DRE'!M29</f>
        <v>3148.9583099999968</v>
      </c>
      <c r="N20" s="189">
        <f>'3. IS | DRE'!N29</f>
        <v>-55124.958310000002</v>
      </c>
      <c r="O20" s="189">
        <f>'3. IS | DRE'!O29</f>
        <v>3272</v>
      </c>
      <c r="P20" s="189">
        <f>'3. IS | DRE'!P29</f>
        <v>-16590</v>
      </c>
      <c r="Q20" s="189">
        <f>'3. IS | DRE'!Q29</f>
        <v>-30008</v>
      </c>
      <c r="R20" s="189">
        <f>'3. IS | DRE'!R29</f>
        <v>32236</v>
      </c>
      <c r="S20" s="189">
        <f>'3. IS | DRE'!S29</f>
        <v>11405</v>
      </c>
      <c r="T20" s="189">
        <f>'3. IS | DRE'!T29</f>
        <v>48746</v>
      </c>
      <c r="U20" s="189">
        <f>'3. IS | DRE'!U29</f>
        <v>91291</v>
      </c>
      <c r="V20" s="189">
        <f>'3. IS | DRE'!V29</f>
        <v>150901</v>
      </c>
      <c r="W20" s="189">
        <f>'3. IS | DRE'!W29</f>
        <v>182793</v>
      </c>
      <c r="X20" s="189">
        <f>'3. IS | DRE'!X29</f>
        <v>206479</v>
      </c>
      <c r="Y20" s="189">
        <f>'3. IS | DRE'!Y29</f>
        <v>242671</v>
      </c>
      <c r="Z20" s="189">
        <f>'3. IS | DRE'!Z29</f>
        <v>275189</v>
      </c>
      <c r="AA20" s="189">
        <f>'3. IS | DRE'!AA29</f>
        <v>286522</v>
      </c>
      <c r="AB20" s="189">
        <f>'3. IS | DRE'!AB29</f>
        <v>315130.8</v>
      </c>
      <c r="AC20" s="189">
        <f>'3. IS | DRE'!AC29</f>
        <v>336345.2</v>
      </c>
      <c r="AD20" s="189">
        <f>'3. IS | DRE'!AD29</f>
        <v>374392</v>
      </c>
      <c r="AE20" s="189">
        <f>'3. IS | DRE'!AE29</f>
        <v>394788</v>
      </c>
      <c r="AF20" s="191"/>
      <c r="AG20" s="191">
        <f t="shared" si="68"/>
        <v>5.4477659779055054E-2</v>
      </c>
      <c r="AH20" s="191">
        <f t="shared" si="69"/>
        <v>0.37786278191552491</v>
      </c>
    </row>
    <row r="21" spans="2:34" ht="13" customHeight="1">
      <c r="B21" s="52" t="str">
        <f>IF('Summary | Sumário'!D$6=Names!B$3,Names!CN18,Names!CO18)</f>
        <v xml:space="preserve"> (÷) Average equity excluding intangible assets of the last two periods</v>
      </c>
      <c r="C21" s="159">
        <f t="shared" ref="C21:AD21" si="70">AVERAGE(B22:C22)</f>
        <v>2078513</v>
      </c>
      <c r="D21" s="159">
        <f t="shared" si="70"/>
        <v>2564815.5</v>
      </c>
      <c r="E21" s="159">
        <f t="shared" si="70"/>
        <v>2638369.4270890998</v>
      </c>
      <c r="F21" s="159">
        <f t="shared" si="70"/>
        <v>3989686.9270890998</v>
      </c>
      <c r="G21" s="159">
        <f t="shared" si="70"/>
        <v>5940129.5</v>
      </c>
      <c r="H21" s="159">
        <f t="shared" si="70"/>
        <v>6592814.2076764498</v>
      </c>
      <c r="I21" s="159">
        <f t="shared" si="70"/>
        <v>7602386.2076764498</v>
      </c>
      <c r="J21" s="191"/>
      <c r="K21" s="159">
        <f>AVERAGE(K22,D22)</f>
        <v>2974335.5</v>
      </c>
      <c r="L21" s="159">
        <f t="shared" si="70"/>
        <v>2637195</v>
      </c>
      <c r="M21" s="159">
        <f t="shared" si="70"/>
        <v>2246079.5152966403</v>
      </c>
      <c r="N21" s="159">
        <f t="shared" si="70"/>
        <v>2170471.4423857401</v>
      </c>
      <c r="O21" s="159">
        <f t="shared" si="70"/>
        <v>1762545.0466781999</v>
      </c>
      <c r="P21" s="159">
        <f t="shared" si="70"/>
        <v>3571809.6195890997</v>
      </c>
      <c r="Q21" s="159">
        <f t="shared" si="70"/>
        <v>5839544.5</v>
      </c>
      <c r="R21" s="159">
        <f t="shared" si="70"/>
        <v>5794346</v>
      </c>
      <c r="S21" s="159">
        <f t="shared" si="70"/>
        <v>5755148</v>
      </c>
      <c r="T21" s="159">
        <f t="shared" si="70"/>
        <v>5828659</v>
      </c>
      <c r="U21" s="159">
        <f t="shared" si="70"/>
        <v>5919396.5</v>
      </c>
      <c r="V21" s="159">
        <f t="shared" si="70"/>
        <v>6032262</v>
      </c>
      <c r="W21" s="159">
        <f t="shared" si="70"/>
        <v>6461401.5004530167</v>
      </c>
      <c r="X21" s="159">
        <f t="shared" si="70"/>
        <v>6798214.9614530168</v>
      </c>
      <c r="Y21" s="159">
        <f t="shared" si="70"/>
        <v>6898117.8265850004</v>
      </c>
      <c r="Z21" s="159">
        <f t="shared" si="70"/>
        <v>7027612.57326145</v>
      </c>
      <c r="AA21" s="159">
        <f t="shared" si="70"/>
        <v>7016929.7076764498</v>
      </c>
      <c r="AB21" s="159">
        <f t="shared" si="70"/>
        <v>7146809</v>
      </c>
      <c r="AC21" s="159">
        <f t="shared" si="70"/>
        <v>7496026</v>
      </c>
      <c r="AD21" s="159">
        <f t="shared" si="70"/>
        <v>7909410.5</v>
      </c>
      <c r="AE21" s="159">
        <f>AVERAGE(AD22:AE22)</f>
        <v>8120162</v>
      </c>
      <c r="AF21" s="191"/>
      <c r="AG21" s="190">
        <f t="shared" si="68"/>
        <v>2.6645664680066794E-2</v>
      </c>
      <c r="AH21" s="190">
        <f t="shared" si="69"/>
        <v>0.15722436140647456</v>
      </c>
    </row>
    <row r="22" spans="2:34" ht="13" customHeight="1">
      <c r="B22" s="54" t="str">
        <f>IF('Summary | Sumário'!D$6=Names!B$3,Names!CN19,Names!CO19)</f>
        <v>Equity excluding intangible assets</v>
      </c>
      <c r="C22" s="189">
        <f t="shared" ref="C22:AD22" si="71">C23-C24</f>
        <v>2078513</v>
      </c>
      <c r="D22" s="189">
        <f t="shared" si="71"/>
        <v>3051118</v>
      </c>
      <c r="E22" s="189">
        <f t="shared" si="71"/>
        <v>2225620.8541782</v>
      </c>
      <c r="F22" s="189">
        <f t="shared" si="71"/>
        <v>5753753</v>
      </c>
      <c r="G22" s="189">
        <f t="shared" si="71"/>
        <v>6126506</v>
      </c>
      <c r="H22" s="189">
        <f t="shared" si="71"/>
        <v>7059122.4153528996</v>
      </c>
      <c r="I22" s="189">
        <f t="shared" si="71"/>
        <v>8145650</v>
      </c>
      <c r="J22" s="191"/>
      <c r="K22" s="189">
        <f t="shared" si="71"/>
        <v>2897553</v>
      </c>
      <c r="L22" s="189">
        <f t="shared" si="71"/>
        <v>2376837.0000000005</v>
      </c>
      <c r="M22" s="189">
        <f t="shared" si="71"/>
        <v>2115322.0305932802</v>
      </c>
      <c r="N22" s="189">
        <f t="shared" si="71"/>
        <v>2225620.8541782</v>
      </c>
      <c r="O22" s="189">
        <f t="shared" si="71"/>
        <v>1299469.2391781998</v>
      </c>
      <c r="P22" s="189">
        <f t="shared" si="71"/>
        <v>5844150</v>
      </c>
      <c r="Q22" s="189">
        <f t="shared" si="71"/>
        <v>5834939</v>
      </c>
      <c r="R22" s="189">
        <f t="shared" si="71"/>
        <v>5753753</v>
      </c>
      <c r="S22" s="189">
        <f t="shared" si="71"/>
        <v>5756543</v>
      </c>
      <c r="T22" s="189">
        <f t="shared" si="71"/>
        <v>5900775</v>
      </c>
      <c r="U22" s="189">
        <f t="shared" si="71"/>
        <v>5938018</v>
      </c>
      <c r="V22" s="189">
        <f t="shared" si="71"/>
        <v>6126506</v>
      </c>
      <c r="W22" s="189">
        <f t="shared" si="71"/>
        <v>6796297.0009060334</v>
      </c>
      <c r="X22" s="189">
        <f t="shared" si="71"/>
        <v>6800132.9220000003</v>
      </c>
      <c r="Y22" s="189">
        <f t="shared" si="71"/>
        <v>6996102.7311700005</v>
      </c>
      <c r="Z22" s="189">
        <f t="shared" si="71"/>
        <v>7059122.4153528996</v>
      </c>
      <c r="AA22" s="189">
        <f t="shared" si="71"/>
        <v>6974737</v>
      </c>
      <c r="AB22" s="189">
        <f t="shared" si="71"/>
        <v>7318881</v>
      </c>
      <c r="AC22" s="189">
        <f t="shared" si="71"/>
        <v>7673171</v>
      </c>
      <c r="AD22" s="189">
        <f t="shared" si="71"/>
        <v>8145650</v>
      </c>
      <c r="AE22" s="189">
        <f>AE23-AE24</f>
        <v>8094674</v>
      </c>
      <c r="AF22" s="191"/>
      <c r="AG22" s="191">
        <f t="shared" si="68"/>
        <v>-6.2580641201132048E-3</v>
      </c>
      <c r="AH22" s="191">
        <f t="shared" si="69"/>
        <v>0.16057049893064068</v>
      </c>
    </row>
    <row r="23" spans="2:34" ht="13" customHeight="1">
      <c r="B23" s="67" t="str">
        <f>IF('Summary | Sumário'!D$6=Names!B$3,Names!CN14,Names!CO14)</f>
        <v>Equity attributable to owners of the Company</v>
      </c>
      <c r="C23" s="159">
        <f>'2. BS | BP'!C30</f>
        <v>2157761</v>
      </c>
      <c r="D23" s="159">
        <f>'2. BS | BP'!D30</f>
        <v>3275634</v>
      </c>
      <c r="E23" s="159">
        <f>'2. BS | BP'!E30</f>
        <v>2656124.8541782</v>
      </c>
      <c r="F23" s="159">
        <f>'2. BS | BP'!F30</f>
        <v>6992382</v>
      </c>
      <c r="G23" s="159">
        <f>'2. BS | BP'!G30</f>
        <v>7471810</v>
      </c>
      <c r="H23" s="159">
        <f>'2. BS | BP'!H30</f>
        <v>8895175</v>
      </c>
      <c r="I23" s="159">
        <f>'2. BS | BP'!I30</f>
        <v>10169589</v>
      </c>
      <c r="J23" s="191"/>
      <c r="K23" s="159">
        <f>'2. BS | BP'!K30</f>
        <v>3200971</v>
      </c>
      <c r="L23" s="159">
        <f>'2. BS | BP'!L30</f>
        <v>2725582.0000000005</v>
      </c>
      <c r="M23" s="159">
        <f>'2. BS | BP'!M30</f>
        <v>2684449.7805932802</v>
      </c>
      <c r="N23" s="159">
        <f>'2. BS | BP'!N30</f>
        <v>2656124.8541782</v>
      </c>
      <c r="O23" s="159">
        <f>'2. BS | BP'!O30</f>
        <v>2615835.2391781998</v>
      </c>
      <c r="P23" s="159">
        <f>'2. BS | BP'!P30</f>
        <v>7034059</v>
      </c>
      <c r="Q23" s="159">
        <f>'2. BS | BP'!Q30</f>
        <v>7044410</v>
      </c>
      <c r="R23" s="159">
        <f>'2. BS | BP'!R30</f>
        <v>6992382</v>
      </c>
      <c r="S23" s="159">
        <f>'2. BS | BP'!S30</f>
        <v>7030966</v>
      </c>
      <c r="T23" s="159">
        <f>'2. BS | BP'!T30</f>
        <v>7203957</v>
      </c>
      <c r="U23" s="159">
        <f>'2. BS | BP'!U30</f>
        <v>7260368</v>
      </c>
      <c r="V23" s="159">
        <f>'2. BS | BP'!V30</f>
        <v>7471810</v>
      </c>
      <c r="W23" s="159">
        <f>'2. BS | BP'!W30</f>
        <v>8392474.0009060334</v>
      </c>
      <c r="X23" s="159">
        <f>'2. BS | BP'!X30</f>
        <v>8461990.9470000006</v>
      </c>
      <c r="Y23" s="159">
        <f>'2. BS | BP'!Y30</f>
        <v>8707251</v>
      </c>
      <c r="Z23" s="159">
        <f>'2. BS | BP'!Z30</f>
        <v>8895175</v>
      </c>
      <c r="AA23" s="159">
        <f>'2. BS | BP'!AA30</f>
        <v>8900556</v>
      </c>
      <c r="AB23" s="159">
        <f>'2. BS | BP'!AB30</f>
        <v>9289608</v>
      </c>
      <c r="AC23" s="159">
        <f>'2. BS | BP'!AC30</f>
        <v>9679815</v>
      </c>
      <c r="AD23" s="159">
        <f>'2. BS | BP'!AD30</f>
        <v>10169589</v>
      </c>
      <c r="AE23" s="159">
        <f>'2. BS | BP'!AE30</f>
        <v>10194949</v>
      </c>
      <c r="AF23" s="191"/>
      <c r="AG23" s="190">
        <f t="shared" si="68"/>
        <v>2.4937094311283658E-3</v>
      </c>
      <c r="AH23" s="190">
        <f t="shared" si="69"/>
        <v>0.14542833054474347</v>
      </c>
    </row>
    <row r="24" spans="2:34" ht="13" customHeight="1">
      <c r="B24" s="62" t="str">
        <f>IF('Summary | Sumário'!D$6=Names!B$3,Names!CN20,Names!CO20)</f>
        <v>Intangible assets</v>
      </c>
      <c r="C24" s="164">
        <f>'2. BS | BP'!C12</f>
        <v>79248</v>
      </c>
      <c r="D24" s="164">
        <f>'2. BS | BP'!D12</f>
        <v>224516</v>
      </c>
      <c r="E24" s="164">
        <f>'2. BS | BP'!E12</f>
        <v>430504</v>
      </c>
      <c r="F24" s="164">
        <f>'2. BS | BP'!F12</f>
        <v>1238629</v>
      </c>
      <c r="G24" s="164">
        <f>'2. BS | BP'!G12</f>
        <v>1345304</v>
      </c>
      <c r="H24" s="164">
        <f>'2. BS | BP'!H12</f>
        <v>1836052.5846471</v>
      </c>
      <c r="I24" s="164">
        <f>'2. BS | BP'!I12</f>
        <v>2023939</v>
      </c>
      <c r="J24" s="191"/>
      <c r="K24" s="164">
        <f>'2. BS | BP'!K12</f>
        <v>303418</v>
      </c>
      <c r="L24" s="164">
        <f>'2. BS | BP'!L12</f>
        <v>348745</v>
      </c>
      <c r="M24" s="164">
        <f>'2. BS | BP'!M12</f>
        <v>569127.75</v>
      </c>
      <c r="N24" s="164">
        <f>'2. BS | BP'!N12</f>
        <v>430504</v>
      </c>
      <c r="O24" s="164">
        <f>'2. BS | BP'!O12</f>
        <v>1316366</v>
      </c>
      <c r="P24" s="164">
        <f>'2. BS | BP'!P12</f>
        <v>1189909</v>
      </c>
      <c r="Q24" s="164">
        <f>'2. BS | BP'!Q12</f>
        <v>1209471</v>
      </c>
      <c r="R24" s="164">
        <f>'2. BS | BP'!R12</f>
        <v>1238629</v>
      </c>
      <c r="S24" s="164">
        <f>'2. BS | BP'!S12</f>
        <v>1274423</v>
      </c>
      <c r="T24" s="164">
        <f>'2. BS | BP'!T12</f>
        <v>1303182</v>
      </c>
      <c r="U24" s="164">
        <f>'2. BS | BP'!U12</f>
        <v>1322350</v>
      </c>
      <c r="V24" s="164">
        <f>'2. BS | BP'!V12</f>
        <v>1345304</v>
      </c>
      <c r="W24" s="164">
        <f>'2. BS | BP'!W12</f>
        <v>1596177</v>
      </c>
      <c r="X24" s="164">
        <f>'2. BS | BP'!X12</f>
        <v>1661858.0249999999</v>
      </c>
      <c r="Y24" s="164">
        <f>'2. BS | BP'!Y12</f>
        <v>1711148.26883</v>
      </c>
      <c r="Z24" s="164">
        <f>'2. BS | BP'!Z12</f>
        <v>1836052.5846471</v>
      </c>
      <c r="AA24" s="164">
        <f>'2. BS | BP'!AA12</f>
        <v>1925819</v>
      </c>
      <c r="AB24" s="164">
        <f>'2. BS | BP'!AB12</f>
        <v>1970727</v>
      </c>
      <c r="AC24" s="164">
        <f>'2. BS | BP'!AC12</f>
        <v>2006644</v>
      </c>
      <c r="AD24" s="164">
        <f>'2. BS | BP'!AD12</f>
        <v>2023939</v>
      </c>
      <c r="AE24" s="164">
        <f>'2. BS | BP'!AE12</f>
        <v>2100275</v>
      </c>
      <c r="AF24" s="191"/>
      <c r="AG24" s="191">
        <f t="shared" si="68"/>
        <v>3.7716551734019665E-2</v>
      </c>
      <c r="AH24" s="191">
        <f t="shared" si="69"/>
        <v>9.058795245036011E-2</v>
      </c>
    </row>
    <row r="25" spans="2:34" ht="13" customHeight="1">
      <c r="B25" s="620" t="str">
        <f>IF('Summary | Sumário'!D$6=Names!B$3,Names!CN17,Names!CO17)</f>
        <v>ROTE (%)</v>
      </c>
      <c r="C25" s="621">
        <f t="shared" ref="C25" si="72">C19/C21</f>
        <v>1.3318656173908943E-2</v>
      </c>
      <c r="D25" s="621">
        <f t="shared" ref="D25" si="73">D19/D21</f>
        <v>6.9833483149177788E-3</v>
      </c>
      <c r="E25" s="621">
        <f t="shared" ref="E25" si="74">E19/E21</f>
        <v>-2.7541253038309288E-2</v>
      </c>
      <c r="F25" s="621">
        <f t="shared" ref="F25" si="75">F19/F21</f>
        <v>-2.779666726404353E-3</v>
      </c>
      <c r="G25" s="621">
        <f t="shared" ref="G25" si="76">G19/G21</f>
        <v>5.0898385296145481E-2</v>
      </c>
      <c r="H25" s="621">
        <f t="shared" ref="H25:I25" si="77">H19/H21</f>
        <v>0.13759404882724682</v>
      </c>
      <c r="I25" s="621">
        <f t="shared" si="77"/>
        <v>0.17262869369551687</v>
      </c>
      <c r="J25" s="192"/>
      <c r="K25" s="621">
        <f t="shared" ref="K25:AD25" si="78">K19/K21</f>
        <v>-1.164495397375313E-2</v>
      </c>
      <c r="L25" s="621">
        <f t="shared" si="78"/>
        <v>-1.8245143040237829E-2</v>
      </c>
      <c r="M25" s="621">
        <f t="shared" si="78"/>
        <v>5.6079195568178499E-3</v>
      </c>
      <c r="N25" s="621">
        <f t="shared" si="78"/>
        <v>-0.1015907553234752</v>
      </c>
      <c r="O25" s="621">
        <f t="shared" si="78"/>
        <v>7.4256258157296149E-3</v>
      </c>
      <c r="P25" s="621">
        <f t="shared" si="78"/>
        <v>-1.8578817761186847E-2</v>
      </c>
      <c r="Q25" s="621">
        <f t="shared" si="78"/>
        <v>-2.0555027879314902E-2</v>
      </c>
      <c r="R25" s="621">
        <f t="shared" si="78"/>
        <v>2.2253417383083441E-2</v>
      </c>
      <c r="S25" s="621">
        <f t="shared" si="78"/>
        <v>7.9268161305321768E-3</v>
      </c>
      <c r="T25" s="621">
        <f t="shared" si="78"/>
        <v>3.345263464546476E-2</v>
      </c>
      <c r="U25" s="621">
        <f t="shared" si="78"/>
        <v>6.1689396883618117E-2</v>
      </c>
      <c r="V25" s="621">
        <f t="shared" si="78"/>
        <v>0.10006262990566391</v>
      </c>
      <c r="W25" s="621">
        <f t="shared" si="78"/>
        <v>0.11315997000785923</v>
      </c>
      <c r="X25" s="621">
        <f t="shared" si="78"/>
        <v>0.12149012714118013</v>
      </c>
      <c r="Y25" s="621">
        <f t="shared" si="78"/>
        <v>0.14071722524933286</v>
      </c>
      <c r="Z25" s="621">
        <f t="shared" si="78"/>
        <v>0.15663299428146327</v>
      </c>
      <c r="AA25" s="621">
        <f t="shared" si="78"/>
        <v>0.16333183425596973</v>
      </c>
      <c r="AB25" s="621">
        <f t="shared" si="78"/>
        <v>0.1763756663988082</v>
      </c>
      <c r="AC25" s="621">
        <f t="shared" si="78"/>
        <v>0.17947920671566508</v>
      </c>
      <c r="AD25" s="621">
        <f t="shared" si="78"/>
        <v>0.18934002730039109</v>
      </c>
      <c r="AE25" s="621">
        <f>AE19/AE21</f>
        <v>0.19447296741124132</v>
      </c>
      <c r="AF25" s="192"/>
      <c r="AG25" s="352">
        <f>(AE25-AD25)*100</f>
        <v>0.51329401108502204</v>
      </c>
      <c r="AH25" s="352">
        <f>(AE25-AA25)*100</f>
        <v>3.1141133155271588</v>
      </c>
    </row>
    <row r="26" spans="2:34" ht="13" customHeight="1">
      <c r="B26" s="107"/>
      <c r="C26" s="192"/>
      <c r="D26" s="192"/>
      <c r="E26" s="192"/>
      <c r="F26" s="192"/>
      <c r="G26" s="192"/>
      <c r="H26" s="192"/>
      <c r="I26" s="192"/>
      <c r="J26" s="193"/>
      <c r="K26" s="192"/>
      <c r="L26" s="192"/>
      <c r="M26" s="192"/>
      <c r="N26" s="192"/>
      <c r="O26" s="192"/>
      <c r="P26" s="192"/>
      <c r="Q26" s="192"/>
      <c r="R26" s="192"/>
      <c r="S26" s="192"/>
      <c r="T26" s="192"/>
      <c r="U26" s="192"/>
      <c r="V26" s="192"/>
      <c r="W26" s="192"/>
      <c r="X26" s="192"/>
      <c r="Y26" s="192"/>
      <c r="Z26" s="192"/>
      <c r="AA26" s="193"/>
      <c r="AB26" s="193"/>
      <c r="AC26" s="193"/>
      <c r="AD26" s="193"/>
      <c r="AE26" s="193"/>
      <c r="AF26" s="193"/>
      <c r="AG26" s="193"/>
      <c r="AH26" s="193"/>
    </row>
    <row r="27" spans="2:34" ht="13" customHeight="1">
      <c r="B27" s="107"/>
      <c r="C27" s="193"/>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row>
    <row r="28" spans="2:34" ht="13" customHeight="1">
      <c r="B28" s="107"/>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row>
    <row r="29" spans="2:34" ht="13" customHeight="1">
      <c r="B29" s="107"/>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row>
    <row r="30" spans="2:34" ht="13" customHeight="1">
      <c r="B30" s="107"/>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row>
    <row r="31" spans="2:34" ht="13" customHeight="1">
      <c r="B31" s="107"/>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row>
    <row r="32" spans="2:34" ht="13" customHeight="1">
      <c r="B32" s="107"/>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row>
    <row r="33" spans="1:34" ht="13" customHeight="1">
      <c r="B33" s="107"/>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row>
    <row r="34" spans="1:34" ht="13" customHeight="1">
      <c r="B34" s="108"/>
      <c r="R34" s="306"/>
      <c r="U34" s="306"/>
      <c r="V34" s="306"/>
      <c r="W34" s="306"/>
      <c r="X34" s="306"/>
      <c r="Y34" s="306"/>
      <c r="Z34" s="306"/>
    </row>
    <row r="35" spans="1:34" s="182" customFormat="1" ht="13" customHeight="1">
      <c r="A35" s="181"/>
      <c r="B35" s="109"/>
    </row>
    <row r="36" spans="1:34" s="182" customFormat="1" ht="13" customHeight="1">
      <c r="A36" s="181"/>
      <c r="B36" s="105"/>
      <c r="R36" s="306"/>
      <c r="U36" s="306"/>
      <c r="V36" s="306"/>
      <c r="W36" s="306"/>
      <c r="X36" s="306"/>
      <c r="Y36" s="306"/>
      <c r="Z36" s="306"/>
    </row>
  </sheetData>
  <sheetProtection algorithmName="SHA-512" hashValue="WaU0tkDFACCE9dj2rJpcP8TU4XaHFa4icbO4Re10KAvrPKa1WZ4M7t+cw7jBLCX+fVrhGJ40yUvESfCs0rQDNg==" saltValue="dhdgN2ArUWWhYBSrpH/uJ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E1AB-9968-7C46-B023-60A7EC5A8032}">
  <sheetPr codeName="Sheet1">
    <tabColor rgb="FFFFFFFF"/>
  </sheetPr>
  <dimension ref="A1:L47"/>
  <sheetViews>
    <sheetView showGridLines="0" tabSelected="1" zoomScaleNormal="100" workbookViewId="0">
      <selection activeCell="D6" sqref="D6"/>
    </sheetView>
  </sheetViews>
  <sheetFormatPr baseColWidth="10" defaultColWidth="10.83203125" defaultRowHeight="22" customHeight="1"/>
  <cols>
    <col min="1" max="2" width="3.33203125" style="7" customWidth="1"/>
    <col min="3" max="3" width="3.6640625" style="7" customWidth="1"/>
    <col min="4" max="4" width="41.1640625" style="7" bestFit="1" customWidth="1"/>
    <col min="5" max="5" width="17.33203125" style="7" customWidth="1"/>
    <col min="6" max="6" width="4.83203125" style="7" bestFit="1" customWidth="1"/>
    <col min="7" max="7" width="5" style="7" customWidth="1"/>
    <col min="8" max="8" width="45.33203125" style="7" customWidth="1"/>
    <col min="9" max="9" width="3.83203125" style="88" customWidth="1"/>
    <col min="10" max="10" width="1.1640625" style="7" customWidth="1"/>
    <col min="11" max="11" width="48" style="7" customWidth="1"/>
    <col min="12" max="12" width="4.83203125" style="7" customWidth="1"/>
    <col min="13" max="16384" width="10.83203125" style="7"/>
  </cols>
  <sheetData>
    <row r="1" spans="1:12" ht="10" customHeight="1">
      <c r="A1" s="87"/>
      <c r="B1" s="87"/>
      <c r="C1" s="87"/>
      <c r="D1" s="87"/>
      <c r="E1" s="87"/>
      <c r="F1" s="602"/>
      <c r="G1" s="602"/>
      <c r="H1" s="87"/>
      <c r="I1" s="603"/>
      <c r="J1" s="602"/>
    </row>
    <row r="2" spans="1:12" ht="11" customHeight="1">
      <c r="A2" s="87"/>
      <c r="B2" s="631"/>
      <c r="C2" s="632"/>
      <c r="D2" s="632"/>
      <c r="E2" s="632"/>
      <c r="F2" s="632"/>
      <c r="G2" s="632"/>
      <c r="H2" s="632"/>
      <c r="I2" s="633"/>
      <c r="J2" s="632"/>
      <c r="K2" s="632"/>
      <c r="L2" s="634"/>
    </row>
    <row r="3" spans="1:12" ht="22" customHeight="1">
      <c r="A3" s="87"/>
      <c r="B3" s="635"/>
      <c r="C3" s="585"/>
      <c r="D3" s="587"/>
      <c r="E3" s="588"/>
      <c r="F3" s="585"/>
      <c r="G3" s="586"/>
      <c r="H3" s="585"/>
      <c r="I3" s="589"/>
      <c r="J3" s="588"/>
      <c r="K3" s="588"/>
      <c r="L3" s="636"/>
    </row>
    <row r="4" spans="1:12" ht="24" customHeight="1">
      <c r="A4" s="87"/>
      <c r="B4" s="635"/>
      <c r="C4" s="585"/>
      <c r="D4" s="601" t="s">
        <v>1158</v>
      </c>
      <c r="E4" s="585"/>
      <c r="F4" s="590"/>
      <c r="G4" s="590"/>
      <c r="H4" s="590"/>
      <c r="I4" s="591"/>
      <c r="J4" s="590"/>
      <c r="K4" s="590"/>
      <c r="L4" s="636"/>
    </row>
    <row r="5" spans="1:12" ht="9" customHeight="1">
      <c r="A5" s="87"/>
      <c r="B5" s="635"/>
      <c r="C5" s="585"/>
      <c r="D5" s="588"/>
      <c r="E5" s="585"/>
      <c r="F5" s="590"/>
      <c r="G5" s="590"/>
      <c r="H5" s="590"/>
      <c r="I5" s="591"/>
      <c r="J5" s="590"/>
      <c r="K5" s="590"/>
      <c r="L5" s="636"/>
    </row>
    <row r="6" spans="1:12" ht="25" customHeight="1">
      <c r="A6" s="87"/>
      <c r="B6" s="635"/>
      <c r="C6" s="585"/>
      <c r="D6" s="600" t="s">
        <v>107</v>
      </c>
      <c r="E6" s="585"/>
      <c r="F6" s="771" t="str">
        <f>IF('Summary | Sumário'!D6=Names!B3,Names!BL1,Names!BM1)</f>
        <v>1Q26 Historical Data</v>
      </c>
      <c r="G6" s="771"/>
      <c r="H6" s="771"/>
      <c r="I6" s="771"/>
      <c r="J6" s="771"/>
      <c r="K6" s="771"/>
      <c r="L6" s="636"/>
    </row>
    <row r="7" spans="1:12" ht="18" customHeight="1">
      <c r="A7" s="87"/>
      <c r="B7" s="635"/>
      <c r="C7" s="585"/>
      <c r="D7" s="585"/>
      <c r="E7" s="581"/>
      <c r="F7" s="771"/>
      <c r="G7" s="771"/>
      <c r="H7" s="771"/>
      <c r="I7" s="771"/>
      <c r="J7" s="771"/>
      <c r="K7" s="771"/>
      <c r="L7" s="637"/>
    </row>
    <row r="8" spans="1:12" ht="47">
      <c r="A8" s="87"/>
      <c r="B8" s="635"/>
      <c r="C8" s="585"/>
      <c r="D8" s="585"/>
      <c r="E8" s="581"/>
      <c r="F8" s="582"/>
      <c r="G8" s="582"/>
      <c r="H8" s="592"/>
      <c r="I8" s="593"/>
      <c r="J8" s="582"/>
      <c r="K8" s="592"/>
      <c r="L8" s="637"/>
    </row>
    <row r="9" spans="1:12" ht="13" customHeight="1">
      <c r="A9" s="87"/>
      <c r="B9" s="635"/>
      <c r="C9" s="585"/>
      <c r="D9" s="585"/>
      <c r="E9" s="581"/>
      <c r="F9" s="594"/>
      <c r="G9" s="594"/>
      <c r="H9" s="581"/>
      <c r="I9" s="583"/>
      <c r="J9" s="594"/>
      <c r="K9" s="581"/>
      <c r="L9" s="638"/>
    </row>
    <row r="10" spans="1:12" ht="22" customHeight="1">
      <c r="A10" s="87"/>
      <c r="B10" s="635"/>
      <c r="C10" s="585"/>
      <c r="D10" s="585"/>
      <c r="E10" s="584"/>
      <c r="F10" s="604" t="s">
        <v>1159</v>
      </c>
      <c r="G10" s="611"/>
      <c r="H10" s="639" t="str">
        <f>IF('Summary | Sumário'!D6=Names!B3,Names!I30,Names!J30)</f>
        <v>Highlights</v>
      </c>
      <c r="I10" s="604" t="s">
        <v>1159</v>
      </c>
      <c r="J10" s="605"/>
      <c r="K10" s="639" t="str">
        <f>IF('Summary | Sumário'!D6=Names!B3,Names!I17,Names!J17)</f>
        <v>Operational KPIs</v>
      </c>
      <c r="L10" s="636"/>
    </row>
    <row r="11" spans="1:12" ht="10" customHeight="1">
      <c r="A11" s="87"/>
      <c r="B11" s="635"/>
      <c r="C11" s="585"/>
      <c r="D11" s="585"/>
      <c r="E11" s="584"/>
      <c r="F11" s="611"/>
      <c r="G11" s="611"/>
      <c r="H11" s="639"/>
      <c r="I11" s="604"/>
      <c r="J11" s="605"/>
      <c r="K11" s="639"/>
      <c r="L11" s="636"/>
    </row>
    <row r="12" spans="1:12" ht="22" customHeight="1">
      <c r="A12" s="87"/>
      <c r="B12" s="635"/>
      <c r="C12" s="585"/>
      <c r="D12" s="585"/>
      <c r="E12" s="584"/>
      <c r="F12" s="604" t="s">
        <v>1160</v>
      </c>
      <c r="G12" s="605"/>
      <c r="H12" s="639" t="str">
        <f>IF('Summary | Sumário'!D6=Names!B3,Names!I31,Names!J31)</f>
        <v>Balance Sheet</v>
      </c>
      <c r="I12" s="604" t="s">
        <v>1160</v>
      </c>
      <c r="J12" s="605"/>
      <c r="K12" s="639" t="str">
        <f>IF('Summary | Sumário'!D6=Names!B3,Names!I27,Names!J27)</f>
        <v>Market Data</v>
      </c>
      <c r="L12" s="636"/>
    </row>
    <row r="13" spans="1:12" ht="10" customHeight="1">
      <c r="A13" s="87"/>
      <c r="B13" s="635"/>
      <c r="C13" s="585"/>
      <c r="D13" s="585"/>
      <c r="E13" s="584"/>
      <c r="F13" s="604"/>
      <c r="G13" s="605"/>
      <c r="H13" s="639"/>
      <c r="I13" s="604"/>
      <c r="J13" s="605"/>
      <c r="K13" s="639"/>
      <c r="L13" s="636"/>
    </row>
    <row r="14" spans="1:12" ht="22" customHeight="1">
      <c r="A14" s="87"/>
      <c r="B14" s="635"/>
      <c r="C14" s="585"/>
      <c r="D14" s="585"/>
      <c r="E14" s="584"/>
      <c r="F14" s="604" t="s">
        <v>1161</v>
      </c>
      <c r="G14" s="605"/>
      <c r="H14" s="639" t="str">
        <f>IF('Summary | Sumário'!D6=Names!B3,Names!I32,Names!J32)</f>
        <v>Income Statement</v>
      </c>
      <c r="I14" s="604" t="s">
        <v>1161</v>
      </c>
      <c r="J14" s="605"/>
      <c r="K14" s="639" t="str">
        <f>IF('Summary | Sumário'!D6=Names!B3,Names!I20,Names!J20)</f>
        <v>Disclaimer</v>
      </c>
      <c r="L14" s="636"/>
    </row>
    <row r="15" spans="1:12" ht="10" customHeight="1">
      <c r="A15" s="87"/>
      <c r="B15" s="635"/>
      <c r="C15" s="585"/>
      <c r="D15" s="585"/>
      <c r="E15" s="584"/>
      <c r="F15" s="604"/>
      <c r="G15" s="605"/>
      <c r="H15" s="639"/>
      <c r="I15" s="604"/>
      <c r="J15" s="605"/>
      <c r="K15" s="639"/>
      <c r="L15" s="640"/>
    </row>
    <row r="16" spans="1:12" ht="22" customHeight="1">
      <c r="A16" s="87"/>
      <c r="B16" s="635"/>
      <c r="C16" s="585"/>
      <c r="D16" s="585"/>
      <c r="E16" s="584"/>
      <c r="F16" s="604" t="s">
        <v>1162</v>
      </c>
      <c r="G16" s="605"/>
      <c r="H16" s="639" t="str">
        <f>IF('Summary | Sumário'!D6=Names!B3,Names!I33,Names!J33)</f>
        <v>Funding</v>
      </c>
      <c r="I16" s="604" t="s">
        <v>1162</v>
      </c>
      <c r="J16" s="605"/>
      <c r="K16" s="639" t="str">
        <f>IF('Summary | Sumário'!D6=Names!B3,Names!I21,Names!J21)</f>
        <v>Glossary</v>
      </c>
      <c r="L16" s="640"/>
    </row>
    <row r="17" spans="1:12" ht="10" customHeight="1">
      <c r="A17" s="87"/>
      <c r="B17" s="635"/>
      <c r="C17" s="585"/>
      <c r="D17" s="585"/>
      <c r="E17" s="584"/>
      <c r="F17" s="604"/>
      <c r="G17" s="605"/>
      <c r="H17" s="639"/>
      <c r="I17" s="604"/>
      <c r="J17" s="605"/>
      <c r="K17" s="639"/>
      <c r="L17" s="640"/>
    </row>
    <row r="18" spans="1:12" ht="22" customHeight="1">
      <c r="A18" s="87"/>
      <c r="B18" s="635"/>
      <c r="C18" s="585"/>
      <c r="D18" s="585"/>
      <c r="E18" s="584"/>
      <c r="F18" s="604" t="s">
        <v>1163</v>
      </c>
      <c r="G18" s="605"/>
      <c r="H18" s="639" t="str">
        <f>IF('Summary | Sumário'!D6=Names!B3,Names!I34,Names!J34)</f>
        <v>Interest Earning Portfolio</v>
      </c>
      <c r="I18" s="604"/>
      <c r="J18" s="605"/>
      <c r="K18" s="639"/>
      <c r="L18" s="640"/>
    </row>
    <row r="19" spans="1:12" ht="10" customHeight="1">
      <c r="B19" s="641"/>
      <c r="C19" s="595"/>
      <c r="D19" s="595"/>
      <c r="E19" s="596"/>
      <c r="F19" s="604"/>
      <c r="G19" s="605"/>
      <c r="H19" s="639"/>
      <c r="I19" s="607"/>
      <c r="J19" s="605"/>
      <c r="K19" s="639"/>
      <c r="L19" s="640"/>
    </row>
    <row r="20" spans="1:12" ht="22" customHeight="1">
      <c r="B20" s="641"/>
      <c r="C20" s="597"/>
      <c r="D20" s="597"/>
      <c r="E20" s="598"/>
      <c r="F20" s="604" t="s">
        <v>1164</v>
      </c>
      <c r="G20" s="605"/>
      <c r="H20" s="639" t="str">
        <f>IF('Summary | Sumário'!D6=Names!B3,Names!I35,Names!J35)</f>
        <v>Net Interest Income</v>
      </c>
      <c r="I20" s="607"/>
      <c r="J20" s="605"/>
      <c r="K20" s="639"/>
      <c r="L20" s="640"/>
    </row>
    <row r="21" spans="1:12" ht="10" customHeight="1">
      <c r="B21" s="641"/>
      <c r="C21" s="597"/>
      <c r="D21" s="597"/>
      <c r="E21" s="598"/>
      <c r="F21" s="604"/>
      <c r="G21" s="605"/>
      <c r="H21" s="639"/>
      <c r="I21" s="607"/>
      <c r="J21" s="608"/>
      <c r="K21" s="639"/>
      <c r="L21" s="640"/>
    </row>
    <row r="22" spans="1:12" ht="22" customHeight="1">
      <c r="B22" s="641"/>
      <c r="C22" s="595"/>
      <c r="D22" s="595"/>
      <c r="E22" s="596"/>
      <c r="F22" s="604" t="s">
        <v>1165</v>
      </c>
      <c r="G22" s="605"/>
      <c r="H22" s="639" t="str">
        <f>IF('Summary | Sumário'!D6=Names!B3,Names!I36,Names!J36)</f>
        <v>Fee Revenue</v>
      </c>
      <c r="I22" s="607"/>
      <c r="J22" s="608"/>
      <c r="K22" s="639"/>
      <c r="L22" s="640"/>
    </row>
    <row r="23" spans="1:12" ht="10" customHeight="1">
      <c r="B23" s="641"/>
      <c r="C23" s="595"/>
      <c r="D23" s="595"/>
      <c r="E23" s="596"/>
      <c r="F23" s="608"/>
      <c r="G23" s="608"/>
      <c r="H23" s="639"/>
      <c r="I23" s="607"/>
      <c r="J23" s="608"/>
      <c r="K23" s="639"/>
      <c r="L23" s="640"/>
    </row>
    <row r="24" spans="1:12" ht="22" customHeight="1">
      <c r="B24" s="641"/>
      <c r="C24" s="585"/>
      <c r="D24" s="585"/>
      <c r="E24" s="599"/>
      <c r="F24" s="604" t="s">
        <v>1166</v>
      </c>
      <c r="G24" s="608"/>
      <c r="H24" s="639" t="str">
        <f>IF('Summary | Sumário'!D6=Names!B3,Names!I37,Names!J37)</f>
        <v>Expenses</v>
      </c>
      <c r="I24" s="604"/>
      <c r="J24" s="608"/>
      <c r="K24" s="639"/>
      <c r="L24" s="640"/>
    </row>
    <row r="25" spans="1:12" ht="10" customHeight="1">
      <c r="B25" s="641"/>
      <c r="C25" s="585"/>
      <c r="D25" s="585"/>
      <c r="E25" s="599"/>
      <c r="F25" s="608"/>
      <c r="G25" s="608"/>
      <c r="H25" s="639"/>
      <c r="I25" s="607"/>
      <c r="J25" s="608"/>
      <c r="K25" s="639"/>
      <c r="L25" s="640"/>
    </row>
    <row r="26" spans="1:12" ht="22" customHeight="1">
      <c r="B26" s="641"/>
      <c r="C26" s="585"/>
      <c r="D26" s="585"/>
      <c r="E26" s="599"/>
      <c r="F26" s="604" t="s">
        <v>1167</v>
      </c>
      <c r="G26" s="608"/>
      <c r="H26" s="639" t="str">
        <f>IF('Summary | Sumário'!D6=Names!B3,Names!I38,Names!J38)</f>
        <v>Financial KPIs</v>
      </c>
      <c r="I26" s="604"/>
      <c r="J26" s="608"/>
      <c r="K26" s="639"/>
      <c r="L26" s="640"/>
    </row>
    <row r="27" spans="1:12" ht="10" customHeight="1">
      <c r="B27" s="641"/>
      <c r="C27" s="585"/>
      <c r="D27" s="585"/>
      <c r="E27" s="599"/>
      <c r="F27" s="608"/>
      <c r="G27" s="608"/>
      <c r="H27" s="639"/>
      <c r="I27" s="607"/>
      <c r="J27" s="608"/>
      <c r="K27" s="639"/>
      <c r="L27" s="640"/>
    </row>
    <row r="28" spans="1:12" ht="22" customHeight="1">
      <c r="B28" s="641"/>
      <c r="C28" s="585"/>
      <c r="D28" s="585"/>
      <c r="E28" s="599"/>
      <c r="F28" s="608" t="s">
        <v>1167</v>
      </c>
      <c r="G28" s="608" t="s">
        <v>1168</v>
      </c>
      <c r="H28" s="639" t="str">
        <f>IF('Summary | Sumário'!D6=Names!B3,Names!I39,Names!J39)</f>
        <v>Asset Quality</v>
      </c>
      <c r="I28" s="604"/>
      <c r="J28" s="608"/>
      <c r="K28" s="639"/>
      <c r="L28" s="640"/>
    </row>
    <row r="29" spans="1:12" ht="10" customHeight="1">
      <c r="B29" s="641"/>
      <c r="C29" s="585"/>
      <c r="D29" s="585"/>
      <c r="E29" s="599"/>
      <c r="F29" s="608"/>
      <c r="G29" s="608"/>
      <c r="H29" s="639"/>
      <c r="I29" s="607"/>
      <c r="J29" s="608"/>
      <c r="K29" s="639"/>
      <c r="L29" s="640"/>
    </row>
    <row r="30" spans="1:12" ht="22" customHeight="1">
      <c r="B30" s="641"/>
      <c r="C30" s="585"/>
      <c r="D30" s="585"/>
      <c r="E30" s="599"/>
      <c r="F30" s="608" t="s">
        <v>1167</v>
      </c>
      <c r="G30" s="608" t="s">
        <v>1169</v>
      </c>
      <c r="H30" s="639" t="str">
        <f>IF('Summary | Sumário'!D6=Names!B3,Names!I40,Names!J40)</f>
        <v>NIM &amp; Yields</v>
      </c>
      <c r="I30" s="604"/>
      <c r="J30" s="608"/>
      <c r="K30" s="609"/>
      <c r="L30" s="640"/>
    </row>
    <row r="31" spans="1:12" ht="10" customHeight="1">
      <c r="B31" s="641"/>
      <c r="C31" s="585"/>
      <c r="D31" s="585"/>
      <c r="E31" s="599"/>
      <c r="F31" s="608"/>
      <c r="G31" s="608"/>
      <c r="H31" s="639"/>
      <c r="I31" s="607"/>
      <c r="J31" s="608"/>
      <c r="K31" s="609"/>
      <c r="L31" s="640"/>
    </row>
    <row r="32" spans="1:12" ht="22" customHeight="1">
      <c r="B32" s="641"/>
      <c r="C32" s="585"/>
      <c r="D32" s="585"/>
      <c r="E32" s="599"/>
      <c r="F32" s="608" t="s">
        <v>1167</v>
      </c>
      <c r="G32" s="608" t="s">
        <v>1170</v>
      </c>
      <c r="H32" s="639" t="str">
        <f>IF('Summary | Sumário'!D6=Names!B3,Names!I41,Names!J41)</f>
        <v>Fee Income Ratio</v>
      </c>
      <c r="I32" s="607"/>
      <c r="J32" s="608"/>
      <c r="K32" s="609"/>
      <c r="L32" s="640"/>
    </row>
    <row r="33" spans="2:12" ht="10" customHeight="1">
      <c r="B33" s="641"/>
      <c r="C33" s="585"/>
      <c r="D33" s="585"/>
      <c r="E33" s="585"/>
      <c r="F33" s="608"/>
      <c r="G33" s="608"/>
      <c r="H33" s="639"/>
      <c r="I33" s="607"/>
      <c r="J33" s="609"/>
      <c r="K33" s="606"/>
      <c r="L33" s="640"/>
    </row>
    <row r="34" spans="2:12" ht="22" customHeight="1">
      <c r="B34" s="641"/>
      <c r="C34" s="588"/>
      <c r="D34" s="588"/>
      <c r="E34" s="588"/>
      <c r="F34" s="608" t="s">
        <v>1167</v>
      </c>
      <c r="G34" s="608" t="s">
        <v>1171</v>
      </c>
      <c r="H34" s="639" t="str">
        <f>IF('Summary | Sumário'!D6=Names!B3,Names!I42,Names!J42)</f>
        <v>Efficiency Ratio</v>
      </c>
      <c r="I34" s="607"/>
      <c r="J34" s="606"/>
      <c r="K34" s="606"/>
      <c r="L34" s="640"/>
    </row>
    <row r="35" spans="2:12" ht="10" customHeight="1">
      <c r="B35" s="641"/>
      <c r="C35" s="588"/>
      <c r="D35" s="588"/>
      <c r="E35" s="588"/>
      <c r="F35" s="612"/>
      <c r="G35" s="608"/>
      <c r="H35" s="639"/>
      <c r="I35" s="589"/>
      <c r="J35" s="588"/>
      <c r="K35" s="588"/>
      <c r="L35" s="640"/>
    </row>
    <row r="36" spans="2:12" ht="22" customHeight="1">
      <c r="B36" s="641"/>
      <c r="C36" s="588"/>
      <c r="D36" s="588"/>
      <c r="E36" s="588"/>
      <c r="F36" s="608" t="s">
        <v>1167</v>
      </c>
      <c r="G36" s="608" t="s">
        <v>1172</v>
      </c>
      <c r="H36" s="639" t="str">
        <f>IF('Summary | Sumário'!D6=Names!B3,Names!I43,Names!J43)</f>
        <v>Cost-to-Serve</v>
      </c>
      <c r="I36" s="589"/>
      <c r="J36" s="588"/>
      <c r="K36" s="588"/>
      <c r="L36" s="640"/>
    </row>
    <row r="37" spans="2:12" ht="10" customHeight="1">
      <c r="B37" s="641"/>
      <c r="C37" s="588"/>
      <c r="D37" s="588"/>
      <c r="E37" s="588"/>
      <c r="F37" s="612"/>
      <c r="G37" s="608"/>
      <c r="H37" s="639"/>
      <c r="I37" s="589"/>
      <c r="J37" s="588"/>
      <c r="K37" s="588"/>
      <c r="L37" s="640"/>
    </row>
    <row r="38" spans="2:12" ht="22" customHeight="1">
      <c r="B38" s="641"/>
      <c r="C38" s="588"/>
      <c r="D38" s="588"/>
      <c r="E38" s="588"/>
      <c r="F38" s="608" t="s">
        <v>1167</v>
      </c>
      <c r="G38" s="608" t="s">
        <v>1173</v>
      </c>
      <c r="H38" s="639" t="str">
        <f>IF('Summary | Sumário'!D6=Names!B3,Names!I44,Names!J44)</f>
        <v>ARPAC</v>
      </c>
      <c r="I38" s="589"/>
      <c r="J38" s="588"/>
      <c r="K38" s="588"/>
      <c r="L38" s="640"/>
    </row>
    <row r="39" spans="2:12" ht="10" customHeight="1">
      <c r="B39" s="641"/>
      <c r="C39" s="588"/>
      <c r="D39" s="588"/>
      <c r="E39" s="588"/>
      <c r="F39" s="612"/>
      <c r="G39" s="608"/>
      <c r="H39" s="639"/>
      <c r="I39" s="589"/>
      <c r="J39" s="588"/>
      <c r="K39" s="588"/>
      <c r="L39" s="640"/>
    </row>
    <row r="40" spans="2:12" ht="22" customHeight="1">
      <c r="B40" s="641"/>
      <c r="C40" s="588"/>
      <c r="D40" s="588"/>
      <c r="E40" s="588"/>
      <c r="F40" s="608" t="s">
        <v>1167</v>
      </c>
      <c r="G40" s="608" t="s">
        <v>1174</v>
      </c>
      <c r="H40" s="639" t="str">
        <f>IF('Summary | Sumário'!D6=Names!B3,Names!I45,Names!J45)</f>
        <v>Cost of Funding</v>
      </c>
      <c r="I40" s="589"/>
      <c r="J40" s="588"/>
      <c r="K40" s="588"/>
      <c r="L40" s="640"/>
    </row>
    <row r="41" spans="2:12" ht="10" customHeight="1">
      <c r="B41" s="641"/>
      <c r="C41" s="588"/>
      <c r="D41" s="588"/>
      <c r="E41" s="588"/>
      <c r="F41" s="612"/>
      <c r="G41" s="608"/>
      <c r="H41" s="639"/>
      <c r="I41" s="589"/>
      <c r="J41" s="588"/>
      <c r="K41" s="588"/>
      <c r="L41" s="640"/>
    </row>
    <row r="42" spans="2:12" ht="23" customHeight="1">
      <c r="B42" s="641"/>
      <c r="C42" s="588"/>
      <c r="D42" s="588"/>
      <c r="E42" s="588"/>
      <c r="F42" s="608" t="s">
        <v>1167</v>
      </c>
      <c r="G42" s="608" t="s">
        <v>1175</v>
      </c>
      <c r="H42" s="639" t="s">
        <v>1176</v>
      </c>
      <c r="I42" s="589"/>
      <c r="J42" s="588"/>
      <c r="K42" s="588"/>
      <c r="L42" s="640"/>
    </row>
    <row r="43" spans="2:12" ht="10" customHeight="1">
      <c r="B43" s="641"/>
      <c r="C43" s="588"/>
      <c r="D43" s="588"/>
      <c r="E43" s="588"/>
      <c r="F43" s="612"/>
      <c r="G43" s="608"/>
      <c r="H43" s="639"/>
      <c r="I43" s="589"/>
      <c r="J43" s="588"/>
      <c r="K43" s="588"/>
      <c r="L43" s="640"/>
    </row>
    <row r="44" spans="2:12" ht="22" customHeight="1">
      <c r="B44" s="641"/>
      <c r="C44" s="588"/>
      <c r="D44" s="588"/>
      <c r="E44" s="588"/>
      <c r="F44" s="608" t="s">
        <v>1167</v>
      </c>
      <c r="G44" s="608" t="s">
        <v>1177</v>
      </c>
      <c r="H44" s="639" t="str">
        <f>IF('Summary | Sumário'!D6=Names!B3,Names!I46,Names!J46)</f>
        <v>Capital</v>
      </c>
      <c r="I44" s="589"/>
      <c r="J44" s="588"/>
      <c r="K44" s="588"/>
      <c r="L44" s="640"/>
    </row>
    <row r="45" spans="2:12" ht="10" customHeight="1">
      <c r="B45" s="641"/>
      <c r="C45" s="588"/>
      <c r="D45" s="588"/>
      <c r="E45" s="588"/>
      <c r="F45" s="612"/>
      <c r="G45" s="608"/>
      <c r="H45" s="639"/>
      <c r="I45" s="589"/>
      <c r="J45" s="588"/>
      <c r="K45" s="588"/>
      <c r="L45" s="640"/>
    </row>
    <row r="46" spans="2:12" ht="22" customHeight="1">
      <c r="B46" s="641"/>
      <c r="C46" s="588"/>
      <c r="D46" s="588"/>
      <c r="E46" s="588"/>
      <c r="F46" s="608" t="s">
        <v>1167</v>
      </c>
      <c r="G46" s="608" t="s">
        <v>1178</v>
      </c>
      <c r="H46" s="639" t="str">
        <f>IF('Summary | Sumário'!D6=Names!B3,Names!BF84,Names!BG84)</f>
        <v>Effective Tax Rate</v>
      </c>
      <c r="I46" s="589"/>
      <c r="J46" s="588"/>
      <c r="K46" s="588"/>
      <c r="L46" s="640"/>
    </row>
    <row r="47" spans="2:12" ht="22" customHeight="1">
      <c r="B47" s="642"/>
      <c r="C47" s="643"/>
      <c r="D47" s="643"/>
      <c r="E47" s="643"/>
      <c r="F47" s="644"/>
      <c r="G47" s="644"/>
      <c r="H47" s="645"/>
      <c r="I47" s="646"/>
      <c r="J47" s="643"/>
      <c r="K47" s="643"/>
      <c r="L47" s="647"/>
    </row>
  </sheetData>
  <sheetProtection algorithmName="SHA-512" hashValue="Pbyu6HLS2xPtlJQTatmudR3IAICGzl2As1g6ZRakkkjPl0/kgXyXKhEdFZMrkBQpKXK9hox2+Tc/4Q/GUQIKcA==" saltValue="aTJgjblOoeKYkuLS0aAZEg==" spinCount="100000" sheet="1" formatCells="0" formatColumns="0" formatRows="0" insertColumns="0" insertRows="0" insertHyperlinks="0" deleteColumns="0" deleteRows="0" sort="0" autoFilter="0" pivotTables="0"/>
  <mergeCells count="1">
    <mergeCell ref="F6:K7"/>
  </mergeCells>
  <hyperlinks>
    <hyperlink ref="H10" location="'1. Highlights'!A1" display="'1. Highlights'!A1" xr:uid="{FACC69DB-CBF5-A34F-B97A-124C19E74A49}"/>
    <hyperlink ref="H12" location="'2. BS | BP'!A1" display="'2. BS | BP'!A1" xr:uid="{209443F7-93AA-2247-B726-2F80A26880B2}"/>
    <hyperlink ref="H14" location="'3. IS | DRE'!A1" display="'3. IS | DRE'!A1" xr:uid="{B38745B5-3202-B349-89A3-72CC686D8833}"/>
    <hyperlink ref="H16" location="'4. Funding'!A1" display="'4. Funding'!A1" xr:uid="{78546F37-5C08-AB45-9845-4282B0C68A13}"/>
    <hyperlink ref="H18" location="'5. IEP'!A1" display="'5. IEP'!A1" xr:uid="{110A099D-5445-694A-8074-7774874617A0}"/>
    <hyperlink ref="H20" location="'6. NII'!A1" display="'6. NII'!A1" xr:uid="{8EAA7680-06EE-F44F-BFB4-EBB9CE65037D}"/>
    <hyperlink ref="H22" location="'7. Fee Revenue | R. de Serv '!A1" display="'7. Fee Revenue | R. de Serv '!A1" xr:uid="{43F13BAF-D3DB-9343-A013-0F7B6BF440DF}"/>
    <hyperlink ref="H24" location="'8. Expenses'!A1" display="'8. Expenses'!A1" xr:uid="{73DD4A3A-62EE-1E43-9813-160E560D7A96}"/>
    <hyperlink ref="H26" location="'9. Financial KPIs | KPIs Fin.'!A1" display="'9. Financial KPIs | KPIs Fin.'!A1" xr:uid="{414A726D-EDFF-8A49-B000-DC168828338A}"/>
    <hyperlink ref="H28" location="'9.1 Asset Quality'!A1" display="'9.1 Asset Quality'!A1" xr:uid="{08F2EAED-F7A2-EA43-9ECA-19EDE1A91168}"/>
    <hyperlink ref="H30" location="'9.2 NIM &amp; Yields'!A1" display="'9.2 NIM &amp; Yields'!A1" xr:uid="{FC9B6088-835F-2E44-AAB1-2DA4E09B87FC}"/>
    <hyperlink ref="H32" location="'9.3 Fee Income Ratio'!A1" display="'9.3 Fee Income Ratio'!A1" xr:uid="{48DEF271-5967-B54C-8261-CB3DF1099F3C}"/>
    <hyperlink ref="H34" location="'9.4 Efficiency | Eficiência'!A1" display="'9.4 Efficiency | Eficiência'!A1" xr:uid="{AEB00480-D740-EC40-AF19-8798B800FD9C}"/>
    <hyperlink ref="H36" location="'9.5 CTS | Custo de servir '!A1" display="'9.5 CTS | Custo de servir '!A1" xr:uid="{EEBAABF5-9A08-E848-806E-CE9C6EB20710}"/>
    <hyperlink ref="H38" location="'9.6 ARPAC'!A1" display="'9.6 ARPAC'!A1" xr:uid="{476617FD-5F80-E34E-8725-C5E22EC5026C}"/>
    <hyperlink ref="H40" location="'9.7 Cost of Funding'!A1" display="'9.7 Cost of Funding'!A1" xr:uid="{0F95E136-BD2C-8549-9A40-2CB91D20F424}"/>
    <hyperlink ref="H44" location="'9.9 Capital | Basileia'!A1" display="'9.9 Capital | Basileia'!A1" xr:uid="{49BD3F82-03A2-2E48-B7B4-BE88A7B74E8C}"/>
    <hyperlink ref="H42" location="'9.8 ROE'!A1" display="ROE" xr:uid="{71723839-09C2-F048-B147-9887FAADF456}"/>
    <hyperlink ref="K10" location="'1. Oper. KPIs | KPIs Oper.'!A1" display="'1. Oper. KPIs | KPIs Oper.'!A1" xr:uid="{D5C3B88C-87DF-DA40-A70C-BFA8D96D9BDB}"/>
    <hyperlink ref="K12" location="'2. Market Data | Dado de Mer.'!A1" display="'2. Market Data | Dado de Mer.'!A1" xr:uid="{1602E73A-7F33-2845-9E86-165DB601BEFB}"/>
    <hyperlink ref="K14" location="'3. Disclaimer'!A1" display="'3. Disclaimer'!A1" xr:uid="{F1A73B15-2495-1748-B865-3220CDA859CE}"/>
    <hyperlink ref="K16" location="'4. Glossary | Glossário'!A1" display="'4. Glossary | Glossário'!A1" xr:uid="{15C0359E-26EF-A247-9118-E0A1D286B774}"/>
  </hyperlinks>
  <pageMargins left="0.511811024" right="0.511811024" top="0.78740157499999996" bottom="0.78740157499999996" header="0.31496062000000002" footer="0.31496062000000002"/>
  <pageSetup paperSize="9" orientation="portrait" horizontalDpi="0" verticalDpi="0"/>
  <ignoredErrors>
    <ignoredError sqref="I10:I17 F10:F22 F24:H41 F42:G42 F44:H44" numberStoredAsText="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E1FC904-540E-3A45-9E98-258CEE4A444F}">
          <x14:formula1>
            <xm:f>Names!$B$2:$B$3</xm:f>
          </x14:formula1>
          <xm:sqref>D6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43826-A11D-4D47-A4CA-CD6B44ECF723}">
  <sheetPr codeName="Sheet21">
    <tabColor rgb="FFF7CAB0"/>
  </sheetPr>
  <dimension ref="A1:AL35"/>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81" customWidth="1"/>
    <col min="2" max="2" width="68.33203125" style="105" customWidth="1"/>
    <col min="3" max="9" width="10.83203125" style="182" customWidth="1"/>
    <col min="10" max="10" width="2.83203125" style="182" customWidth="1"/>
    <col min="11" max="31" width="10.83203125" style="182" customWidth="1"/>
    <col min="32" max="32" width="5.83203125" style="182" customWidth="1"/>
    <col min="33" max="34" width="10.83203125" style="182" customWidth="1"/>
    <col min="35" max="35" width="10.83203125" style="181" customWidth="1"/>
    <col min="36" max="16384" width="10.83203125" style="181"/>
  </cols>
  <sheetData>
    <row r="1" spans="1:38" ht="13" customHeight="1">
      <c r="AI1" s="182"/>
    </row>
    <row r="2" spans="1:38" s="9" customFormat="1" ht="13" customHeight="1">
      <c r="B2" s="255" t="str">
        <f>IF('Summary | Sumário'!D$6=Names!B$3,Names!AH1,Names!AI1)</f>
        <v>Capital Ratio (Banco Inter S.A.,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20"/>
      <c r="AG2" s="104" t="str">
        <f>IF('Summary | Sumário'!$D$6=Names!$B$3,Names!$I$24,Names!$J$24)</f>
        <v>QoQ Variation</v>
      </c>
      <c r="AH2" s="104" t="str">
        <f>IF('Summary | Sumário'!$D$6=Names!$B$3,Names!$I$25,Names!$J$25)</f>
        <v>YoY Variation</v>
      </c>
      <c r="AI2" s="10"/>
      <c r="AK2" s="11"/>
      <c r="AL2" s="12"/>
    </row>
    <row r="3" spans="1:38" ht="13" customHeight="1">
      <c r="B3" s="106"/>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4"/>
    </row>
    <row r="4" spans="1:38" s="186" customFormat="1" ht="13" customHeight="1">
      <c r="A4" s="185"/>
      <c r="B4" s="3" t="str">
        <f>IF('Summary | Sumário'!D$6=Names!B$3,Names!AH3,Names!AI3)</f>
        <v>Capital ratio</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row>
    <row r="5" spans="1:38" ht="13" customHeight="1">
      <c r="B5" s="276" t="str">
        <f>IF('Summary | Sumário'!D$6=Names!B$3,Names!AH4,Names!AI4)</f>
        <v>Referential equity (RE)</v>
      </c>
      <c r="C5" s="277">
        <v>2123127</v>
      </c>
      <c r="D5" s="277">
        <v>3077952</v>
      </c>
      <c r="E5" s="277">
        <f>N5</f>
        <v>7955237.9140799996</v>
      </c>
      <c r="F5" s="277">
        <f>R5</f>
        <v>5913329</v>
      </c>
      <c r="G5" s="277">
        <f>V5</f>
        <v>6138173.4993100008</v>
      </c>
      <c r="H5" s="277">
        <f>Z5</f>
        <v>5262320.5900600003</v>
      </c>
      <c r="I5" s="277">
        <f>AD5</f>
        <v>6442705.4338700008</v>
      </c>
      <c r="J5" s="164"/>
      <c r="K5" s="277">
        <v>2815602.88809</v>
      </c>
      <c r="L5" s="277">
        <v>2682250.3591399998</v>
      </c>
      <c r="M5" s="277">
        <v>7955022.5986299999</v>
      </c>
      <c r="N5" s="277">
        <v>7955237.9140799996</v>
      </c>
      <c r="O5" s="277">
        <v>7042015</v>
      </c>
      <c r="P5" s="277">
        <v>7080872</v>
      </c>
      <c r="Q5" s="277">
        <v>7162093</v>
      </c>
      <c r="R5" s="277">
        <v>5913329</v>
      </c>
      <c r="S5" s="277">
        <v>5829384</v>
      </c>
      <c r="T5" s="277">
        <v>5959738</v>
      </c>
      <c r="U5" s="277">
        <v>5964109</v>
      </c>
      <c r="V5" s="277">
        <v>6138173.4993100008</v>
      </c>
      <c r="W5" s="277">
        <v>5852972.8847599998</v>
      </c>
      <c r="X5" s="277">
        <v>5895210.8120200001</v>
      </c>
      <c r="Y5" s="277">
        <v>5557930.4372699996</v>
      </c>
      <c r="Z5" s="277">
        <v>5262320.5900600003</v>
      </c>
      <c r="AA5" s="277">
        <v>5523344</v>
      </c>
      <c r="AB5" s="277">
        <v>6034565.0908400007</v>
      </c>
      <c r="AC5" s="277">
        <v>6030082.4842800004</v>
      </c>
      <c r="AD5" s="277">
        <v>6442705.4338700008</v>
      </c>
      <c r="AE5" s="277">
        <v>6326880.641019999</v>
      </c>
      <c r="AF5" s="164"/>
      <c r="AG5" s="331">
        <f t="shared" ref="AG5:AG13" si="0">AE5/AD5-1</f>
        <v>-1.7977663892733364E-2</v>
      </c>
      <c r="AH5" s="331">
        <f>AE5/AA5-1</f>
        <v>0.14548010064555084</v>
      </c>
    </row>
    <row r="6" spans="1:38" ht="13" customHeight="1">
      <c r="B6" s="50" t="str">
        <f>IF('Summary | Sumário'!D$6=Names!B$3,Names!AH5,Names!AI5)</f>
        <v>Tier I referential equity</v>
      </c>
      <c r="C6" s="164">
        <v>2123127</v>
      </c>
      <c r="D6" s="164">
        <v>3077952</v>
      </c>
      <c r="E6" s="164">
        <f t="shared" ref="E6:E23" si="1">N6</f>
        <v>7955237.9140799996</v>
      </c>
      <c r="F6" s="164">
        <f t="shared" ref="F6:F7" si="2">R6</f>
        <v>5913329</v>
      </c>
      <c r="G6" s="164">
        <f t="shared" ref="G6:G12" si="3">V6</f>
        <v>6138173.4993100008</v>
      </c>
      <c r="H6" s="164">
        <f t="shared" ref="H6:H13" si="4">Z6</f>
        <v>5262320.5900600003</v>
      </c>
      <c r="I6" s="164">
        <f>AD6</f>
        <v>5636019.3743000003</v>
      </c>
      <c r="J6" s="164"/>
      <c r="K6" s="164">
        <v>2815602.88809</v>
      </c>
      <c r="L6" s="164">
        <v>2682250.3591399998</v>
      </c>
      <c r="M6" s="164">
        <v>7955022.5986299999</v>
      </c>
      <c r="N6" s="164">
        <v>7955237.9140799996</v>
      </c>
      <c r="O6" s="164">
        <v>7042015</v>
      </c>
      <c r="P6" s="164">
        <v>7080872</v>
      </c>
      <c r="Q6" s="164">
        <v>7162093</v>
      </c>
      <c r="R6" s="164">
        <v>5913329</v>
      </c>
      <c r="S6" s="164">
        <v>5829384</v>
      </c>
      <c r="T6" s="164">
        <v>5959738</v>
      </c>
      <c r="U6" s="164">
        <v>5964109</v>
      </c>
      <c r="V6" s="164">
        <v>6138173.4993100008</v>
      </c>
      <c r="W6" s="164">
        <v>5852972.8847599998</v>
      </c>
      <c r="X6" s="164">
        <v>5895210.8120200001</v>
      </c>
      <c r="Y6" s="164">
        <v>5557930.4372699996</v>
      </c>
      <c r="Z6" s="164">
        <v>5262320.5900600003</v>
      </c>
      <c r="AA6" s="164">
        <v>5523344</v>
      </c>
      <c r="AB6" s="164">
        <v>5521911.2675400004</v>
      </c>
      <c r="AC6" s="164">
        <v>5496220.2442800002</v>
      </c>
      <c r="AD6" s="164">
        <v>5636019.3743000003</v>
      </c>
      <c r="AE6" s="164">
        <v>5489549.9753699992</v>
      </c>
      <c r="AF6" s="164"/>
      <c r="AG6" s="191">
        <f t="shared" si="0"/>
        <v>-2.5988093582129057E-2</v>
      </c>
      <c r="AH6" s="191">
        <f>AE6/AA6-1</f>
        <v>-6.1183994026083877E-3</v>
      </c>
    </row>
    <row r="7" spans="1:38" ht="13" customHeight="1">
      <c r="B7" s="52" t="str">
        <f>IF('Summary | Sumário'!D$6=Names!B$3,Names!AH6,Names!AI6)</f>
        <v>Core capital (CC)</v>
      </c>
      <c r="C7" s="159">
        <v>2123127</v>
      </c>
      <c r="D7" s="159">
        <v>3077952</v>
      </c>
      <c r="E7" s="159">
        <f t="shared" si="1"/>
        <v>7955237.9140799996</v>
      </c>
      <c r="F7" s="159">
        <f t="shared" si="2"/>
        <v>5913329</v>
      </c>
      <c r="G7" s="159">
        <f t="shared" si="3"/>
        <v>6138173.4993100008</v>
      </c>
      <c r="H7" s="159">
        <f t="shared" si="4"/>
        <v>5262320.5900600003</v>
      </c>
      <c r="I7" s="159">
        <f>AD7</f>
        <v>5384555.7023200002</v>
      </c>
      <c r="J7" s="164"/>
      <c r="K7" s="159">
        <v>2815602.88809</v>
      </c>
      <c r="L7" s="159">
        <v>2682250.3591399998</v>
      </c>
      <c r="M7" s="159">
        <v>7955022.5986299999</v>
      </c>
      <c r="N7" s="159">
        <v>7955237.9140799996</v>
      </c>
      <c r="O7" s="159">
        <v>7042015</v>
      </c>
      <c r="P7" s="159">
        <v>7080872</v>
      </c>
      <c r="Q7" s="159">
        <v>7162093</v>
      </c>
      <c r="R7" s="159">
        <v>5913329</v>
      </c>
      <c r="S7" s="159">
        <v>5829384</v>
      </c>
      <c r="T7" s="159">
        <v>5959738</v>
      </c>
      <c r="U7" s="159">
        <v>5964109</v>
      </c>
      <c r="V7" s="159">
        <v>6138173.4993100008</v>
      </c>
      <c r="W7" s="159">
        <v>5852972.8847599998</v>
      </c>
      <c r="X7" s="159">
        <v>5895210.8120200001</v>
      </c>
      <c r="Y7" s="159">
        <v>5557930.4372699996</v>
      </c>
      <c r="Z7" s="159">
        <v>5262320.5900600003</v>
      </c>
      <c r="AA7" s="159">
        <v>5523344</v>
      </c>
      <c r="AB7" s="159">
        <v>5521911.2675400004</v>
      </c>
      <c r="AC7" s="159">
        <v>5496220.2442800002</v>
      </c>
      <c r="AD7" s="159">
        <v>5384555.7023200002</v>
      </c>
      <c r="AE7" s="159">
        <v>5228256.6813699994</v>
      </c>
      <c r="AF7" s="164"/>
      <c r="AG7" s="190">
        <f t="shared" si="0"/>
        <v>-2.9027282767760676E-2</v>
      </c>
      <c r="AH7" s="190">
        <f>AE7/AA7-1</f>
        <v>-5.342548257541091E-2</v>
      </c>
    </row>
    <row r="8" spans="1:38" ht="13" customHeight="1">
      <c r="B8" s="50" t="str">
        <f>IF('Summary | Sumário'!D$6=Names!B$3,Names!AH22,Names!AI22)</f>
        <v>Tier II referential equity</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v>512653.82329999999</v>
      </c>
      <c r="AC8" s="164">
        <v>533862.24</v>
      </c>
      <c r="AD8" s="164">
        <v>806686.05957000004</v>
      </c>
      <c r="AE8" s="164">
        <v>837330.66564999998</v>
      </c>
      <c r="AF8" s="164"/>
      <c r="AG8" s="191">
        <f t="shared" si="0"/>
        <v>3.7988267822968158E-2</v>
      </c>
      <c r="AH8" s="191" t="s">
        <v>1183</v>
      </c>
    </row>
    <row r="9" spans="1:38" ht="13" customHeight="1">
      <c r="B9" s="52" t="str">
        <f>IF('Summary | Sumário'!D$6=Names!B$3,Names!AH7,Names!AI7)</f>
        <v>Risk weighted assets - RWA</v>
      </c>
      <c r="C9" s="159">
        <v>5388262</v>
      </c>
      <c r="D9" s="159">
        <v>9643109</v>
      </c>
      <c r="E9" s="159">
        <f t="shared" si="1"/>
        <v>17953262.630789999</v>
      </c>
      <c r="F9" s="159">
        <v>24950460</v>
      </c>
      <c r="G9" s="159">
        <f t="shared" si="3"/>
        <v>26745734.312450003</v>
      </c>
      <c r="H9" s="159">
        <f t="shared" si="4"/>
        <v>34653740.143590003</v>
      </c>
      <c r="I9" s="159">
        <f>AD9</f>
        <v>44797753.489600003</v>
      </c>
      <c r="J9" s="164"/>
      <c r="K9" s="159">
        <v>11661845.75979</v>
      </c>
      <c r="L9" s="159">
        <v>13664902.02272</v>
      </c>
      <c r="M9" s="159">
        <v>15993381.634679999</v>
      </c>
      <c r="N9" s="159">
        <v>17953262.630789999</v>
      </c>
      <c r="O9" s="159">
        <v>19739307</v>
      </c>
      <c r="P9" s="159">
        <v>21531298</v>
      </c>
      <c r="Q9" s="159">
        <v>24039291</v>
      </c>
      <c r="R9" s="159">
        <v>24550461</v>
      </c>
      <c r="S9" s="159">
        <v>25344975</v>
      </c>
      <c r="T9" s="159">
        <v>26110963</v>
      </c>
      <c r="U9" s="159">
        <v>25122491</v>
      </c>
      <c r="V9" s="159">
        <v>26745734.312450003</v>
      </c>
      <c r="W9" s="159">
        <v>28865752.132199999</v>
      </c>
      <c r="X9" s="159">
        <v>30562162.857720003</v>
      </c>
      <c r="Y9" s="159">
        <v>32685685.686000001</v>
      </c>
      <c r="Z9" s="159">
        <v>34653740.143590003</v>
      </c>
      <c r="AA9" s="159">
        <v>37584487</v>
      </c>
      <c r="AB9" s="159">
        <v>38411293.717469998</v>
      </c>
      <c r="AC9" s="159">
        <v>41210623.556189999</v>
      </c>
      <c r="AD9" s="159">
        <v>44797753.489600003</v>
      </c>
      <c r="AE9" s="159">
        <v>45239794.86992</v>
      </c>
      <c r="AF9" s="164"/>
      <c r="AG9" s="190">
        <f t="shared" si="0"/>
        <v>9.8674899048813991E-3</v>
      </c>
      <c r="AH9" s="190">
        <f>AE9/AA9-1</f>
        <v>0.20368264890565091</v>
      </c>
      <c r="AI9" s="187"/>
    </row>
    <row r="10" spans="1:38" ht="13" customHeight="1">
      <c r="B10" s="53" t="str">
        <f>IF('Summary | Sumário'!D$6=Names!B$3,Names!AH8,Names!AI8)</f>
        <v>RWA for credit risk by standardized approach - RWACPAD</v>
      </c>
      <c r="C10" s="164">
        <v>4102332</v>
      </c>
      <c r="D10" s="164">
        <v>8064303</v>
      </c>
      <c r="E10" s="164">
        <v>16198394</v>
      </c>
      <c r="F10" s="164">
        <v>21963629</v>
      </c>
      <c r="G10" s="164">
        <f t="shared" si="3"/>
        <v>22367940.18866</v>
      </c>
      <c r="H10" s="164">
        <f t="shared" si="4"/>
        <v>27053372.237530001</v>
      </c>
      <c r="I10" s="164">
        <f>AD10</f>
        <v>37251333.94122</v>
      </c>
      <c r="J10" s="164"/>
      <c r="K10" s="164">
        <v>9477754</v>
      </c>
      <c r="L10" s="164">
        <v>11657733</v>
      </c>
      <c r="M10" s="164">
        <v>14128834</v>
      </c>
      <c r="N10" s="164">
        <v>16198394</v>
      </c>
      <c r="O10" s="164">
        <v>17444892</v>
      </c>
      <c r="P10" s="164">
        <v>19128150</v>
      </c>
      <c r="Q10" s="164">
        <v>20914461</v>
      </c>
      <c r="R10" s="164">
        <v>20380664</v>
      </c>
      <c r="S10" s="164">
        <v>21964715</v>
      </c>
      <c r="T10" s="164">
        <v>22597089</v>
      </c>
      <c r="U10" s="164">
        <v>20745143</v>
      </c>
      <c r="V10" s="164">
        <v>22367940.18866</v>
      </c>
      <c r="W10" s="164">
        <v>23115890.775979999</v>
      </c>
      <c r="X10" s="164">
        <v>24972742.652060002</v>
      </c>
      <c r="Y10" s="164">
        <v>25007291.648669999</v>
      </c>
      <c r="Z10" s="164">
        <v>27053372.237530001</v>
      </c>
      <c r="AA10" s="164">
        <v>30392108</v>
      </c>
      <c r="AB10" s="164">
        <v>31401035.994439997</v>
      </c>
      <c r="AC10" s="164">
        <v>33725395.272970006</v>
      </c>
      <c r="AD10" s="164">
        <v>37251333.94122</v>
      </c>
      <c r="AE10" s="164">
        <v>36754840.513889998</v>
      </c>
      <c r="AF10" s="164"/>
      <c r="AG10" s="191">
        <f t="shared" si="0"/>
        <v>-1.3328205323155262E-2</v>
      </c>
      <c r="AH10" s="191">
        <f>AE10/AA10-1</f>
        <v>0.20935476123900321</v>
      </c>
    </row>
    <row r="11" spans="1:38" ht="13" customHeight="1">
      <c r="B11" s="58" t="str">
        <f>IF('Summary | Sumário'!D$6=Names!B$3,Names!AH9,Names!AI9)</f>
        <v>RWA for market risk - RWAMPAD</v>
      </c>
      <c r="C11" s="159">
        <v>565751</v>
      </c>
      <c r="D11" s="159">
        <v>476759</v>
      </c>
      <c r="E11" s="159">
        <v>323581</v>
      </c>
      <c r="F11" s="159">
        <v>480765</v>
      </c>
      <c r="G11" s="159">
        <f t="shared" si="3"/>
        <v>342159.71365999995</v>
      </c>
      <c r="H11" s="159">
        <f t="shared" si="4"/>
        <v>1262296.1807200001</v>
      </c>
      <c r="I11" s="159">
        <f>AD11</f>
        <v>1210033.56791</v>
      </c>
      <c r="J11" s="164"/>
      <c r="K11" s="159">
        <v>1043214</v>
      </c>
      <c r="L11" s="159">
        <v>866292</v>
      </c>
      <c r="M11" s="159">
        <v>433261</v>
      </c>
      <c r="N11" s="159">
        <v>323581</v>
      </c>
      <c r="O11" s="159">
        <v>356818</v>
      </c>
      <c r="P11" s="159">
        <v>465550</v>
      </c>
      <c r="Q11" s="159">
        <v>618763</v>
      </c>
      <c r="R11" s="159">
        <v>480765</v>
      </c>
      <c r="S11" s="159">
        <v>216277</v>
      </c>
      <c r="T11" s="159">
        <v>349892</v>
      </c>
      <c r="U11" s="159">
        <v>341714</v>
      </c>
      <c r="V11" s="159">
        <v>342159.71365999995</v>
      </c>
      <c r="W11" s="159">
        <v>754382.50448</v>
      </c>
      <c r="X11" s="159">
        <v>593941.35390999995</v>
      </c>
      <c r="Y11" s="159">
        <v>1328691.41713</v>
      </c>
      <c r="Z11" s="159">
        <v>1262296.1807200001</v>
      </c>
      <c r="AA11" s="159">
        <v>1249238</v>
      </c>
      <c r="AB11" s="159">
        <v>1106293.4736300001</v>
      </c>
      <c r="AC11" s="159">
        <v>1151727.00373</v>
      </c>
      <c r="AD11" s="159">
        <v>1210033.56791</v>
      </c>
      <c r="AE11" s="159">
        <v>1363512.45144</v>
      </c>
      <c r="AF11" s="164"/>
      <c r="AG11" s="190">
        <f t="shared" si="0"/>
        <v>0.12683853374009502</v>
      </c>
      <c r="AH11" s="190">
        <f>AE11/AA11-1</f>
        <v>9.147532450982121E-2</v>
      </c>
    </row>
    <row r="12" spans="1:38" ht="13" customHeight="1">
      <c r="B12" s="53" t="str">
        <f>IF('Summary | Sumário'!D$6=Names!B$3,Names!AH10,Names!AI10)</f>
        <v>RWA for operating risk by standard approach - RWAOPAD</v>
      </c>
      <c r="C12" s="164">
        <v>720179</v>
      </c>
      <c r="D12" s="164">
        <v>1102047</v>
      </c>
      <c r="E12" s="164">
        <v>1431287</v>
      </c>
      <c r="F12" s="164">
        <v>2506066</v>
      </c>
      <c r="G12" s="164">
        <f t="shared" si="3"/>
        <v>4035634.4101300002</v>
      </c>
      <c r="H12" s="164">
        <f t="shared" si="4"/>
        <v>5939055.1325000003</v>
      </c>
      <c r="I12" s="164">
        <f>AD12</f>
        <v>5996394.7797900001</v>
      </c>
      <c r="J12" s="164"/>
      <c r="K12" s="164">
        <v>1140877</v>
      </c>
      <c r="L12" s="164">
        <v>1140877</v>
      </c>
      <c r="M12" s="164">
        <v>1431287</v>
      </c>
      <c r="N12" s="164">
        <v>1431287</v>
      </c>
      <c r="O12" s="164">
        <v>1937597</v>
      </c>
      <c r="P12" s="164">
        <v>1937597</v>
      </c>
      <c r="Q12" s="164">
        <v>2506066</v>
      </c>
      <c r="R12" s="164">
        <v>2506066</v>
      </c>
      <c r="S12" s="164">
        <v>3163982</v>
      </c>
      <c r="T12" s="164">
        <v>3163982</v>
      </c>
      <c r="U12" s="164">
        <v>4035634</v>
      </c>
      <c r="V12" s="164">
        <v>4035634.4101300002</v>
      </c>
      <c r="W12" s="164">
        <v>4995478.8517500004</v>
      </c>
      <c r="X12" s="164">
        <v>4995478.8517500004</v>
      </c>
      <c r="Y12" s="164">
        <v>5939055.1324999994</v>
      </c>
      <c r="Z12" s="164">
        <v>5939055.1325000003</v>
      </c>
      <c r="AA12" s="164">
        <v>5547874</v>
      </c>
      <c r="AB12" s="164">
        <v>5547874.1171700004</v>
      </c>
      <c r="AC12" s="164">
        <v>5996394.7797900001</v>
      </c>
      <c r="AD12" s="164">
        <v>5996394.7797900001</v>
      </c>
      <c r="AE12" s="164">
        <v>6787383.8383800006</v>
      </c>
      <c r="AF12" s="164"/>
      <c r="AG12" s="191">
        <f t="shared" si="0"/>
        <v>0.13191077099458437</v>
      </c>
      <c r="AH12" s="191">
        <f>AE12/AA12-1</f>
        <v>0.22342069022836508</v>
      </c>
    </row>
    <row r="13" spans="1:38" ht="13" customHeight="1">
      <c r="B13" s="58" t="str">
        <f>IF('Summary | Sumário'!D$6=Names!B$3,Names!AH21,Names!AI21)</f>
        <v>RWA for payments services - RWASP</v>
      </c>
      <c r="C13" s="159"/>
      <c r="D13" s="159"/>
      <c r="E13" s="159"/>
      <c r="F13" s="159"/>
      <c r="G13" s="159"/>
      <c r="H13" s="159">
        <f t="shared" si="4"/>
        <v>399016.59284</v>
      </c>
      <c r="I13" s="159">
        <f>AD13</f>
        <v>339991.20068000001</v>
      </c>
      <c r="J13" s="164"/>
      <c r="K13" s="159"/>
      <c r="L13" s="159"/>
      <c r="M13" s="159"/>
      <c r="N13" s="159"/>
      <c r="O13" s="159"/>
      <c r="P13" s="159"/>
      <c r="Q13" s="159"/>
      <c r="R13" s="159"/>
      <c r="S13" s="159"/>
      <c r="T13" s="159"/>
      <c r="U13" s="159"/>
      <c r="V13" s="159"/>
      <c r="W13" s="159"/>
      <c r="X13" s="159"/>
      <c r="Y13" s="159">
        <v>410647.4877</v>
      </c>
      <c r="Z13" s="159">
        <v>399016.59284</v>
      </c>
      <c r="AA13" s="159">
        <v>395266</v>
      </c>
      <c r="AB13" s="159">
        <v>356090.13222999999</v>
      </c>
      <c r="AC13" s="159">
        <v>337106.49969999999</v>
      </c>
      <c r="AD13" s="159">
        <v>339991.20068000001</v>
      </c>
      <c r="AE13" s="159">
        <v>334058.06621000002</v>
      </c>
      <c r="AF13" s="164"/>
      <c r="AG13" s="190">
        <f t="shared" si="0"/>
        <v>-1.7450847134082959E-2</v>
      </c>
      <c r="AH13" s="190">
        <f>AE13/AA13-1</f>
        <v>-0.15485251397792876</v>
      </c>
    </row>
    <row r="14" spans="1:38" ht="13" customHeight="1">
      <c r="B14" s="50" t="str">
        <f>IF('Summary | Sumário'!D$6=Names!B$3,Names!AH11,Names!AI11)</f>
        <v>Capital requirement</v>
      </c>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row>
    <row r="15" spans="1:38" ht="13" customHeight="1">
      <c r="B15" s="58" t="str">
        <f>IF('Summary | Sumário'!D$6=Names!B$3,Names!AH12,Names!AI12)</f>
        <v>Minimum principal capital required for RWA</v>
      </c>
      <c r="C15" s="159">
        <v>242472</v>
      </c>
      <c r="D15" s="159">
        <v>433940</v>
      </c>
      <c r="E15" s="159">
        <v>807897</v>
      </c>
      <c r="F15" s="159">
        <v>1104771</v>
      </c>
      <c r="G15" s="159">
        <f t="shared" ref="G15:G17" si="5">V15</f>
        <v>1203558.04406025</v>
      </c>
      <c r="H15" s="159">
        <f t="shared" ref="H15:H23" si="6">Z15</f>
        <v>1559418.3064615501</v>
      </c>
      <c r="I15" s="159">
        <f>AD15</f>
        <v>2015898.9070320001</v>
      </c>
      <c r="J15" s="164"/>
      <c r="K15" s="159">
        <v>524783</v>
      </c>
      <c r="L15" s="159">
        <v>614921</v>
      </c>
      <c r="M15" s="159">
        <v>719702</v>
      </c>
      <c r="N15" s="159">
        <v>807897</v>
      </c>
      <c r="O15" s="159">
        <v>888269</v>
      </c>
      <c r="P15" s="159">
        <v>968908</v>
      </c>
      <c r="Q15" s="159">
        <v>1081768</v>
      </c>
      <c r="R15" s="159">
        <v>1104771</v>
      </c>
      <c r="S15" s="159">
        <v>1140524</v>
      </c>
      <c r="T15" s="159">
        <v>1174993</v>
      </c>
      <c r="U15" s="159">
        <v>1130512</v>
      </c>
      <c r="V15" s="159">
        <v>1203558.04406025</v>
      </c>
      <c r="W15" s="159">
        <v>1298958.845949</v>
      </c>
      <c r="X15" s="159">
        <v>1375297.3285974001</v>
      </c>
      <c r="Y15" s="159">
        <v>1470855.8558700001</v>
      </c>
      <c r="Z15" s="159">
        <v>1559418.3064615501</v>
      </c>
      <c r="AA15" s="159">
        <v>1691302</v>
      </c>
      <c r="AB15" s="159">
        <v>1728508.2172861497</v>
      </c>
      <c r="AC15" s="159">
        <v>1854478.0600300001</v>
      </c>
      <c r="AD15" s="159">
        <v>2015898.9070320001</v>
      </c>
      <c r="AE15" s="159">
        <v>2035790.7691464</v>
      </c>
      <c r="AF15" s="164"/>
      <c r="AG15" s="190">
        <f>AE15/AD15-1</f>
        <v>9.8674899048813991E-3</v>
      </c>
      <c r="AH15" s="190">
        <f>AE15/AA15-1</f>
        <v>0.20368258841200459</v>
      </c>
    </row>
    <row r="16" spans="1:38" ht="13" customHeight="1">
      <c r="B16" s="53" t="str">
        <f>IF('Summary | Sumário'!D$6=Names!B$3,Names!AH13,Names!AI13)</f>
        <v>Tier I minimum reference equity required to RWA</v>
      </c>
      <c r="C16" s="164">
        <v>323296</v>
      </c>
      <c r="D16" s="164">
        <v>578587</v>
      </c>
      <c r="E16" s="164">
        <v>1077196</v>
      </c>
      <c r="F16" s="164">
        <v>1473028</v>
      </c>
      <c r="G16" s="164">
        <f t="shared" si="5"/>
        <v>1604744.0587470001</v>
      </c>
      <c r="H16" s="164">
        <f t="shared" si="6"/>
        <v>2079224.4086154001</v>
      </c>
      <c r="I16" s="164">
        <f>AD16</f>
        <v>2687865.2093759999</v>
      </c>
      <c r="J16" s="164"/>
      <c r="K16" s="164">
        <v>699711</v>
      </c>
      <c r="L16" s="164">
        <v>819894</v>
      </c>
      <c r="M16" s="164">
        <v>959603</v>
      </c>
      <c r="N16" s="164">
        <v>1077196</v>
      </c>
      <c r="O16" s="164">
        <v>1184358</v>
      </c>
      <c r="P16" s="164">
        <v>1291878</v>
      </c>
      <c r="Q16" s="164">
        <v>1442357</v>
      </c>
      <c r="R16" s="164">
        <v>1473028</v>
      </c>
      <c r="S16" s="164">
        <v>1520699</v>
      </c>
      <c r="T16" s="164">
        <v>1566658</v>
      </c>
      <c r="U16" s="164">
        <v>1507349</v>
      </c>
      <c r="V16" s="164">
        <v>1604744.0587470001</v>
      </c>
      <c r="W16" s="164">
        <v>1731945.127932</v>
      </c>
      <c r="X16" s="164">
        <v>1833729.7714632</v>
      </c>
      <c r="Y16" s="164">
        <v>1961141.1411599999</v>
      </c>
      <c r="Z16" s="164">
        <v>2079224.4086154001</v>
      </c>
      <c r="AA16" s="164">
        <v>2255069</v>
      </c>
      <c r="AB16" s="164">
        <v>2304677.6230481998</v>
      </c>
      <c r="AC16" s="164">
        <v>2472637.4133700002</v>
      </c>
      <c r="AD16" s="164">
        <v>2687865.2093759999</v>
      </c>
      <c r="AE16" s="164">
        <v>2714387.6921951999</v>
      </c>
      <c r="AF16" s="164"/>
      <c r="AG16" s="191">
        <f>AE16/AD16-1</f>
        <v>9.8674899048816211E-3</v>
      </c>
      <c r="AH16" s="191">
        <f>AE16/AA16-1</f>
        <v>0.20368276633451132</v>
      </c>
    </row>
    <row r="17" spans="2:34" ht="13" customHeight="1">
      <c r="B17" s="58" t="str">
        <f>IF('Summary | Sumário'!D$6=Names!B$3,Names!AH14,Names!AI14)</f>
        <v>Minimum Reference Equity required to RWA</v>
      </c>
      <c r="C17" s="159">
        <v>431061</v>
      </c>
      <c r="D17" s="159">
        <v>771449</v>
      </c>
      <c r="E17" s="159">
        <v>1435261</v>
      </c>
      <c r="F17" s="159">
        <v>1964037</v>
      </c>
      <c r="G17" s="159">
        <f t="shared" si="5"/>
        <v>2139658.7449960001</v>
      </c>
      <c r="H17" s="159">
        <f t="shared" si="6"/>
        <v>2772299.2114872001</v>
      </c>
      <c r="I17" s="159">
        <f>AD17</f>
        <v>3583820.2791680004</v>
      </c>
      <c r="J17" s="164"/>
      <c r="K17" s="159">
        <v>932948</v>
      </c>
      <c r="L17" s="159">
        <v>1093192</v>
      </c>
      <c r="M17" s="159">
        <v>1279471</v>
      </c>
      <c r="N17" s="159">
        <v>1436261</v>
      </c>
      <c r="O17" s="159">
        <v>1579145</v>
      </c>
      <c r="P17" s="159">
        <v>1722504</v>
      </c>
      <c r="Q17" s="159">
        <v>1923143</v>
      </c>
      <c r="R17" s="159">
        <v>1964037</v>
      </c>
      <c r="S17" s="159">
        <v>2027598</v>
      </c>
      <c r="T17" s="159">
        <v>2088877</v>
      </c>
      <c r="U17" s="159">
        <v>2009799</v>
      </c>
      <c r="V17" s="159">
        <v>2139658.7449960001</v>
      </c>
      <c r="W17" s="159">
        <v>2309260.1705760001</v>
      </c>
      <c r="X17" s="159">
        <v>2444973.0286176004</v>
      </c>
      <c r="Y17" s="159">
        <v>2614854.85488</v>
      </c>
      <c r="Z17" s="159">
        <v>2772299.2114872001</v>
      </c>
      <c r="AA17" s="159">
        <v>3006759</v>
      </c>
      <c r="AB17" s="159">
        <v>3072903.4973975997</v>
      </c>
      <c r="AC17" s="159">
        <v>3296849.8844900001</v>
      </c>
      <c r="AD17" s="159">
        <v>3583820.2791680004</v>
      </c>
      <c r="AE17" s="159">
        <v>3619183.5895936</v>
      </c>
      <c r="AF17" s="164"/>
      <c r="AG17" s="190">
        <f>AE17/AD17-1</f>
        <v>9.8674899048813991E-3</v>
      </c>
      <c r="AH17" s="190">
        <f>AE17/AA17-1</f>
        <v>0.20368263289262623</v>
      </c>
    </row>
    <row r="18" spans="2:34" ht="13" customHeight="1">
      <c r="B18" s="50" t="str">
        <f>IF('Summary | Sumário'!D$6=Names!B$3,Names!AH15,Names!AI15)</f>
        <v>Margin on capital requirements</v>
      </c>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row>
    <row r="19" spans="2:34" ht="13" customHeight="1">
      <c r="B19" s="59" t="str">
        <f>IF('Summary | Sumário'!D$6=Names!B$3,Names!AH16,Names!AI16)</f>
        <v>Margin on required principal capital</v>
      </c>
      <c r="C19" s="159">
        <v>1880665</v>
      </c>
      <c r="D19" s="159">
        <v>2644013</v>
      </c>
      <c r="E19" s="159">
        <v>7147341</v>
      </c>
      <c r="F19" s="159">
        <v>4808558</v>
      </c>
      <c r="G19" s="159">
        <f t="shared" ref="G19:G23" si="7">V19</f>
        <v>4934615.455249751</v>
      </c>
      <c r="H19" s="159">
        <f t="shared" si="6"/>
        <v>3702902.28359845</v>
      </c>
      <c r="I19" s="159">
        <f>AD19</f>
        <v>3368656.7952880003</v>
      </c>
      <c r="J19" s="164"/>
      <c r="K19" s="188">
        <v>2290820</v>
      </c>
      <c r="L19" s="188">
        <v>2067330</v>
      </c>
      <c r="M19" s="188">
        <v>7235320</v>
      </c>
      <c r="N19" s="188" t="s">
        <v>1186</v>
      </c>
      <c r="O19" s="159">
        <v>6153746</v>
      </c>
      <c r="P19" s="159">
        <v>6111964</v>
      </c>
      <c r="Q19" s="159">
        <v>6080324</v>
      </c>
      <c r="R19" s="159">
        <v>4808558</v>
      </c>
      <c r="S19" s="159">
        <v>4688860</v>
      </c>
      <c r="T19" s="159">
        <v>4784744</v>
      </c>
      <c r="U19" s="159">
        <v>4833597</v>
      </c>
      <c r="V19" s="159">
        <v>4934615.455249751</v>
      </c>
      <c r="W19" s="159">
        <v>4554014.0388110001</v>
      </c>
      <c r="X19" s="159">
        <v>4519913.4834225997</v>
      </c>
      <c r="Y19" s="159">
        <v>4087074.5813999996</v>
      </c>
      <c r="Z19" s="159">
        <v>3702902.28359845</v>
      </c>
      <c r="AA19" s="159">
        <v>3832042</v>
      </c>
      <c r="AB19" s="159">
        <v>3793403.0502538504</v>
      </c>
      <c r="AC19" s="159">
        <v>3641742.1842499999</v>
      </c>
      <c r="AD19" s="159">
        <v>3368656.7952880003</v>
      </c>
      <c r="AE19" s="159">
        <v>3192465.9122235994</v>
      </c>
      <c r="AF19" s="164"/>
      <c r="AG19" s="190">
        <f>AE19/AD19-1</f>
        <v>-5.2303007926142175E-2</v>
      </c>
      <c r="AH19" s="190">
        <f>AE19/AA19-1</f>
        <v>-0.16690216019981008</v>
      </c>
    </row>
    <row r="20" spans="2:34" ht="13" customHeight="1">
      <c r="B20" s="54" t="str">
        <f>IF('Summary | Sumário'!D$6=Names!B$3,Names!AH17,Names!AI17)</f>
        <v>Margin on the tier I required reference equity</v>
      </c>
      <c r="C20" s="164">
        <v>1799831</v>
      </c>
      <c r="D20" s="164">
        <v>2499366</v>
      </c>
      <c r="E20" s="164">
        <v>6878042</v>
      </c>
      <c r="F20" s="164">
        <v>4440301</v>
      </c>
      <c r="G20" s="164">
        <f t="shared" si="7"/>
        <v>4533429.4405630007</v>
      </c>
      <c r="H20" s="164">
        <f t="shared" si="6"/>
        <v>3183096.1814446002</v>
      </c>
      <c r="I20" s="164">
        <f>AD20</f>
        <v>2948154.1649240004</v>
      </c>
      <c r="J20" s="164"/>
      <c r="K20" s="189">
        <v>2115982</v>
      </c>
      <c r="L20" s="189">
        <v>1862356</v>
      </c>
      <c r="M20" s="189">
        <v>6995420</v>
      </c>
      <c r="N20" s="189">
        <v>6878042</v>
      </c>
      <c r="O20" s="164">
        <v>5857656</v>
      </c>
      <c r="P20" s="164">
        <v>5788994</v>
      </c>
      <c r="Q20" s="164">
        <v>5719735</v>
      </c>
      <c r="R20" s="164">
        <v>4440301</v>
      </c>
      <c r="S20" s="164">
        <v>4308685</v>
      </c>
      <c r="T20" s="164">
        <v>4393080</v>
      </c>
      <c r="U20" s="164">
        <v>4456759</v>
      </c>
      <c r="V20" s="164">
        <v>4533429.4405630007</v>
      </c>
      <c r="W20" s="164">
        <v>4121027.7568279998</v>
      </c>
      <c r="X20" s="164">
        <v>4061481.0405568001</v>
      </c>
      <c r="Y20" s="164">
        <v>3596789.2961099995</v>
      </c>
      <c r="Z20" s="164">
        <v>3183096.1814446002</v>
      </c>
      <c r="AA20" s="164">
        <v>3268275</v>
      </c>
      <c r="AB20" s="164">
        <v>3217233.6444918006</v>
      </c>
      <c r="AC20" s="164">
        <v>3023582.83091</v>
      </c>
      <c r="AD20" s="164">
        <v>2948154.1649240004</v>
      </c>
      <c r="AE20" s="164">
        <v>2775162.2831747993</v>
      </c>
      <c r="AF20" s="164"/>
      <c r="AG20" s="191">
        <f>AE20/AD20-1</f>
        <v>-5.8678031090569016E-2</v>
      </c>
      <c r="AH20" s="191">
        <f>AE20/AA20-1</f>
        <v>-0.15087858788663766</v>
      </c>
    </row>
    <row r="21" spans="2:34" ht="13" customHeight="1">
      <c r="B21" s="52" t="str">
        <f>IF('Summary | Sumário'!D$6=Names!B$3,Names!AH18,Names!AI18)</f>
        <v>Core capital ratio (CC/RWA)</v>
      </c>
      <c r="C21" s="190">
        <v>0.39400000000000002</v>
      </c>
      <c r="D21" s="190">
        <v>0.31900000000000001</v>
      </c>
      <c r="E21" s="190">
        <f t="shared" si="1"/>
        <v>0.44310820142722684</v>
      </c>
      <c r="F21" s="190">
        <f>R21</f>
        <v>0.24099999999999999</v>
      </c>
      <c r="G21" s="190">
        <f t="shared" si="7"/>
        <v>0.229501027251763</v>
      </c>
      <c r="H21" s="190">
        <f t="shared" si="6"/>
        <v>0.15185433284416736</v>
      </c>
      <c r="I21" s="190">
        <f>AD21</f>
        <v>0.12019700281555522</v>
      </c>
      <c r="J21" s="191"/>
      <c r="K21" s="190">
        <v>0.24143715721212744</v>
      </c>
      <c r="L21" s="190">
        <v>0.19628756610770765</v>
      </c>
      <c r="M21" s="190">
        <v>0.4973946586368172</v>
      </c>
      <c r="N21" s="190">
        <v>0.44310820142722684</v>
      </c>
      <c r="O21" s="190">
        <v>0.35699999999999998</v>
      </c>
      <c r="P21" s="190">
        <v>0.32900000000000001</v>
      </c>
      <c r="Q21" s="190">
        <v>0.29799999999999999</v>
      </c>
      <c r="R21" s="190">
        <v>0.24099999999999999</v>
      </c>
      <c r="S21" s="190">
        <v>0.23</v>
      </c>
      <c r="T21" s="190">
        <v>0.22800000000000001</v>
      </c>
      <c r="U21" s="190">
        <v>0.2374</v>
      </c>
      <c r="V21" s="190">
        <v>0.229501027251763</v>
      </c>
      <c r="W21" s="190">
        <v>0.20276529979036845</v>
      </c>
      <c r="X21" s="190">
        <v>0.19289246116070838</v>
      </c>
      <c r="Y21" s="190">
        <v>0.17004172684835503</v>
      </c>
      <c r="Z21" s="190">
        <v>0.15185433284416736</v>
      </c>
      <c r="AA21" s="190">
        <v>0.14699999999999999</v>
      </c>
      <c r="AB21" s="190">
        <v>0.14375749247489045</v>
      </c>
      <c r="AC21" s="190">
        <v>0.133369020725324</v>
      </c>
      <c r="AD21" s="190">
        <v>0.12019700281555522</v>
      </c>
      <c r="AE21" s="190">
        <v>0.11556764782871008</v>
      </c>
      <c r="AF21" s="191"/>
      <c r="AG21" s="364">
        <f>(AE21-AD21)*100</f>
        <v>-0.46293549868451356</v>
      </c>
      <c r="AH21" s="364">
        <f>(AE21-AA21)*100</f>
        <v>-3.143235217128991</v>
      </c>
    </row>
    <row r="22" spans="2:34" ht="13" customHeight="1">
      <c r="B22" s="50" t="str">
        <f>IF('Summary | Sumário'!D$6=Names!B$3,Names!AH19,Names!AI19)</f>
        <v>Tier I capital ratio (tier I /RWA)</v>
      </c>
      <c r="C22" s="191">
        <v>0.39400000000000002</v>
      </c>
      <c r="D22" s="191">
        <v>0.31900000000000001</v>
      </c>
      <c r="E22" s="191">
        <f t="shared" si="1"/>
        <v>0.44310820142722684</v>
      </c>
      <c r="F22" s="191">
        <f t="shared" ref="F22:F23" si="8">R22</f>
        <v>0.24099999999999999</v>
      </c>
      <c r="G22" s="191">
        <f t="shared" si="7"/>
        <v>0.229501027251763</v>
      </c>
      <c r="H22" s="191">
        <f t="shared" si="6"/>
        <v>0.15185433284416736</v>
      </c>
      <c r="I22" s="191">
        <f>AD22</f>
        <v>0.12581031268919382</v>
      </c>
      <c r="J22" s="191"/>
      <c r="K22" s="191">
        <v>0.24143715721212744</v>
      </c>
      <c r="L22" s="191">
        <v>0.19628756610770765</v>
      </c>
      <c r="M22" s="191">
        <v>0.4973946586368172</v>
      </c>
      <c r="N22" s="191">
        <v>0.44310820142722684</v>
      </c>
      <c r="O22" s="191">
        <v>0.35699999999999998</v>
      </c>
      <c r="P22" s="191">
        <v>0.32900000000000001</v>
      </c>
      <c r="Q22" s="191">
        <v>0.29799999999999999</v>
      </c>
      <c r="R22" s="191">
        <v>0.24099999999999999</v>
      </c>
      <c r="S22" s="191">
        <v>0.23</v>
      </c>
      <c r="T22" s="191">
        <v>0.22800000000000001</v>
      </c>
      <c r="U22" s="191">
        <v>0.2374</v>
      </c>
      <c r="V22" s="191">
        <v>0.229501027251763</v>
      </c>
      <c r="W22" s="191">
        <v>0.20276529979036845</v>
      </c>
      <c r="X22" s="191">
        <v>0.19289246116070838</v>
      </c>
      <c r="Y22" s="191">
        <v>0.17004172684835503</v>
      </c>
      <c r="Z22" s="191">
        <v>0.15185433284416736</v>
      </c>
      <c r="AA22" s="191">
        <v>0.14699999999999999</v>
      </c>
      <c r="AB22" s="191">
        <v>0.14375749247489045</v>
      </c>
      <c r="AC22" s="191">
        <v>0.133369020725324</v>
      </c>
      <c r="AD22" s="191">
        <v>0.12581031268919382</v>
      </c>
      <c r="AE22" s="191">
        <v>0.12134338785474928</v>
      </c>
      <c r="AF22" s="191"/>
      <c r="AG22" s="365">
        <f>(AE22-AD22)*100</f>
        <v>-0.44669248344445384</v>
      </c>
      <c r="AH22" s="365">
        <f>(AE22-AA22)*100</f>
        <v>-2.565661214525071</v>
      </c>
    </row>
    <row r="23" spans="2:34" ht="13" customHeight="1">
      <c r="B23" s="52" t="str">
        <f>IF('Summary | Sumário'!D$6=Names!B$3,Names!AH20,Names!AI20)</f>
        <v>Basel ratio (RE/RWA)</v>
      </c>
      <c r="C23" s="190">
        <v>0.39400000000000002</v>
      </c>
      <c r="D23" s="190">
        <v>0.31900000000000001</v>
      </c>
      <c r="E23" s="190">
        <f t="shared" si="1"/>
        <v>0.44310820142722684</v>
      </c>
      <c r="F23" s="190">
        <f t="shared" si="8"/>
        <v>0.24099999999999999</v>
      </c>
      <c r="G23" s="190">
        <f t="shared" si="7"/>
        <v>0.229501027251763</v>
      </c>
      <c r="H23" s="190">
        <f t="shared" si="6"/>
        <v>0.15185433284416736</v>
      </c>
      <c r="I23" s="190">
        <f>AD23</f>
        <v>0.1438176009287096</v>
      </c>
      <c r="J23" s="191"/>
      <c r="K23" s="190">
        <v>0.24143715721212744</v>
      </c>
      <c r="L23" s="190">
        <v>0.19628756610770765</v>
      </c>
      <c r="M23" s="190">
        <v>0.4973946586368172</v>
      </c>
      <c r="N23" s="190">
        <v>0.44310820142722684</v>
      </c>
      <c r="O23" s="190">
        <v>0.35699999999999998</v>
      </c>
      <c r="P23" s="190">
        <v>0.32900000000000001</v>
      </c>
      <c r="Q23" s="190">
        <v>0.29799999999999999</v>
      </c>
      <c r="R23" s="190">
        <v>0.24099999999999999</v>
      </c>
      <c r="S23" s="190">
        <v>0.23</v>
      </c>
      <c r="T23" s="190">
        <v>0.22800000000000001</v>
      </c>
      <c r="U23" s="190">
        <v>0.2374</v>
      </c>
      <c r="V23" s="190">
        <v>0.229501027251763</v>
      </c>
      <c r="W23" s="190">
        <v>0.20276529979036845</v>
      </c>
      <c r="X23" s="190">
        <v>0.19289246116070838</v>
      </c>
      <c r="Y23" s="190">
        <v>0.17004172684835503</v>
      </c>
      <c r="Z23" s="190">
        <v>0.15185433284416736</v>
      </c>
      <c r="AA23" s="190">
        <v>0.14699999999999999</v>
      </c>
      <c r="AB23" s="190">
        <v>0.15710392717377794</v>
      </c>
      <c r="AC23" s="190">
        <v>0.14632349535048683</v>
      </c>
      <c r="AD23" s="190">
        <v>0.1438176009287096</v>
      </c>
      <c r="AE23" s="190">
        <v>0.13985210718156352</v>
      </c>
      <c r="AF23" s="191"/>
      <c r="AG23" s="364">
        <f>(AE23-AD23)*100</f>
        <v>-0.39654937471460816</v>
      </c>
      <c r="AH23" s="364">
        <f>(AE23-AA23)*100</f>
        <v>-0.71478928184364743</v>
      </c>
    </row>
    <row r="24" spans="2:34" ht="13" customHeight="1">
      <c r="B24" s="107"/>
      <c r="C24" s="192"/>
      <c r="D24" s="192"/>
      <c r="E24" s="192"/>
      <c r="F24" s="192"/>
      <c r="G24" s="192"/>
      <c r="H24" s="192"/>
      <c r="I24" s="192"/>
      <c r="J24" s="192"/>
      <c r="K24" s="192"/>
      <c r="L24" s="192"/>
      <c r="M24" s="192"/>
      <c r="N24" s="192"/>
      <c r="O24" s="192"/>
      <c r="P24" s="192"/>
      <c r="Q24" s="192"/>
      <c r="R24" s="192"/>
      <c r="S24" s="192"/>
      <c r="T24" s="192"/>
      <c r="U24" s="305"/>
      <c r="V24" s="305"/>
      <c r="W24" s="305"/>
      <c r="X24" s="305"/>
      <c r="Y24" s="305"/>
      <c r="Z24" s="305"/>
      <c r="AA24" s="192"/>
      <c r="AB24" s="192"/>
      <c r="AC24" s="192"/>
      <c r="AD24" s="192"/>
      <c r="AE24" s="192"/>
      <c r="AF24" s="192"/>
      <c r="AG24" s="192"/>
      <c r="AH24" s="192"/>
    </row>
    <row r="25" spans="2:34" ht="13" customHeight="1">
      <c r="B25" s="107"/>
      <c r="C25" s="192"/>
      <c r="D25" s="192"/>
      <c r="E25" s="192"/>
      <c r="F25" s="192"/>
      <c r="G25" s="192"/>
      <c r="H25" s="192"/>
      <c r="I25" s="192"/>
      <c r="J25" s="193"/>
      <c r="K25" s="192"/>
      <c r="L25" s="192"/>
      <c r="M25" s="192"/>
      <c r="N25" s="192"/>
      <c r="O25" s="192"/>
      <c r="P25" s="192"/>
      <c r="Q25" s="192"/>
      <c r="R25" s="192"/>
      <c r="S25" s="192"/>
      <c r="T25" s="192"/>
      <c r="U25" s="192"/>
      <c r="V25" s="192"/>
      <c r="W25" s="192"/>
      <c r="X25" s="192"/>
      <c r="Y25" s="192"/>
      <c r="Z25" s="192"/>
      <c r="AA25" s="193"/>
      <c r="AB25" s="193"/>
      <c r="AC25" s="193"/>
      <c r="AD25" s="193"/>
      <c r="AE25" s="193"/>
      <c r="AF25" s="193"/>
      <c r="AG25" s="193"/>
      <c r="AH25" s="193"/>
    </row>
    <row r="26" spans="2:34" ht="13" customHeight="1">
      <c r="B26" s="107"/>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3"/>
    </row>
    <row r="27" spans="2:34" ht="13" customHeight="1">
      <c r="B27" s="107"/>
      <c r="C27" s="193"/>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row>
    <row r="28" spans="2:34" ht="13" customHeight="1">
      <c r="B28" s="120"/>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row>
    <row r="29" spans="2:34" ht="13" customHeight="1">
      <c r="B29" s="120"/>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row>
    <row r="30" spans="2:34" ht="13" customHeight="1">
      <c r="B30" s="120"/>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row>
    <row r="31" spans="2:34" ht="13" customHeight="1">
      <c r="B31" s="120"/>
      <c r="C31" s="192"/>
      <c r="D31" s="192"/>
      <c r="E31" s="192"/>
      <c r="F31" s="192"/>
      <c r="G31" s="192"/>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row>
    <row r="32" spans="2:34" ht="13" customHeight="1">
      <c r="B32" s="120"/>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row>
    <row r="33" spans="2:26" ht="13" customHeight="1">
      <c r="B33" s="120"/>
      <c r="R33" s="306"/>
      <c r="U33" s="306"/>
      <c r="V33" s="306"/>
      <c r="W33" s="306"/>
      <c r="X33" s="306"/>
      <c r="Y33" s="306"/>
      <c r="Z33" s="306"/>
    </row>
    <row r="34" spans="2:26" ht="13" customHeight="1">
      <c r="B34" s="120"/>
    </row>
    <row r="35" spans="2:26" ht="13" customHeight="1">
      <c r="R35" s="306"/>
      <c r="U35" s="306"/>
      <c r="V35" s="306"/>
      <c r="W35" s="306"/>
      <c r="X35" s="306"/>
      <c r="Y35" s="306"/>
      <c r="Z35" s="306"/>
    </row>
  </sheetData>
  <sheetProtection algorithmName="SHA-512" hashValue="Y19rglMw1ttghvKM9kxoJs9447+Q79pVYBHXpDxvlU1jp9Boq66048ClzatMJ1JLxI80sa9vy+wWewwQbDP6Mg==" saltValue="cRWLRqkq1h2AkN1SXDoS5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85DB-978F-8F40-90AA-48D8BA98015E}">
  <sheetPr codeName="Sheet22">
    <tabColor rgb="FFF7CAB0"/>
  </sheetPr>
  <dimension ref="A1:AL17"/>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81" customWidth="1"/>
    <col min="2" max="2" width="68.33203125" style="105" customWidth="1"/>
    <col min="3" max="9" width="10.83203125" style="182" customWidth="1"/>
    <col min="10" max="10" width="2.83203125" style="182" customWidth="1"/>
    <col min="11" max="31" width="10.83203125" style="182" customWidth="1"/>
    <col min="32" max="32" width="5.83203125" style="182" customWidth="1"/>
    <col min="33" max="34" width="10.83203125" style="182" customWidth="1"/>
    <col min="35" max="35" width="10.83203125" style="181" customWidth="1"/>
    <col min="36" max="16384" width="10.83203125" style="181"/>
  </cols>
  <sheetData>
    <row r="1" spans="1:38" ht="13" customHeight="1">
      <c r="AI1" s="182"/>
    </row>
    <row r="2" spans="1:38" s="9" customFormat="1" ht="13" customHeight="1">
      <c r="B2" s="255" t="str">
        <f>IF('Summary | Sumário'!D$6=Names!B$3,Names!BF72,Names!BG72)</f>
        <v>Effective Tax Rate (%)</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20"/>
      <c r="AG2" s="104" t="str">
        <f>IF('Summary | Sumário'!$D$6=Names!$B$3,Names!$I$24,Names!$J$24)</f>
        <v>QoQ Variation</v>
      </c>
      <c r="AH2" s="104" t="str">
        <f>IF('Summary | Sumário'!$D$6=Names!$B$3,Names!$I$25,Names!$J$25)</f>
        <v>YoY Variation</v>
      </c>
      <c r="AI2" s="10"/>
      <c r="AK2" s="11"/>
      <c r="AL2" s="12"/>
    </row>
    <row r="3" spans="1:38" ht="13" customHeight="1">
      <c r="B3" s="106"/>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4"/>
    </row>
    <row r="4" spans="1:38" s="186" customFormat="1" ht="13" customHeight="1">
      <c r="A4" s="185"/>
      <c r="B4" s="3" t="str">
        <f>IF('Summary | Sumário'!D$6=Names!B$3,Names!BF81,Names!BG81)</f>
        <v>Effective tax rate - IOC adjusted (%)</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row>
    <row r="5" spans="1:38" ht="13" customHeight="1">
      <c r="B5" s="276" t="str">
        <f>IF('Summary | Sumário'!D$6=Names!B$3,Names!BF66,Names!BG66)</f>
        <v>Income tax and social contribution + tax expenses from interest on own capital (IOC)</v>
      </c>
      <c r="C5" s="277">
        <f>C6+C7</f>
        <v>29686</v>
      </c>
      <c r="D5" s="277">
        <f t="shared" ref="D5:K5" si="0">D6+D7</f>
        <v>37709</v>
      </c>
      <c r="E5" s="277">
        <f t="shared" si="0"/>
        <v>175993</v>
      </c>
      <c r="F5" s="277">
        <f t="shared" si="0"/>
        <v>164494</v>
      </c>
      <c r="G5" s="277">
        <f t="shared" si="0"/>
        <v>-103550</v>
      </c>
      <c r="H5" s="277">
        <f t="shared" si="0"/>
        <v>-307479.78587989899</v>
      </c>
      <c r="I5" s="277">
        <f t="shared" ref="I5" si="1">I6+I7</f>
        <v>-379336</v>
      </c>
      <c r="J5" s="164"/>
      <c r="K5" s="277">
        <f t="shared" si="0"/>
        <v>34867</v>
      </c>
      <c r="L5" s="277">
        <f t="shared" ref="L5" si="2">L6+L7</f>
        <v>87154</v>
      </c>
      <c r="M5" s="277">
        <f t="shared" ref="M5" si="3">M6+M7</f>
        <v>-568.73549999999886</v>
      </c>
      <c r="N5" s="277">
        <f t="shared" ref="N5" si="4">N6+N7</f>
        <v>54540.735499999995</v>
      </c>
      <c r="O5" s="277">
        <f t="shared" ref="O5" si="5">O6+O7</f>
        <v>71272</v>
      </c>
      <c r="P5" s="277">
        <f t="shared" ref="P5" si="6">P6+P7</f>
        <v>3654</v>
      </c>
      <c r="Q5" s="277">
        <f t="shared" ref="Q5" si="7">Q6+Q7</f>
        <v>40448</v>
      </c>
      <c r="R5" s="277">
        <f t="shared" ref="R5" si="8">R6+R7</f>
        <v>49120</v>
      </c>
      <c r="S5" s="277">
        <f t="shared" ref="S5" si="9">S6+S7</f>
        <v>18319</v>
      </c>
      <c r="T5" s="277">
        <f t="shared" ref="T5" si="10">T6+T7</f>
        <v>-16127</v>
      </c>
      <c r="U5" s="277">
        <f t="shared" ref="U5" si="11">U6+U7</f>
        <v>-57163</v>
      </c>
      <c r="V5" s="277">
        <f t="shared" ref="V5" si="12">V6+V7</f>
        <v>-48579</v>
      </c>
      <c r="W5" s="277">
        <f t="shared" ref="W5" si="13">W6+W7</f>
        <v>-78512</v>
      </c>
      <c r="X5" s="277">
        <f t="shared" ref="X5" si="14">X6+X7</f>
        <v>-83530.733999999997</v>
      </c>
      <c r="Y5" s="277">
        <f t="shared" ref="Y5" si="15">Y6+Y7</f>
        <v>-43249</v>
      </c>
      <c r="Z5" s="277">
        <f t="shared" ref="Z5" si="16">Z6+Z7</f>
        <v>-102188.05187989899</v>
      </c>
      <c r="AA5" s="277">
        <f t="shared" ref="AA5" si="17">AA6+AA7</f>
        <v>-69165</v>
      </c>
      <c r="AB5" s="277">
        <f t="shared" ref="AB5:AC5" si="18">AB6+AB7</f>
        <v>-77682</v>
      </c>
      <c r="AC5" s="277">
        <f t="shared" si="18"/>
        <v>-111474</v>
      </c>
      <c r="AD5" s="277">
        <f t="shared" ref="AD5:AE5" si="19">AD6+AD7</f>
        <v>-121015</v>
      </c>
      <c r="AE5" s="277">
        <f t="shared" si="19"/>
        <v>-80783</v>
      </c>
      <c r="AF5" s="164"/>
      <c r="AG5" s="331">
        <f t="shared" ref="AG5:AG10" si="20">AE5/AD5-1</f>
        <v>-0.3324546543816882</v>
      </c>
      <c r="AH5" s="331">
        <f t="shared" ref="AH5:AH10" si="21">AE5/AA5-1</f>
        <v>0.16797513193088998</v>
      </c>
    </row>
    <row r="6" spans="1:38" ht="13" customHeight="1">
      <c r="B6" s="54" t="str">
        <f>'3. IS | DRE'!B25</f>
        <v>Income tax</v>
      </c>
      <c r="C6" s="164">
        <f>'3. IS | DRE'!C25</f>
        <v>29686</v>
      </c>
      <c r="D6" s="164">
        <f>'3. IS | DRE'!D25</f>
        <v>37709</v>
      </c>
      <c r="E6" s="164">
        <f>'3. IS | DRE'!E25</f>
        <v>175993</v>
      </c>
      <c r="F6" s="164">
        <f>'3. IS | DRE'!F25</f>
        <v>164494</v>
      </c>
      <c r="G6" s="164">
        <f>'3. IS | DRE'!G25</f>
        <v>-87581</v>
      </c>
      <c r="H6" s="164">
        <f>'3. IS | DRE'!H25</f>
        <v>-232708.78587989899</v>
      </c>
      <c r="I6" s="164">
        <f>'3. IS | DRE'!I25</f>
        <v>-226866</v>
      </c>
      <c r="J6" s="192"/>
      <c r="K6" s="164">
        <f>'3. IS | DRE'!K25</f>
        <v>34867</v>
      </c>
      <c r="L6" s="164">
        <f>'3. IS | DRE'!L25</f>
        <v>87154</v>
      </c>
      <c r="M6" s="164">
        <f>'3. IS | DRE'!M25</f>
        <v>-568.73549999999886</v>
      </c>
      <c r="N6" s="164">
        <f>'3. IS | DRE'!N25</f>
        <v>54540.735499999995</v>
      </c>
      <c r="O6" s="164">
        <f>'3. IS | DRE'!O25</f>
        <v>71272</v>
      </c>
      <c r="P6" s="164">
        <f>'3. IS | DRE'!P25</f>
        <v>3654</v>
      </c>
      <c r="Q6" s="164">
        <f>'3. IS | DRE'!Q25</f>
        <v>40448</v>
      </c>
      <c r="R6" s="164">
        <f>'3. IS | DRE'!R25</f>
        <v>49120</v>
      </c>
      <c r="S6" s="164">
        <f>'3. IS | DRE'!S25</f>
        <v>18319</v>
      </c>
      <c r="T6" s="164">
        <f>'3. IS | DRE'!T25</f>
        <v>-16127</v>
      </c>
      <c r="U6" s="164">
        <f>'3. IS | DRE'!U25</f>
        <v>-41194</v>
      </c>
      <c r="V6" s="164">
        <f>'3. IS | DRE'!V25</f>
        <v>-48579</v>
      </c>
      <c r="W6" s="164">
        <f>'3. IS | DRE'!W25</f>
        <v>-78512</v>
      </c>
      <c r="X6" s="164">
        <f>'3. IS | DRE'!X25</f>
        <v>-74943.733999999997</v>
      </c>
      <c r="Y6" s="164">
        <f>'3. IS | DRE'!Y25</f>
        <v>-33942</v>
      </c>
      <c r="Z6" s="164">
        <f>'3. IS | DRE'!Z25</f>
        <v>-45311.051879898987</v>
      </c>
      <c r="AA6" s="164">
        <f>'3. IS | DRE'!AA25</f>
        <v>-50759</v>
      </c>
      <c r="AB6" s="164">
        <f>'3. IS | DRE'!AB25</f>
        <v>-51361</v>
      </c>
      <c r="AC6" s="164">
        <f>'3. IS | DRE'!AC25</f>
        <v>-61920</v>
      </c>
      <c r="AD6" s="164">
        <f>'3. IS | DRE'!AD25</f>
        <v>-62826</v>
      </c>
      <c r="AE6" s="164">
        <f>'3. IS | DRE'!AE25</f>
        <v>-59571</v>
      </c>
      <c r="AF6" s="192"/>
      <c r="AG6" s="191">
        <f t="shared" si="20"/>
        <v>-5.180976029032569E-2</v>
      </c>
      <c r="AH6" s="191">
        <f t="shared" si="21"/>
        <v>0.17360468094328096</v>
      </c>
    </row>
    <row r="7" spans="1:38" ht="13" customHeight="1">
      <c r="B7" s="59" t="str">
        <f>IF('Summary | Sumário'!D$6=Names!B$3,Names!BF61,Names!BG61)</f>
        <v>(+) Tax expenses from interest on own capital (IOC)</v>
      </c>
      <c r="C7" s="159">
        <f>'9.4 Efficiency | Eficiência'!C14</f>
        <v>0</v>
      </c>
      <c r="D7" s="159">
        <f>'9.4 Efficiency | Eficiência'!D14</f>
        <v>0</v>
      </c>
      <c r="E7" s="159">
        <f>'9.4 Efficiency | Eficiência'!E14</f>
        <v>0</v>
      </c>
      <c r="F7" s="159">
        <f>'9.4 Efficiency | Eficiência'!F14</f>
        <v>0</v>
      </c>
      <c r="G7" s="159">
        <f>'9.4 Efficiency | Eficiência'!G14</f>
        <v>-15969</v>
      </c>
      <c r="H7" s="159">
        <f>'9.4 Efficiency | Eficiência'!H14</f>
        <v>-74771</v>
      </c>
      <c r="I7" s="159">
        <f>'9.4 Efficiency | Eficiência'!I14</f>
        <v>-152470</v>
      </c>
      <c r="J7" s="720"/>
      <c r="K7" s="159">
        <f>'9.4 Efficiency | Eficiência'!K14</f>
        <v>0</v>
      </c>
      <c r="L7" s="159">
        <f>'9.4 Efficiency | Eficiência'!L14</f>
        <v>0</v>
      </c>
      <c r="M7" s="159">
        <f>'9.4 Efficiency | Eficiência'!M14</f>
        <v>0</v>
      </c>
      <c r="N7" s="159">
        <f>'9.4 Efficiency | Eficiência'!N14</f>
        <v>0</v>
      </c>
      <c r="O7" s="159">
        <f>'9.4 Efficiency | Eficiência'!O14</f>
        <v>0</v>
      </c>
      <c r="P7" s="159">
        <f>'9.4 Efficiency | Eficiência'!P14</f>
        <v>0</v>
      </c>
      <c r="Q7" s="159">
        <f>'9.4 Efficiency | Eficiência'!Q14</f>
        <v>0</v>
      </c>
      <c r="R7" s="159">
        <f>'9.4 Efficiency | Eficiência'!R14</f>
        <v>0</v>
      </c>
      <c r="S7" s="159">
        <f>'9.4 Efficiency | Eficiência'!S14</f>
        <v>0</v>
      </c>
      <c r="T7" s="159">
        <f>'9.4 Efficiency | Eficiência'!T14</f>
        <v>0</v>
      </c>
      <c r="U7" s="159">
        <f>'9.4 Efficiency | Eficiência'!U14</f>
        <v>-15969</v>
      </c>
      <c r="V7" s="159">
        <f>'9.4 Efficiency | Eficiência'!V14</f>
        <v>0</v>
      </c>
      <c r="W7" s="159">
        <f>'9.4 Efficiency | Eficiência'!W14</f>
        <v>0</v>
      </c>
      <c r="X7" s="159">
        <f>'9.4 Efficiency | Eficiência'!X14</f>
        <v>-8587</v>
      </c>
      <c r="Y7" s="159">
        <f>'9.4 Efficiency | Eficiência'!Y14</f>
        <v>-9307</v>
      </c>
      <c r="Z7" s="159">
        <f>'9.4 Efficiency | Eficiência'!Z14</f>
        <v>-56877</v>
      </c>
      <c r="AA7" s="159">
        <f>'9.4 Efficiency | Eficiência'!AA14</f>
        <v>-18406</v>
      </c>
      <c r="AB7" s="159">
        <f>'9.4 Efficiency | Eficiência'!AB14</f>
        <v>-26321</v>
      </c>
      <c r="AC7" s="159">
        <f>'9.4 Efficiency | Eficiência'!AC14</f>
        <v>-49554</v>
      </c>
      <c r="AD7" s="159">
        <f>'9.4 Efficiency | Eficiência'!AD14</f>
        <v>-58189</v>
      </c>
      <c r="AE7" s="159">
        <f>'9.4 Efficiency | Eficiência'!AE14</f>
        <v>-21212</v>
      </c>
      <c r="AF7" s="192"/>
      <c r="AG7" s="190">
        <f t="shared" si="20"/>
        <v>-0.63546374744367484</v>
      </c>
      <c r="AH7" s="190">
        <f t="shared" si="21"/>
        <v>0.15245028794958171</v>
      </c>
    </row>
    <row r="8" spans="1:38" ht="13" customHeight="1">
      <c r="B8" s="50" t="str">
        <f>IF('Summary | Sumário'!D$6=Names!B$3,Names!BF69,Names!BG69)</f>
        <v>(÷) Profit / (loss) before income tax + tax expenses from interest on own capital (IOC)</v>
      </c>
      <c r="C8" s="164">
        <f t="shared" ref="C8" si="22">C9+C10</f>
        <v>683.66099999996368</v>
      </c>
      <c r="D8" s="164">
        <f t="shared" ref="D8" si="23">D9+D10</f>
        <v>-7175.1048200000077</v>
      </c>
      <c r="E8" s="164">
        <f t="shared" ref="E8" si="24">E9+E10</f>
        <v>-231061.27400000021</v>
      </c>
      <c r="F8" s="164">
        <f t="shared" ref="F8" si="25">F9+F10</f>
        <v>-178572.81500000041</v>
      </c>
      <c r="G8" s="164">
        <f t="shared" ref="G8" si="26">G9+G10</f>
        <v>455811</v>
      </c>
      <c r="H8" s="164">
        <f t="shared" ref="H8:AA8" si="27">H9+H10</f>
        <v>1280320.5823173386</v>
      </c>
      <c r="I8" s="164">
        <f t="shared" ref="I8" si="28">I9+I10</f>
        <v>1776656.9999999998</v>
      </c>
      <c r="J8" s="721"/>
      <c r="K8" s="164">
        <f t="shared" si="27"/>
        <v>-37560.065000000002</v>
      </c>
      <c r="L8" s="164">
        <f t="shared" si="27"/>
        <v>-117652.24899999995</v>
      </c>
      <c r="M8" s="164">
        <f t="shared" si="27"/>
        <v>34916.880000000005</v>
      </c>
      <c r="N8" s="164">
        <f t="shared" si="27"/>
        <v>-110766.84000000008</v>
      </c>
      <c r="O8" s="164">
        <f t="shared" si="27"/>
        <v>-100093.9850000001</v>
      </c>
      <c r="P8" s="164">
        <f t="shared" si="27"/>
        <v>11871.311000000103</v>
      </c>
      <c r="Q8" s="164">
        <f t="shared" si="27"/>
        <v>-70043.533000000054</v>
      </c>
      <c r="R8" s="164">
        <f t="shared" si="27"/>
        <v>-20306.608000000007</v>
      </c>
      <c r="S8" s="164">
        <f t="shared" si="27"/>
        <v>5897.1240000000689</v>
      </c>
      <c r="T8" s="164">
        <f t="shared" si="27"/>
        <v>80299</v>
      </c>
      <c r="U8" s="164">
        <f t="shared" si="27"/>
        <v>161323</v>
      </c>
      <c r="V8" s="164">
        <f t="shared" si="27"/>
        <v>208291.87599999993</v>
      </c>
      <c r="W8" s="164">
        <f t="shared" si="27"/>
        <v>273732</v>
      </c>
      <c r="X8" s="164">
        <f t="shared" si="27"/>
        <v>306194</v>
      </c>
      <c r="Y8" s="164">
        <f t="shared" si="27"/>
        <v>303259.08107357216</v>
      </c>
      <c r="Z8" s="164">
        <f t="shared" si="27"/>
        <v>397135.50124376646</v>
      </c>
      <c r="AA8" s="164">
        <f t="shared" si="27"/>
        <v>375952.90000000014</v>
      </c>
      <c r="AB8" s="164">
        <f>AB9+AB10</f>
        <v>409849.19999999995</v>
      </c>
      <c r="AC8" s="164">
        <f>AC9+AC10</f>
        <v>467479.4</v>
      </c>
      <c r="AD8" s="164">
        <f>AD9+AD10</f>
        <v>523375.49999999977</v>
      </c>
      <c r="AE8" s="164">
        <f>AE9+AE10</f>
        <v>498330</v>
      </c>
      <c r="AF8" s="192"/>
      <c r="AG8" s="191">
        <f t="shared" si="20"/>
        <v>-4.7853787576987772E-2</v>
      </c>
      <c r="AH8" s="191">
        <f t="shared" si="21"/>
        <v>0.3255117861838539</v>
      </c>
    </row>
    <row r="9" spans="1:38" ht="13" customHeight="1">
      <c r="B9" s="59" t="str">
        <f>'3. IS | DRE'!B23</f>
        <v>Profit / (loss) before income tax</v>
      </c>
      <c r="C9" s="159">
        <f>'3. IS | DRE'!C23</f>
        <v>683.66099999996368</v>
      </c>
      <c r="D9" s="159">
        <f>'3. IS | DRE'!D23</f>
        <v>-7175.1048200000077</v>
      </c>
      <c r="E9" s="159">
        <f>'3. IS | DRE'!E23</f>
        <v>-231061.27400000021</v>
      </c>
      <c r="F9" s="159">
        <f>'3. IS | DRE'!F23</f>
        <v>-178572.81500000041</v>
      </c>
      <c r="G9" s="159">
        <f>'3. IS | DRE'!G23</f>
        <v>439842</v>
      </c>
      <c r="H9" s="159">
        <f>'3. IS | DRE'!H23</f>
        <v>1205549.5823173386</v>
      </c>
      <c r="I9" s="159">
        <f>'3. IS | DRE'!I23</f>
        <v>1624186.9999999998</v>
      </c>
      <c r="J9" s="721"/>
      <c r="K9" s="159">
        <f>'3. IS | DRE'!K23</f>
        <v>-37560.065000000002</v>
      </c>
      <c r="L9" s="159">
        <f>'3. IS | DRE'!L23</f>
        <v>-117652.24899999995</v>
      </c>
      <c r="M9" s="159">
        <f>'3. IS | DRE'!M23</f>
        <v>34916.880000000005</v>
      </c>
      <c r="N9" s="159">
        <f>'3. IS | DRE'!N23</f>
        <v>-110766.84000000008</v>
      </c>
      <c r="O9" s="159">
        <f>'3. IS | DRE'!O23</f>
        <v>-100093.9850000001</v>
      </c>
      <c r="P9" s="159">
        <f>'3. IS | DRE'!P23</f>
        <v>11871.311000000103</v>
      </c>
      <c r="Q9" s="159">
        <f>'3. IS | DRE'!Q23</f>
        <v>-70043.533000000054</v>
      </c>
      <c r="R9" s="159">
        <f>'3. IS | DRE'!R23</f>
        <v>-20306.608000000007</v>
      </c>
      <c r="S9" s="159">
        <f>'3. IS | DRE'!S23</f>
        <v>5897.1240000000689</v>
      </c>
      <c r="T9" s="159">
        <f>'3. IS | DRE'!T23</f>
        <v>80299</v>
      </c>
      <c r="U9" s="159">
        <f>'3. IS | DRE'!U23</f>
        <v>145354</v>
      </c>
      <c r="V9" s="159">
        <f>'3. IS | DRE'!V23</f>
        <v>208291.87599999993</v>
      </c>
      <c r="W9" s="159">
        <f>'3. IS | DRE'!W23</f>
        <v>273732</v>
      </c>
      <c r="X9" s="159">
        <f>'3. IS | DRE'!X23</f>
        <v>297607</v>
      </c>
      <c r="Y9" s="159">
        <f>'3. IS | DRE'!Y23</f>
        <v>293952.08107357216</v>
      </c>
      <c r="Z9" s="159">
        <f>'3. IS | DRE'!Z23</f>
        <v>340258.50124376646</v>
      </c>
      <c r="AA9" s="159">
        <f>'3. IS | DRE'!AA23</f>
        <v>357546.90000000014</v>
      </c>
      <c r="AB9" s="159">
        <f>'3. IS | DRE'!AB23</f>
        <v>383528.19999999995</v>
      </c>
      <c r="AC9" s="159">
        <f>'3. IS | DRE'!AC23</f>
        <v>417925.4</v>
      </c>
      <c r="AD9" s="159">
        <f>'3. IS | DRE'!AD23</f>
        <v>465186.49999999977</v>
      </c>
      <c r="AE9" s="159">
        <f>'3. IS | DRE'!AE23</f>
        <v>477118</v>
      </c>
      <c r="AF9" s="192"/>
      <c r="AG9" s="190">
        <f t="shared" si="20"/>
        <v>2.564885266446959E-2</v>
      </c>
      <c r="AH9" s="190">
        <f t="shared" si="21"/>
        <v>0.33442074312488734</v>
      </c>
    </row>
    <row r="10" spans="1:38" s="182" customFormat="1" ht="13" customHeight="1">
      <c r="A10" s="181"/>
      <c r="B10" s="54" t="str">
        <f>IF('Summary | Sumário'!D$6=Names!B$3,Names!BF61,Names!BG61)</f>
        <v>(+) Tax expenses from interest on own capital (IOC)</v>
      </c>
      <c r="C10" s="164">
        <f t="shared" ref="C10:G10" si="29">-C7</f>
        <v>0</v>
      </c>
      <c r="D10" s="164">
        <f t="shared" si="29"/>
        <v>0</v>
      </c>
      <c r="E10" s="164">
        <f t="shared" si="29"/>
        <v>0</v>
      </c>
      <c r="F10" s="164">
        <f t="shared" si="29"/>
        <v>0</v>
      </c>
      <c r="G10" s="164">
        <f t="shared" si="29"/>
        <v>15969</v>
      </c>
      <c r="H10" s="164">
        <f t="shared" ref="H10:I10" si="30">-H7</f>
        <v>74771</v>
      </c>
      <c r="I10" s="164">
        <f t="shared" si="30"/>
        <v>152470</v>
      </c>
      <c r="J10" s="721"/>
      <c r="K10" s="747">
        <f t="shared" ref="K10:AA10" si="31">-K7</f>
        <v>0</v>
      </c>
      <c r="L10" s="747">
        <f t="shared" si="31"/>
        <v>0</v>
      </c>
      <c r="M10" s="747">
        <f t="shared" si="31"/>
        <v>0</v>
      </c>
      <c r="N10" s="747">
        <f t="shared" si="31"/>
        <v>0</v>
      </c>
      <c r="O10" s="747">
        <f t="shared" si="31"/>
        <v>0</v>
      </c>
      <c r="P10" s="747">
        <f t="shared" si="31"/>
        <v>0</v>
      </c>
      <c r="Q10" s="747">
        <f t="shared" si="31"/>
        <v>0</v>
      </c>
      <c r="R10" s="747">
        <f t="shared" si="31"/>
        <v>0</v>
      </c>
      <c r="S10" s="747">
        <f t="shared" si="31"/>
        <v>0</v>
      </c>
      <c r="T10" s="747">
        <f t="shared" si="31"/>
        <v>0</v>
      </c>
      <c r="U10" s="747">
        <f t="shared" si="31"/>
        <v>15969</v>
      </c>
      <c r="V10" s="747">
        <f t="shared" si="31"/>
        <v>0</v>
      </c>
      <c r="W10" s="747">
        <f t="shared" si="31"/>
        <v>0</v>
      </c>
      <c r="X10" s="747">
        <f t="shared" si="31"/>
        <v>8587</v>
      </c>
      <c r="Y10" s="747">
        <f t="shared" si="31"/>
        <v>9307</v>
      </c>
      <c r="Z10" s="747">
        <f t="shared" si="31"/>
        <v>56877</v>
      </c>
      <c r="AA10" s="747">
        <f t="shared" si="31"/>
        <v>18406</v>
      </c>
      <c r="AB10" s="747">
        <f>-AB7</f>
        <v>26321</v>
      </c>
      <c r="AC10" s="747">
        <f>-AC7</f>
        <v>49554</v>
      </c>
      <c r="AD10" s="747">
        <f>-AD7</f>
        <v>58189</v>
      </c>
      <c r="AE10" s="747">
        <f>-AE7</f>
        <v>21212</v>
      </c>
      <c r="AG10" s="748">
        <f t="shared" si="20"/>
        <v>-0.63546374744367484</v>
      </c>
      <c r="AH10" s="748">
        <f t="shared" si="21"/>
        <v>0.15245028794958171</v>
      </c>
      <c r="AI10" s="181"/>
      <c r="AJ10" s="181"/>
      <c r="AK10" s="181"/>
      <c r="AL10" s="181"/>
    </row>
    <row r="11" spans="1:38" s="182" customFormat="1" ht="13" customHeight="1">
      <c r="A11" s="181"/>
      <c r="B11" s="745" t="str">
        <f>IF('Summary | Sumário'!D$6=Names!B$3,Names!BF71,Names!BG71)</f>
        <v>IOC adjusted effective tax rate (%)</v>
      </c>
      <c r="C11" s="746">
        <f t="shared" ref="C11:AA11" si="32">-C5/C8</f>
        <v>-43.422105400193338</v>
      </c>
      <c r="D11" s="746">
        <f t="shared" si="32"/>
        <v>5.2555329777049806</v>
      </c>
      <c r="E11" s="746">
        <f t="shared" si="32"/>
        <v>0.76167242114314593</v>
      </c>
      <c r="F11" s="746">
        <f t="shared" si="32"/>
        <v>0.92115924811959549</v>
      </c>
      <c r="G11" s="746">
        <f t="shared" si="32"/>
        <v>0.22717749242558868</v>
      </c>
      <c r="H11" s="746">
        <f t="shared" si="32"/>
        <v>0.24015843385362953</v>
      </c>
      <c r="I11" s="746">
        <f t="shared" ref="I11" si="33">-I5/I8</f>
        <v>0.21351110540751539</v>
      </c>
      <c r="J11" s="722"/>
      <c r="K11" s="310">
        <f t="shared" si="32"/>
        <v>0.92829977796896779</v>
      </c>
      <c r="L11" s="310">
        <f t="shared" si="32"/>
        <v>0.74077631954149925</v>
      </c>
      <c r="M11" s="310">
        <f t="shared" si="32"/>
        <v>1.6288268023947124E-2</v>
      </c>
      <c r="N11" s="310">
        <f t="shared" si="32"/>
        <v>0.4923922673969931</v>
      </c>
      <c r="O11" s="310">
        <f t="shared" si="32"/>
        <v>0.71205077907528536</v>
      </c>
      <c r="P11" s="310">
        <f t="shared" si="32"/>
        <v>-0.3078008823119846</v>
      </c>
      <c r="Q11" s="310">
        <f t="shared" si="32"/>
        <v>0.57746944318185622</v>
      </c>
      <c r="R11" s="310">
        <f t="shared" si="32"/>
        <v>2.4189170342974062</v>
      </c>
      <c r="S11" s="310">
        <f t="shared" si="32"/>
        <v>-3.1064295069935421</v>
      </c>
      <c r="T11" s="310">
        <f t="shared" si="32"/>
        <v>0.20083687219018917</v>
      </c>
      <c r="U11" s="310">
        <f t="shared" si="32"/>
        <v>0.35433881095690012</v>
      </c>
      <c r="V11" s="310">
        <f t="shared" si="32"/>
        <v>0.23322561077706178</v>
      </c>
      <c r="W11" s="310">
        <f t="shared" si="32"/>
        <v>0.28682068592638055</v>
      </c>
      <c r="X11" s="310">
        <f t="shared" si="32"/>
        <v>0.27280330117507201</v>
      </c>
      <c r="Y11" s="310">
        <f t="shared" si="32"/>
        <v>0.14261403103542208</v>
      </c>
      <c r="Z11" s="310">
        <f t="shared" si="32"/>
        <v>0.25731281026214464</v>
      </c>
      <c r="AA11" s="310">
        <f t="shared" si="32"/>
        <v>0.18397251357816358</v>
      </c>
      <c r="AB11" s="310">
        <f>-AB5/AB8</f>
        <v>0.1895380056859938</v>
      </c>
      <c r="AC11" s="310">
        <f>-AC5/AC8</f>
        <v>0.23845756625853459</v>
      </c>
      <c r="AD11" s="310">
        <f>-AD5/AD8</f>
        <v>0.23122022333869288</v>
      </c>
      <c r="AE11" s="310">
        <f>-AE5/AE8</f>
        <v>0.1621074388457448</v>
      </c>
      <c r="AG11" s="683">
        <f>(AE11-AD11)*100</f>
        <v>-6.9112784492948078</v>
      </c>
      <c r="AH11" s="683">
        <f>(AE11-AA11)*100</f>
        <v>-2.1865074732418774</v>
      </c>
      <c r="AI11" s="181"/>
      <c r="AJ11" s="181"/>
      <c r="AK11" s="181"/>
      <c r="AL11" s="181"/>
    </row>
    <row r="12" spans="1:38" s="182" customFormat="1" ht="13" customHeight="1">
      <c r="A12" s="181"/>
      <c r="B12" s="105"/>
      <c r="J12" s="723"/>
      <c r="R12" s="306"/>
      <c r="U12" s="306"/>
      <c r="V12" s="306"/>
      <c r="W12" s="306"/>
      <c r="X12" s="306"/>
      <c r="Y12" s="306"/>
      <c r="Z12" s="306"/>
      <c r="AI12" s="181"/>
      <c r="AJ12" s="181"/>
      <c r="AK12" s="181"/>
      <c r="AL12" s="181"/>
    </row>
    <row r="13" spans="1:38" s="186" customFormat="1" ht="13" customHeight="1">
      <c r="B13" s="553" t="str">
        <f>IF('Summary | Sumário'!D$6=Names!B$3,Names!BF82,Names!BG82)</f>
        <v>Effective tax rate(%)</v>
      </c>
      <c r="C13" s="687"/>
      <c r="D13" s="687"/>
      <c r="E13" s="687"/>
      <c r="F13" s="687"/>
      <c r="G13" s="687"/>
      <c r="H13" s="687"/>
      <c r="I13" s="687"/>
      <c r="J13" s="724"/>
      <c r="K13" s="687"/>
      <c r="L13" s="687"/>
      <c r="M13" s="687"/>
      <c r="N13" s="687"/>
      <c r="O13" s="687"/>
      <c r="P13" s="687"/>
      <c r="Q13" s="687"/>
      <c r="R13" s="687"/>
      <c r="S13" s="687"/>
      <c r="T13" s="687"/>
      <c r="U13" s="687"/>
      <c r="V13" s="687"/>
      <c r="W13" s="687"/>
      <c r="X13" s="687"/>
      <c r="Y13" s="687"/>
      <c r="Z13" s="687"/>
      <c r="AA13" s="687"/>
      <c r="AB13" s="687"/>
      <c r="AC13" s="687"/>
      <c r="AD13" s="687"/>
      <c r="AE13" s="687"/>
      <c r="AF13" s="169"/>
      <c r="AG13" s="687"/>
      <c r="AH13" s="687"/>
    </row>
    <row r="14" spans="1:38" ht="13" customHeight="1">
      <c r="B14" s="510" t="str">
        <f t="shared" ref="B14:H14" si="34">B6</f>
        <v>Income tax</v>
      </c>
      <c r="C14" s="684">
        <f t="shared" si="34"/>
        <v>29686</v>
      </c>
      <c r="D14" s="684">
        <f t="shared" si="34"/>
        <v>37709</v>
      </c>
      <c r="E14" s="684">
        <f t="shared" si="34"/>
        <v>175993</v>
      </c>
      <c r="F14" s="684">
        <f t="shared" si="34"/>
        <v>164494</v>
      </c>
      <c r="G14" s="684">
        <f t="shared" si="34"/>
        <v>-87581</v>
      </c>
      <c r="H14" s="684">
        <f t="shared" si="34"/>
        <v>-232708.78587989899</v>
      </c>
      <c r="I14" s="684">
        <f t="shared" ref="I14" si="35">I6</f>
        <v>-226866</v>
      </c>
      <c r="J14" s="725"/>
      <c r="K14" s="684">
        <f>K6</f>
        <v>34867</v>
      </c>
      <c r="L14" s="684">
        <f>L6</f>
        <v>87154</v>
      </c>
      <c r="M14" s="684">
        <f>M6</f>
        <v>-568.73549999999886</v>
      </c>
      <c r="N14" s="684">
        <f>N6</f>
        <v>54540.735499999995</v>
      </c>
      <c r="O14" s="684">
        <f t="shared" ref="O14:AB14" si="36">O6</f>
        <v>71272</v>
      </c>
      <c r="P14" s="684">
        <f t="shared" si="36"/>
        <v>3654</v>
      </c>
      <c r="Q14" s="684">
        <f t="shared" si="36"/>
        <v>40448</v>
      </c>
      <c r="R14" s="684">
        <f t="shared" si="36"/>
        <v>49120</v>
      </c>
      <c r="S14" s="684">
        <f t="shared" si="36"/>
        <v>18319</v>
      </c>
      <c r="T14" s="684">
        <f t="shared" si="36"/>
        <v>-16127</v>
      </c>
      <c r="U14" s="684">
        <f t="shared" si="36"/>
        <v>-41194</v>
      </c>
      <c r="V14" s="684">
        <f t="shared" si="36"/>
        <v>-48579</v>
      </c>
      <c r="W14" s="684">
        <f t="shared" si="36"/>
        <v>-78512</v>
      </c>
      <c r="X14" s="684">
        <f t="shared" si="36"/>
        <v>-74943.733999999997</v>
      </c>
      <c r="Y14" s="684">
        <f t="shared" si="36"/>
        <v>-33942</v>
      </c>
      <c r="Z14" s="684">
        <f t="shared" si="36"/>
        <v>-45311.051879898987</v>
      </c>
      <c r="AA14" s="684">
        <f t="shared" si="36"/>
        <v>-50759</v>
      </c>
      <c r="AB14" s="684">
        <f t="shared" si="36"/>
        <v>-51361</v>
      </c>
      <c r="AC14" s="684">
        <f t="shared" ref="AC14:AD14" si="37">AC6</f>
        <v>-61920</v>
      </c>
      <c r="AD14" s="684">
        <f t="shared" si="37"/>
        <v>-62826</v>
      </c>
      <c r="AE14" s="684">
        <f t="shared" ref="AE14" si="38">AE6</f>
        <v>-59571</v>
      </c>
      <c r="AF14" s="160"/>
      <c r="AG14" s="685">
        <f>AE14/AD14-1</f>
        <v>-5.180976029032569E-2</v>
      </c>
      <c r="AH14" s="685">
        <f>AE14/AA14-1</f>
        <v>0.17360468094328096</v>
      </c>
    </row>
    <row r="15" spans="1:38" ht="13" customHeight="1">
      <c r="B15" s="727" t="str">
        <f>IF('Summary | Sumário'!D$6=Names!B$3,Names!BF78,Names!BG78)</f>
        <v>(÷) Profit / (loss) before income tax</v>
      </c>
      <c r="C15" s="728">
        <f t="shared" ref="C15:H15" si="39">C9</f>
        <v>683.66099999996368</v>
      </c>
      <c r="D15" s="728">
        <f t="shared" si="39"/>
        <v>-7175.1048200000077</v>
      </c>
      <c r="E15" s="728">
        <f t="shared" si="39"/>
        <v>-231061.27400000021</v>
      </c>
      <c r="F15" s="728">
        <f t="shared" si="39"/>
        <v>-178572.81500000041</v>
      </c>
      <c r="G15" s="728">
        <f t="shared" si="39"/>
        <v>439842</v>
      </c>
      <c r="H15" s="728">
        <f t="shared" si="39"/>
        <v>1205549.5823173386</v>
      </c>
      <c r="I15" s="728">
        <f t="shared" ref="I15" si="40">I9</f>
        <v>1624186.9999999998</v>
      </c>
      <c r="J15" s="725"/>
      <c r="K15" s="161">
        <f>K9</f>
        <v>-37560.065000000002</v>
      </c>
      <c r="L15" s="161">
        <f>L9</f>
        <v>-117652.24899999995</v>
      </c>
      <c r="M15" s="161">
        <f>M9</f>
        <v>34916.880000000005</v>
      </c>
      <c r="N15" s="161">
        <f>N9</f>
        <v>-110766.84000000008</v>
      </c>
      <c r="O15" s="161">
        <f t="shared" ref="O15:AB15" si="41">O9</f>
        <v>-100093.9850000001</v>
      </c>
      <c r="P15" s="161">
        <f t="shared" si="41"/>
        <v>11871.311000000103</v>
      </c>
      <c r="Q15" s="161">
        <f t="shared" si="41"/>
        <v>-70043.533000000054</v>
      </c>
      <c r="R15" s="161">
        <f t="shared" si="41"/>
        <v>-20306.608000000007</v>
      </c>
      <c r="S15" s="161">
        <f t="shared" si="41"/>
        <v>5897.1240000000689</v>
      </c>
      <c r="T15" s="161">
        <f t="shared" si="41"/>
        <v>80299</v>
      </c>
      <c r="U15" s="161">
        <f t="shared" si="41"/>
        <v>145354</v>
      </c>
      <c r="V15" s="161">
        <f t="shared" si="41"/>
        <v>208291.87599999993</v>
      </c>
      <c r="W15" s="161">
        <f t="shared" si="41"/>
        <v>273732</v>
      </c>
      <c r="X15" s="161">
        <f t="shared" si="41"/>
        <v>297607</v>
      </c>
      <c r="Y15" s="161">
        <f t="shared" si="41"/>
        <v>293952.08107357216</v>
      </c>
      <c r="Z15" s="161">
        <f t="shared" si="41"/>
        <v>340258.50124376646</v>
      </c>
      <c r="AA15" s="161">
        <f t="shared" si="41"/>
        <v>357546.90000000014</v>
      </c>
      <c r="AB15" s="161">
        <f t="shared" si="41"/>
        <v>383528.19999999995</v>
      </c>
      <c r="AC15" s="161">
        <f t="shared" ref="AC15:AD15" si="42">AC9</f>
        <v>417925.4</v>
      </c>
      <c r="AD15" s="161">
        <f t="shared" si="42"/>
        <v>465186.49999999977</v>
      </c>
      <c r="AE15" s="161">
        <f t="shared" ref="AE15" si="43">AE9</f>
        <v>477118</v>
      </c>
      <c r="AG15" s="336">
        <f>AE15/AD15-1</f>
        <v>2.564885266446959E-2</v>
      </c>
      <c r="AH15" s="336">
        <f>AE15/AA15-1</f>
        <v>0.33442074312488734</v>
      </c>
    </row>
    <row r="16" spans="1:38" s="182" customFormat="1" ht="13" customHeight="1">
      <c r="A16" s="181"/>
      <c r="B16" s="686" t="str">
        <f>IF('Summary | Sumário'!D$6=Names!B$3,Names!BF72,Names!BG72)</f>
        <v>Effective Tax Rate (%)</v>
      </c>
      <c r="C16" s="321">
        <f>-C14/C15</f>
        <v>-43.422105400193338</v>
      </c>
      <c r="D16" s="321">
        <f t="shared" ref="D16:N16" si="44">-D14/D15</f>
        <v>5.2555329777049806</v>
      </c>
      <c r="E16" s="321">
        <f t="shared" si="44"/>
        <v>0.76167242114314593</v>
      </c>
      <c r="F16" s="321">
        <f t="shared" si="44"/>
        <v>0.92115924811959549</v>
      </c>
      <c r="G16" s="321">
        <f t="shared" si="44"/>
        <v>0.19911922917775018</v>
      </c>
      <c r="H16" s="321">
        <f t="shared" si="44"/>
        <v>0.19303128572495554</v>
      </c>
      <c r="I16" s="321">
        <f t="shared" ref="I16" si="45">-I14/I15</f>
        <v>0.13967972899672268</v>
      </c>
      <c r="J16" s="726"/>
      <c r="K16" s="729">
        <f t="shared" si="44"/>
        <v>0.92829977796896779</v>
      </c>
      <c r="L16" s="729">
        <f t="shared" si="44"/>
        <v>0.74077631954149925</v>
      </c>
      <c r="M16" s="729">
        <f t="shared" si="44"/>
        <v>1.6288268023947124E-2</v>
      </c>
      <c r="N16" s="729">
        <f t="shared" si="44"/>
        <v>0.4923922673969931</v>
      </c>
      <c r="O16" s="729">
        <f t="shared" ref="O16" si="46">-O14/O15</f>
        <v>0.71205077907528536</v>
      </c>
      <c r="P16" s="729">
        <f t="shared" ref="P16" si="47">-P14/P15</f>
        <v>-0.3078008823119846</v>
      </c>
      <c r="Q16" s="729">
        <f t="shared" ref="Q16" si="48">-Q14/Q15</f>
        <v>0.57746944318185622</v>
      </c>
      <c r="R16" s="729">
        <f t="shared" ref="R16" si="49">-R14/R15</f>
        <v>2.4189170342974062</v>
      </c>
      <c r="S16" s="729">
        <f t="shared" ref="S16" si="50">-S14/S15</f>
        <v>-3.1064295069935421</v>
      </c>
      <c r="T16" s="729">
        <f t="shared" ref="T16" si="51">-T14/T15</f>
        <v>0.20083687219018917</v>
      </c>
      <c r="U16" s="729">
        <f t="shared" ref="U16" si="52">-U14/U15</f>
        <v>0.28340465346670884</v>
      </c>
      <c r="V16" s="729">
        <f t="shared" ref="V16" si="53">-V14/V15</f>
        <v>0.23322561077706178</v>
      </c>
      <c r="W16" s="729">
        <f t="shared" ref="W16:X16" si="54">-W14/W15</f>
        <v>0.28682068592638055</v>
      </c>
      <c r="X16" s="729">
        <f t="shared" si="54"/>
        <v>0.25182113995974553</v>
      </c>
      <c r="Y16" s="729">
        <f t="shared" ref="Y16" si="55">-Y14/Y15</f>
        <v>0.11546779963603926</v>
      </c>
      <c r="Z16" s="729">
        <f t="shared" ref="Z16" si="56">-Z14/Z15</f>
        <v>0.1331665534123935</v>
      </c>
      <c r="AA16" s="729">
        <f t="shared" ref="AA16" si="57">-AA14/AA15</f>
        <v>0.14196459261708039</v>
      </c>
      <c r="AB16" s="729">
        <f t="shared" ref="AB16:AC16" si="58">-AB14/AB15</f>
        <v>0.13391714090385012</v>
      </c>
      <c r="AC16" s="729">
        <f t="shared" si="58"/>
        <v>0.14816041331778351</v>
      </c>
      <c r="AD16" s="729">
        <f t="shared" ref="AD16:AE16" si="59">-AD14/AD15</f>
        <v>0.13505550999437865</v>
      </c>
      <c r="AE16" s="729">
        <f t="shared" si="59"/>
        <v>0.12485590566694194</v>
      </c>
      <c r="AG16" s="730">
        <f>(AE16-AD16)*100</f>
        <v>-1.0199604327436718</v>
      </c>
      <c r="AH16" s="730">
        <f>(AE16-AA16)*100</f>
        <v>-1.7108686950138452</v>
      </c>
      <c r="AI16" s="181"/>
      <c r="AJ16" s="181"/>
      <c r="AK16" s="181"/>
      <c r="AL16" s="181"/>
    </row>
    <row r="17" spans="10:10" ht="13" customHeight="1">
      <c r="J17" s="723"/>
    </row>
  </sheetData>
  <sheetProtection algorithmName="SHA-512" hashValue="W6SNhDVgih2Yf7tuOvGUGXjEkB5U+ESAs42o7SvM7d9ap6wwrQNv0I0sHWESsjFgoamwpUUO0QohIOnZ01naIg==" saltValue="IituVAB46ScScBrYNoH/7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0CD10-39BD-0543-84EB-DF1D3923D995}">
  <sheetPr codeName="Sheet27">
    <tabColor rgb="FFE1E2E1"/>
  </sheetPr>
  <dimension ref="B1:AH23"/>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120" customWidth="1"/>
    <col min="3" max="12" width="10.83203125" style="121" customWidth="1"/>
    <col min="13" max="25" width="10.83203125" style="120"/>
    <col min="26" max="26" width="5.83203125" style="120" customWidth="1"/>
    <col min="27" max="16384" width="10.83203125" style="120"/>
  </cols>
  <sheetData>
    <row r="1" spans="2:34" ht="13" customHeight="1">
      <c r="M1" s="121"/>
      <c r="N1" s="121"/>
      <c r="O1" s="121"/>
      <c r="P1" s="121"/>
      <c r="Q1" s="121"/>
      <c r="R1" s="121"/>
      <c r="S1" s="121"/>
      <c r="T1" s="121"/>
      <c r="U1" s="121"/>
      <c r="V1" s="121"/>
      <c r="W1" s="121"/>
      <c r="X1" s="121"/>
      <c r="Y1" s="121"/>
      <c r="Z1" s="121"/>
      <c r="AA1" s="121"/>
      <c r="AB1" s="121"/>
      <c r="AC1" s="121"/>
    </row>
    <row r="2" spans="2:34" s="127" customFormat="1" ht="13" customHeight="1">
      <c r="B2" s="255" t="str">
        <f>IF('Summary | Sumário'!D$6=Names!B$3,Names!AZ1,Names!BA1)</f>
        <v>Operational KPIs</v>
      </c>
      <c r="C2" s="19" t="str">
        <f>IF('Summary | Sumário'!D$6=Names!B$3,Names!E2,Names!F2)</f>
        <v>4Q19</v>
      </c>
      <c r="D2" s="19" t="str">
        <f>IF('Summary | Sumário'!D$6=Names!B$3,Names!E3,Names!F3)</f>
        <v>4Q20</v>
      </c>
      <c r="E2" s="19" t="str">
        <f>IF('Summary | Sumário'!D$6=Names!B$3,Names!E4,Names!F4)</f>
        <v>1Q21</v>
      </c>
      <c r="F2" s="19" t="str">
        <f>IF('Summary | Sumário'!D$6=Names!B$3,Names!E5,Names!F5)</f>
        <v>2Q21</v>
      </c>
      <c r="G2" s="19" t="str">
        <f>IF('Summary | Sumário'!D$6=Names!B$3,Names!E6,Names!F6)</f>
        <v>3Q21</v>
      </c>
      <c r="H2" s="20" t="str">
        <f>IF('Summary | Sumário'!D$6=Names!B$3,Names!E7,Names!F7)</f>
        <v>4Q21</v>
      </c>
      <c r="I2" s="20" t="str">
        <f>IF('Summary | Sumário'!D$6=Names!B$3,Names!E8,Names!F8)</f>
        <v>1Q22</v>
      </c>
      <c r="J2" s="20" t="str">
        <f>IF('Summary | Sumário'!D$6=Names!B$3,Names!E9,Names!F9)</f>
        <v>2Q22</v>
      </c>
      <c r="K2" s="20" t="str">
        <f>IF('Summary | Sumário'!D$6=Names!B$3,Names!E10,Names!F10)</f>
        <v>3Q22</v>
      </c>
      <c r="L2" s="20" t="str">
        <f>IF('Summary | Sumário'!D$6=Names!B$3,Names!E11,Names!F11)</f>
        <v>4Q22</v>
      </c>
      <c r="M2" s="20" t="str">
        <f>IF('Summary | Sumário'!D$6=Names!B$3,Names!E12,Names!F12)</f>
        <v>1Q23</v>
      </c>
      <c r="N2" s="20" t="str">
        <f>IF('Summary | Sumário'!D$6=Names!B$3,Names!E13,Names!F13)</f>
        <v>2Q23</v>
      </c>
      <c r="O2" s="20" t="str">
        <f>IF('Summary | Sumário'!D$6=Names!B$3,Names!E14,Names!F14)</f>
        <v>3Q23</v>
      </c>
      <c r="P2" s="20" t="str">
        <f>IF('Summary | Sumário'!D$6=Names!B$3,Names!E15,Names!F15)</f>
        <v>4Q23</v>
      </c>
      <c r="Q2" s="20" t="str">
        <f>IF('Summary | Sumário'!D$6=Names!B$3,Names!E16,Names!F16)</f>
        <v>1Q24</v>
      </c>
      <c r="R2" s="20" t="str">
        <f>IF('Summary | Sumário'!D$6=Names!B$3,Names!E17,Names!F17)</f>
        <v>2Q24</v>
      </c>
      <c r="S2" s="20" t="str">
        <f>IF('Summary | Sumário'!D$6=Names!B$3,Names!E18,Names!F18)</f>
        <v>3Q24</v>
      </c>
      <c r="T2" s="20" t="str">
        <f>IF('Summary | Sumário'!D$6=Names!B$3,Names!E19,Names!F19)</f>
        <v>4Q24</v>
      </c>
      <c r="U2" s="20" t="str">
        <f>IF('Summary | Sumário'!D$6=Names!B$3,Names!E20,Names!F20)</f>
        <v>1Q25</v>
      </c>
      <c r="V2" s="20" t="str">
        <f>IF('Summary | Sumário'!D$6=Names!B$3,Names!E21,Names!F21)</f>
        <v>2Q25</v>
      </c>
      <c r="W2" s="20" t="str">
        <f>IF('Summary | Sumário'!D$6=Names!B$3,Names!E22,Names!F22)</f>
        <v>3Q25</v>
      </c>
      <c r="X2" s="20" t="str">
        <f>IF('Summary | Sumário'!D$6=Names!B$3,Names!E26,Names!F26)</f>
        <v>4Q25</v>
      </c>
      <c r="Y2" s="256" t="str">
        <f>IF('Summary | Sumário'!D6=Names!B3,Names!C28,Names!D28)</f>
        <v>1Q26</v>
      </c>
      <c r="Z2" s="315"/>
      <c r="AA2" s="104" t="str">
        <f>IF('Summary | Sumário'!$D$6=Names!$B$3,Names!$I$24,Names!$J$24)</f>
        <v>QoQ Variation</v>
      </c>
      <c r="AB2" s="104" t="str">
        <f>IF('Summary | Sumário'!$D$6=Names!$B$3,Names!$I$25,Names!$J$25)</f>
        <v>YoY Variation</v>
      </c>
      <c r="AC2" s="123"/>
      <c r="AD2" s="125"/>
      <c r="AE2" s="126"/>
      <c r="AG2" s="128"/>
      <c r="AH2" s="129"/>
    </row>
    <row r="3" spans="2:34" ht="13" customHeight="1">
      <c r="B3" s="13"/>
      <c r="C3" s="130"/>
      <c r="D3" s="130"/>
      <c r="E3" s="131"/>
      <c r="F3" s="131"/>
      <c r="G3" s="131"/>
      <c r="H3" s="131"/>
      <c r="I3" s="131"/>
      <c r="J3" s="131"/>
      <c r="K3" s="131"/>
      <c r="L3" s="131"/>
      <c r="M3" s="131"/>
      <c r="N3" s="131"/>
      <c r="O3" s="131"/>
      <c r="P3" s="131"/>
      <c r="Q3" s="131"/>
      <c r="R3" s="131"/>
      <c r="S3" s="131"/>
      <c r="T3" s="131"/>
      <c r="U3" s="131"/>
      <c r="V3" s="131"/>
      <c r="W3" s="131"/>
      <c r="X3" s="131"/>
      <c r="Y3" s="131"/>
      <c r="Z3" s="131"/>
      <c r="AA3" s="131"/>
      <c r="AB3" s="131"/>
      <c r="AC3" s="131"/>
    </row>
    <row r="4" spans="2:34" ht="13" customHeight="1">
      <c r="B4" s="297" t="str">
        <f>IF('Summary | Sumário'!D$6=Names!B$3,Names!AZ2,Names!BA2)</f>
        <v>Operational KPIs</v>
      </c>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132"/>
    </row>
    <row r="5" spans="2:34" ht="13" customHeight="1">
      <c r="B5" s="288" t="str">
        <f>IF('Summary | Sumário'!D$6=Names!B$3,Names!AZ5,Names!BA5)</f>
        <v>Total clients (million)</v>
      </c>
      <c r="C5" s="300">
        <v>4.0590010000000003</v>
      </c>
      <c r="D5" s="300">
        <v>8.4555279999999993</v>
      </c>
      <c r="E5" s="300">
        <v>10.18338</v>
      </c>
      <c r="F5" s="300">
        <v>11.976032999999999</v>
      </c>
      <c r="G5" s="300">
        <v>13.905602</v>
      </c>
      <c r="H5" s="300">
        <v>16.348920827116658</v>
      </c>
      <c r="I5" s="300">
        <v>18.574000000000002</v>
      </c>
      <c r="J5" s="300">
        <v>20.724375999999999</v>
      </c>
      <c r="K5" s="300">
        <v>22.766031999999999</v>
      </c>
      <c r="L5" s="300">
        <v>24.662092999999999</v>
      </c>
      <c r="M5" s="300">
        <v>26.288263000000001</v>
      </c>
      <c r="N5" s="300">
        <v>27.774601000000001</v>
      </c>
      <c r="O5" s="300">
        <v>29.374635000000001</v>
      </c>
      <c r="P5" s="300">
        <v>30.363865000000001</v>
      </c>
      <c r="Q5" s="300">
        <v>31.722895999999999</v>
      </c>
      <c r="R5" s="300">
        <v>33.270463999999997</v>
      </c>
      <c r="S5" s="300">
        <v>34.922488000000001</v>
      </c>
      <c r="T5" s="300">
        <v>36.142020000000002</v>
      </c>
      <c r="U5" s="300">
        <v>37.700344999999999</v>
      </c>
      <c r="V5" s="300">
        <v>39.328280999999997</v>
      </c>
      <c r="W5" s="300">
        <v>41.296011</v>
      </c>
      <c r="X5" s="300">
        <v>43.095855999999998</v>
      </c>
      <c r="Y5" s="300">
        <v>44.011738999999999</v>
      </c>
      <c r="Z5" s="132"/>
      <c r="AA5" s="379">
        <f>Y5/X5-1</f>
        <v>2.1252228984615096E-2</v>
      </c>
      <c r="AB5" s="379">
        <f>Y5/U5-1</f>
        <v>0.16740944943607272</v>
      </c>
      <c r="AC5" s="132"/>
    </row>
    <row r="6" spans="2:34" ht="13" customHeight="1">
      <c r="B6" s="101" t="str">
        <f>IF('Summary | Sumário'!D$6=Names!B$3,Names!AZ6,Names!BA6)</f>
        <v>Active clients (million)</v>
      </c>
      <c r="C6" s="134">
        <v>2.2826979999999999</v>
      </c>
      <c r="D6" s="134">
        <v>5.2522799999999998</v>
      </c>
      <c r="E6" s="134">
        <v>6.1326499999999999</v>
      </c>
      <c r="F6" s="134">
        <v>7.0629739999999996</v>
      </c>
      <c r="G6" s="134">
        <v>7.9664520000000003</v>
      </c>
      <c r="H6" s="134">
        <v>8.8263289999999994</v>
      </c>
      <c r="I6" s="134">
        <v>9.6228320000000007</v>
      </c>
      <c r="J6" s="134">
        <v>10.716208999999999</v>
      </c>
      <c r="K6" s="134">
        <v>11.649274</v>
      </c>
      <c r="L6" s="134">
        <v>12.584403999999999</v>
      </c>
      <c r="M6" s="134">
        <v>13.540568</v>
      </c>
      <c r="N6" s="134">
        <v>14.494907</v>
      </c>
      <c r="O6" s="134">
        <v>15.47322</v>
      </c>
      <c r="P6" s="134">
        <v>16.405394000000001</v>
      </c>
      <c r="Q6" s="134">
        <v>17.413702000000001</v>
      </c>
      <c r="R6" s="134">
        <v>18.401989</v>
      </c>
      <c r="S6" s="134">
        <v>19.538504</v>
      </c>
      <c r="T6" s="134">
        <v>20.561736</v>
      </c>
      <c r="U6" s="134">
        <v>21.578842000000002</v>
      </c>
      <c r="V6" s="134">
        <v>22.710922</v>
      </c>
      <c r="W6" s="134">
        <v>23.926410000000001</v>
      </c>
      <c r="X6" s="134">
        <v>24.984497000000001</v>
      </c>
      <c r="Y6" s="134">
        <v>25.809269</v>
      </c>
      <c r="Z6" s="134"/>
      <c r="AA6" s="307">
        <f>Y6/X6-1</f>
        <v>3.3011350998981559E-2</v>
      </c>
      <c r="AB6" s="307">
        <f>Y6/U6-1</f>
        <v>0.19604513532283141</v>
      </c>
      <c r="AC6" s="134"/>
      <c r="AD6" s="135"/>
    </row>
    <row r="7" spans="2:34" ht="13" customHeight="1">
      <c r="B7" s="100" t="str">
        <f>IF('Summary | Sumário'!D$6=Names!B$3,Names!AZ8,Names!BA8)</f>
        <v>Activity rate (%)</v>
      </c>
      <c r="C7" s="528">
        <v>0.56237926524285164</v>
      </c>
      <c r="D7" s="528">
        <v>0.62116523060416806</v>
      </c>
      <c r="E7" s="528">
        <v>0.60222146281490041</v>
      </c>
      <c r="F7" s="528">
        <v>0.5897590629551539</v>
      </c>
      <c r="G7" s="528">
        <v>0.57289515405374036</v>
      </c>
      <c r="H7" s="528">
        <v>0.53987227006203786</v>
      </c>
      <c r="I7" s="528">
        <v>0.51808075804888554</v>
      </c>
      <c r="J7" s="528">
        <v>0.5170823478593517</v>
      </c>
      <c r="K7" s="528">
        <v>0.51169540656008916</v>
      </c>
      <c r="L7" s="528">
        <v>0.51027315483726376</v>
      </c>
      <c r="M7" s="528">
        <v>0.51508036114824318</v>
      </c>
      <c r="N7" s="528">
        <v>0.52187633586527493</v>
      </c>
      <c r="O7" s="528">
        <v>0.52675446009797233</v>
      </c>
      <c r="P7" s="528">
        <v>0.54029333880914043</v>
      </c>
      <c r="Q7" s="528">
        <v>0.54893166122033754</v>
      </c>
      <c r="R7" s="528">
        <v>0.5531028662539843</v>
      </c>
      <c r="S7" s="528">
        <v>0.5594820162870412</v>
      </c>
      <c r="T7" s="528">
        <v>0.56891496380113782</v>
      </c>
      <c r="U7" s="528">
        <v>0.57237783898264061</v>
      </c>
      <c r="V7" s="528">
        <v>0.57747049762993707</v>
      </c>
      <c r="W7" s="528">
        <v>0.57938792199566203</v>
      </c>
      <c r="X7" s="528">
        <v>0.5797424466983554</v>
      </c>
      <c r="Y7" s="528">
        <v>0.58641784183987822</v>
      </c>
      <c r="Z7" s="137"/>
      <c r="AA7" s="381">
        <f>(Y7-X7)*100</f>
        <v>0.66753951415228219</v>
      </c>
      <c r="AB7" s="381">
        <f>(Y7-U7)*100</f>
        <v>1.404000285723761</v>
      </c>
      <c r="AC7" s="137"/>
    </row>
    <row r="8" spans="2:34" ht="13" customHeight="1">
      <c r="B8" s="101" t="str">
        <f>IF('Summary | Sumário'!D$6=Names!B$3,Names!AZ9,Names!BA9)</f>
        <v>Headcount</v>
      </c>
      <c r="C8" s="414">
        <v>1628</v>
      </c>
      <c r="D8" s="414">
        <v>2128</v>
      </c>
      <c r="E8" s="414">
        <v>2452</v>
      </c>
      <c r="F8" s="414">
        <v>2972</v>
      </c>
      <c r="G8" s="414">
        <v>3447</v>
      </c>
      <c r="H8" s="414">
        <v>3900</v>
      </c>
      <c r="I8" s="414">
        <v>3805</v>
      </c>
      <c r="J8" s="414">
        <v>4047</v>
      </c>
      <c r="K8" s="414">
        <v>4057</v>
      </c>
      <c r="L8" s="414">
        <v>4081</v>
      </c>
      <c r="M8" s="414">
        <v>3828</v>
      </c>
      <c r="N8" s="414">
        <v>3433</v>
      </c>
      <c r="O8" s="414">
        <v>3266</v>
      </c>
      <c r="P8" s="414">
        <v>3319</v>
      </c>
      <c r="Q8" s="414">
        <v>3336</v>
      </c>
      <c r="R8" s="414">
        <v>3653</v>
      </c>
      <c r="S8" s="414">
        <v>4357</v>
      </c>
      <c r="T8" s="414">
        <v>4391</v>
      </c>
      <c r="U8" s="414">
        <v>4079</v>
      </c>
      <c r="V8" s="414">
        <v>4081</v>
      </c>
      <c r="W8" s="414">
        <v>4102</v>
      </c>
      <c r="X8" s="414">
        <v>4179</v>
      </c>
      <c r="Y8" s="414">
        <v>4029</v>
      </c>
      <c r="Z8" s="138"/>
      <c r="AA8" s="307">
        <f>Y8/X8-1</f>
        <v>-3.5893754486719276E-2</v>
      </c>
      <c r="AB8" s="307">
        <f>Y8/U8-1</f>
        <v>-1.2257906349595449E-2</v>
      </c>
      <c r="AC8" s="138"/>
    </row>
    <row r="9" spans="2:34" ht="13" customHeight="1">
      <c r="B9" s="578" t="str">
        <f>IF('Summary | Sumário'!D$6=Names!B$3,Names!AZ10,Names!BA10)</f>
        <v>Active clients per employee (thousands)</v>
      </c>
      <c r="C9" s="579">
        <f t="shared" ref="C9:U9" si="0">C6*1000/C8</f>
        <v>1.4021486486486485</v>
      </c>
      <c r="D9" s="579">
        <f t="shared" si="0"/>
        <v>2.4681766917293233</v>
      </c>
      <c r="E9" s="579">
        <f t="shared" si="0"/>
        <v>2.5010807504078301</v>
      </c>
      <c r="F9" s="579">
        <f t="shared" si="0"/>
        <v>2.3765053835800805</v>
      </c>
      <c r="G9" s="579">
        <f t="shared" si="0"/>
        <v>2.3111261966927765</v>
      </c>
      <c r="H9" s="579">
        <f t="shared" si="0"/>
        <v>2.2631612820512821</v>
      </c>
      <c r="I9" s="579">
        <f t="shared" si="0"/>
        <v>2.5289965834428383</v>
      </c>
      <c r="J9" s="579">
        <f t="shared" si="0"/>
        <v>2.6479389671361502</v>
      </c>
      <c r="K9" s="579">
        <f t="shared" si="0"/>
        <v>2.8714010352477199</v>
      </c>
      <c r="L9" s="579">
        <f t="shared" si="0"/>
        <v>3.0836569468267578</v>
      </c>
      <c r="M9" s="579">
        <f t="shared" si="0"/>
        <v>3.5372434691745038</v>
      </c>
      <c r="N9" s="579">
        <f t="shared" si="0"/>
        <v>4.2222274978153216</v>
      </c>
      <c r="O9" s="579">
        <f t="shared" si="0"/>
        <v>4.7376668707899565</v>
      </c>
      <c r="P9" s="579">
        <f t="shared" si="0"/>
        <v>4.942872551973486</v>
      </c>
      <c r="Q9" s="579">
        <f t="shared" si="0"/>
        <v>5.2199346522781775</v>
      </c>
      <c r="R9" s="579">
        <f t="shared" si="0"/>
        <v>5.0375004106214076</v>
      </c>
      <c r="S9" s="579">
        <f t="shared" si="0"/>
        <v>4.4843938489786552</v>
      </c>
      <c r="T9" s="579">
        <f t="shared" si="0"/>
        <v>4.6827000683215667</v>
      </c>
      <c r="U9" s="579">
        <f t="shared" si="0"/>
        <v>5.2902284873743568</v>
      </c>
      <c r="V9" s="579">
        <f t="shared" ref="V9:W9" si="1">V6*1000/V8</f>
        <v>5.5650384709629988</v>
      </c>
      <c r="W9" s="579">
        <f t="shared" si="1"/>
        <v>5.8328644563627501</v>
      </c>
      <c r="X9" s="579">
        <f t="shared" ref="X9:Y9" si="2">X6*1000/X8</f>
        <v>5.9785826752811673</v>
      </c>
      <c r="Y9" s="579">
        <f t="shared" si="2"/>
        <v>6.4058746587242492</v>
      </c>
      <c r="Z9" s="133"/>
      <c r="AA9" s="367">
        <f>Y9/X9-1</f>
        <v>7.1470448206687465E-2</v>
      </c>
      <c r="AB9" s="367">
        <f>Y9/U9-1</f>
        <v>0.21088808810668391</v>
      </c>
      <c r="AC9" s="133"/>
    </row>
    <row r="10" spans="2:34" ht="13" customHeight="1">
      <c r="B10" s="140" t="str">
        <f>IF('Summary | Sumário'!D$6=Names!B$3,Names!AZ4,Names!BA4)</f>
        <v>NPS</v>
      </c>
      <c r="C10" s="414">
        <v>65</v>
      </c>
      <c r="D10" s="414">
        <v>83</v>
      </c>
      <c r="E10" s="414">
        <v>80</v>
      </c>
      <c r="F10" s="414">
        <v>84</v>
      </c>
      <c r="G10" s="414">
        <v>83</v>
      </c>
      <c r="H10" s="414">
        <v>83</v>
      </c>
      <c r="I10" s="414">
        <v>83</v>
      </c>
      <c r="J10" s="414">
        <v>81</v>
      </c>
      <c r="K10" s="414">
        <v>81</v>
      </c>
      <c r="L10" s="414">
        <v>85</v>
      </c>
      <c r="M10" s="414">
        <v>84</v>
      </c>
      <c r="N10" s="414">
        <v>84</v>
      </c>
      <c r="O10" s="414">
        <v>85</v>
      </c>
      <c r="P10" s="414">
        <v>85</v>
      </c>
      <c r="Q10" s="414">
        <v>85</v>
      </c>
      <c r="R10" s="414">
        <v>85</v>
      </c>
      <c r="S10" s="414">
        <v>84</v>
      </c>
      <c r="T10" s="414">
        <v>85</v>
      </c>
      <c r="U10" s="414">
        <v>85</v>
      </c>
      <c r="V10" s="414">
        <v>85</v>
      </c>
      <c r="W10" s="414">
        <v>85</v>
      </c>
      <c r="X10" s="414">
        <v>85</v>
      </c>
      <c r="Y10" s="414">
        <v>85</v>
      </c>
      <c r="AA10" s="307">
        <f>Y10/X10-1</f>
        <v>0</v>
      </c>
      <c r="AB10" s="307">
        <f>Y10/U10-1</f>
        <v>0</v>
      </c>
    </row>
    <row r="11" spans="2:34" ht="13" customHeight="1">
      <c r="B11" s="405"/>
      <c r="C11" s="171"/>
      <c r="D11" s="171"/>
      <c r="E11" s="171"/>
      <c r="F11" s="171"/>
      <c r="G11" s="171"/>
      <c r="H11" s="171"/>
      <c r="I11" s="171"/>
      <c r="J11" s="171"/>
      <c r="K11" s="171"/>
      <c r="L11" s="171"/>
      <c r="M11" s="403"/>
      <c r="N11" s="403"/>
      <c r="O11" s="403"/>
      <c r="P11" s="403"/>
      <c r="Q11" s="403"/>
      <c r="R11" s="403"/>
      <c r="S11" s="403"/>
      <c r="T11" s="403"/>
      <c r="U11" s="403"/>
      <c r="V11" s="403"/>
      <c r="W11" s="403"/>
      <c r="X11" s="403"/>
      <c r="Y11" s="403"/>
      <c r="AA11" s="403"/>
      <c r="AB11" s="403"/>
    </row>
    <row r="12" spans="2:34" ht="13" customHeight="1">
      <c r="B12" s="3" t="str">
        <f>IF('Summary | Sumário'!D$6=Names!B$3,Names!AX3,Names!AY3)</f>
        <v>Number of cards used (in thousands)</v>
      </c>
      <c r="C12" s="146"/>
      <c r="D12" s="672"/>
      <c r="E12" s="672"/>
      <c r="F12" s="672"/>
      <c r="G12" s="672"/>
      <c r="H12" s="672"/>
      <c r="I12" s="672"/>
      <c r="J12" s="672"/>
      <c r="K12" s="672"/>
      <c r="L12" s="672"/>
      <c r="M12" s="672"/>
      <c r="N12" s="672"/>
      <c r="O12" s="672"/>
      <c r="P12" s="672"/>
      <c r="Q12" s="672"/>
      <c r="R12" s="672"/>
      <c r="S12" s="672"/>
      <c r="T12" s="672"/>
      <c r="U12" s="672"/>
      <c r="V12" s="672"/>
      <c r="W12" s="672"/>
      <c r="X12" s="672"/>
      <c r="Y12" s="672"/>
    </row>
    <row r="13" spans="2:34" ht="13" customHeight="1">
      <c r="B13" s="298" t="str">
        <f>IF('Summary | Sumário'!D$6=Names!B$3,Names!AX4,Names!AY4)</f>
        <v>Debit cards used</v>
      </c>
      <c r="C13" s="299">
        <v>1030.944</v>
      </c>
      <c r="D13" s="299">
        <v>2339.578</v>
      </c>
      <c r="E13" s="299">
        <v>2685.1979999999999</v>
      </c>
      <c r="F13" s="299">
        <v>3221.4879999999998</v>
      </c>
      <c r="G13" s="299">
        <v>3711.5329999999999</v>
      </c>
      <c r="H13" s="299">
        <v>4176.7030000000004</v>
      </c>
      <c r="I13" s="299">
        <v>4479.1809999999996</v>
      </c>
      <c r="J13" s="299">
        <v>4970.62</v>
      </c>
      <c r="K13" s="299">
        <v>5442.5770000000002</v>
      </c>
      <c r="L13" s="299">
        <v>5872.8680000000004</v>
      </c>
      <c r="M13" s="299">
        <v>6147.3360000000002</v>
      </c>
      <c r="N13" s="299">
        <v>6463.7240000000002</v>
      </c>
      <c r="O13" s="299">
        <v>6801.2349999999997</v>
      </c>
      <c r="P13" s="299">
        <v>7108.0410000000002</v>
      </c>
      <c r="Q13" s="299">
        <v>7316.8689999999997</v>
      </c>
      <c r="R13" s="299">
        <v>7621.01</v>
      </c>
      <c r="S13" s="299">
        <v>7952.6880000000001</v>
      </c>
      <c r="T13" s="299">
        <v>8228.6579999999994</v>
      </c>
      <c r="U13" s="299">
        <v>8333.8559999999998</v>
      </c>
      <c r="V13" s="299">
        <v>8518.7579999999998</v>
      </c>
      <c r="W13" s="299">
        <v>8711.5229999999992</v>
      </c>
      <c r="X13" s="299">
        <v>8925.8760000000002</v>
      </c>
      <c r="Y13" s="299">
        <v>8918.0419999999995</v>
      </c>
      <c r="AA13" s="354">
        <f>Y13/X13-1</f>
        <v>-8.7767295893426134E-4</v>
      </c>
      <c r="AB13" s="354">
        <f>Y13/U13-1</f>
        <v>7.0097923458240619E-2</v>
      </c>
    </row>
    <row r="14" spans="2:34" ht="13" customHeight="1">
      <c r="B14" s="55" t="str">
        <f>IF('Summary | Sumário'!D$6=Names!B$3,Names!AX5,Names!AY5)</f>
        <v>Credit cards used</v>
      </c>
      <c r="C14" s="144">
        <v>588.38300000000004</v>
      </c>
      <c r="D14" s="144">
        <v>1295.857</v>
      </c>
      <c r="E14" s="144">
        <v>1590.048</v>
      </c>
      <c r="F14" s="144">
        <v>1798.817</v>
      </c>
      <c r="G14" s="144">
        <v>2193.192</v>
      </c>
      <c r="H14" s="144">
        <v>2729.027</v>
      </c>
      <c r="I14" s="144">
        <v>2902.91</v>
      </c>
      <c r="J14" s="144">
        <v>3119.3670000000002</v>
      </c>
      <c r="K14" s="144">
        <v>3310.114</v>
      </c>
      <c r="L14" s="144">
        <v>3476.1680000000001</v>
      </c>
      <c r="M14" s="144">
        <v>3591.0430000000001</v>
      </c>
      <c r="N14" s="144">
        <v>3525.779</v>
      </c>
      <c r="O14" s="144">
        <v>3637.0610000000001</v>
      </c>
      <c r="P14" s="144">
        <v>3775.3009999999999</v>
      </c>
      <c r="Q14" s="144">
        <v>3844.9839999999999</v>
      </c>
      <c r="R14" s="144">
        <v>3961.181</v>
      </c>
      <c r="S14" s="144">
        <v>4106.3919999999998</v>
      </c>
      <c r="T14" s="144">
        <v>4324.0039999999999</v>
      </c>
      <c r="U14" s="144">
        <v>4543.3180000000002</v>
      </c>
      <c r="V14" s="144">
        <v>4588.1819999999998</v>
      </c>
      <c r="W14" s="144">
        <v>4805.8360000000002</v>
      </c>
      <c r="X14" s="144">
        <v>4877.2619999999997</v>
      </c>
      <c r="Y14" s="144">
        <v>4839.4229999999998</v>
      </c>
      <c r="AA14" s="355">
        <f>Y14/X14-1</f>
        <v>-7.7582463275501778E-3</v>
      </c>
      <c r="AB14" s="355">
        <f>Y14/U14-1</f>
        <v>6.5173734262052418E-2</v>
      </c>
    </row>
    <row r="15" spans="2:34" ht="13" customHeight="1">
      <c r="B15" s="210"/>
      <c r="C15" s="580"/>
      <c r="D15" s="580"/>
      <c r="E15" s="580"/>
      <c r="F15" s="580"/>
      <c r="G15" s="580"/>
      <c r="H15" s="580"/>
      <c r="I15" s="580"/>
      <c r="J15" s="580"/>
      <c r="K15" s="580"/>
      <c r="L15" s="580"/>
      <c r="M15" s="580"/>
      <c r="N15" s="580"/>
      <c r="O15" s="580"/>
      <c r="P15" s="580"/>
      <c r="Q15" s="580"/>
      <c r="R15" s="580"/>
      <c r="S15" s="580"/>
      <c r="T15" s="580"/>
      <c r="U15" s="580"/>
      <c r="V15" s="580"/>
      <c r="W15" s="580"/>
      <c r="X15" s="580"/>
      <c r="Y15" s="580"/>
      <c r="AA15" s="254"/>
      <c r="AB15" s="254"/>
    </row>
    <row r="16" spans="2:34" ht="13" customHeight="1">
      <c r="B16" s="3" t="str">
        <f>IF('Summary | Sumário'!D$6=Names!B$3,Names!AX8,Names!AY8)</f>
        <v>Cards + PIX TPV (in million)</v>
      </c>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AA16" s="146"/>
      <c r="AB16" s="146"/>
    </row>
    <row r="17" spans="2:34" s="121" customFormat="1" ht="13" customHeight="1">
      <c r="B17" s="298" t="str">
        <f>IF('Summary | Sumário'!D$6=Names!B$3,Names!AX9,Names!AY9)</f>
        <v>Debit TPV</v>
      </c>
      <c r="C17" s="299">
        <v>1890.0661843600001</v>
      </c>
      <c r="D17" s="299">
        <v>5032.0947420000002</v>
      </c>
      <c r="E17" s="299">
        <v>4700.4723899999999</v>
      </c>
      <c r="F17" s="299">
        <v>5866.0523949999997</v>
      </c>
      <c r="G17" s="299">
        <v>7076.1946120000011</v>
      </c>
      <c r="H17" s="299">
        <v>8263.4268090000005</v>
      </c>
      <c r="I17" s="299">
        <v>7695.0063590000009</v>
      </c>
      <c r="J17" s="299">
        <v>8681.7274649999999</v>
      </c>
      <c r="K17" s="299">
        <v>9265.8454089999996</v>
      </c>
      <c r="L17" s="299">
        <v>10533.758581980001</v>
      </c>
      <c r="M17" s="299">
        <v>9913.266527050002</v>
      </c>
      <c r="N17" s="299">
        <v>10401.555399300003</v>
      </c>
      <c r="O17" s="299">
        <v>10856.98690217</v>
      </c>
      <c r="P17" s="299">
        <v>12156.573075690001</v>
      </c>
      <c r="Q17" s="299">
        <v>11260.217286679999</v>
      </c>
      <c r="R17" s="299">
        <v>12007.981544899998</v>
      </c>
      <c r="S17" s="299">
        <v>12609.98808239</v>
      </c>
      <c r="T17" s="299">
        <v>13681.221431990001</v>
      </c>
      <c r="U17" s="299">
        <v>12996.862613990001</v>
      </c>
      <c r="V17" s="299">
        <v>13546.99501472</v>
      </c>
      <c r="W17" s="299">
        <v>14020.02095934</v>
      </c>
      <c r="X17" s="299">
        <v>15555.169796659809</v>
      </c>
      <c r="Y17" s="299">
        <v>14114.798963090001</v>
      </c>
      <c r="Z17" s="120"/>
      <c r="AA17" s="354">
        <f>Y17/X17-1</f>
        <v>-9.2597564179537351E-2</v>
      </c>
      <c r="AB17" s="354">
        <f>Y17/U17-1</f>
        <v>8.601586262030958E-2</v>
      </c>
      <c r="AC17" s="120"/>
      <c r="AD17" s="120"/>
      <c r="AE17" s="120"/>
      <c r="AF17" s="120"/>
      <c r="AG17" s="120"/>
      <c r="AH17" s="120"/>
    </row>
    <row r="18" spans="2:34" s="121" customFormat="1" ht="13" customHeight="1">
      <c r="B18" s="55" t="str">
        <f>IF('Summary | Sumário'!D$6=Names!B$3,Names!AX10,Names!AY10)</f>
        <v>Credit TPV</v>
      </c>
      <c r="C18" s="144">
        <v>994.89999999999986</v>
      </c>
      <c r="D18" s="144">
        <v>2285.6983910000004</v>
      </c>
      <c r="E18" s="144">
        <v>2881.7517969999999</v>
      </c>
      <c r="F18" s="144">
        <v>3569.863468</v>
      </c>
      <c r="G18" s="144">
        <v>4539.470362</v>
      </c>
      <c r="H18" s="144">
        <v>5963.1811199999993</v>
      </c>
      <c r="I18" s="144">
        <v>6388.2015880000008</v>
      </c>
      <c r="J18" s="144">
        <v>7361.6602919999996</v>
      </c>
      <c r="K18" s="144">
        <v>7971.5047679999998</v>
      </c>
      <c r="L18" s="144">
        <v>8589.4409414799993</v>
      </c>
      <c r="M18" s="144">
        <v>8572.7250050000002</v>
      </c>
      <c r="N18" s="144">
        <v>9241.1768100399986</v>
      </c>
      <c r="O18" s="144">
        <v>10330.36308718</v>
      </c>
      <c r="P18" s="144">
        <v>11685.45036375</v>
      </c>
      <c r="Q18" s="144">
        <v>11892.135028350001</v>
      </c>
      <c r="R18" s="144">
        <v>12315.349123649999</v>
      </c>
      <c r="S18" s="144">
        <v>12928.677802909999</v>
      </c>
      <c r="T18" s="144">
        <v>14051.685465590001</v>
      </c>
      <c r="U18" s="144">
        <v>13666.73490071</v>
      </c>
      <c r="V18" s="144">
        <v>14548.68148109</v>
      </c>
      <c r="W18" s="144">
        <v>15507.129347369999</v>
      </c>
      <c r="X18" s="144">
        <v>16781.423804129998</v>
      </c>
      <c r="Y18" s="144">
        <v>16384.892069990005</v>
      </c>
      <c r="Z18" s="120"/>
      <c r="AA18" s="355">
        <f>Y18/X18-1</f>
        <v>-2.3629206840149353E-2</v>
      </c>
      <c r="AB18" s="355">
        <f>Y18/U18-1</f>
        <v>0.19888855597387733</v>
      </c>
      <c r="AC18" s="120"/>
      <c r="AD18" s="120"/>
      <c r="AE18" s="120"/>
      <c r="AF18" s="120"/>
      <c r="AG18" s="120"/>
      <c r="AH18" s="120"/>
    </row>
    <row r="19" spans="2:34" s="121" customFormat="1" ht="13" customHeight="1">
      <c r="B19" s="60" t="str">
        <f>IF('Summary | Sumário'!D$6=Names!B$3,Names!AX11,Names!AY11)</f>
        <v>PIX TPV</v>
      </c>
      <c r="C19" s="782">
        <v>0</v>
      </c>
      <c r="D19" s="782">
        <v>7496.17</v>
      </c>
      <c r="E19" s="782">
        <v>36808.78</v>
      </c>
      <c r="F19" s="782">
        <v>57865.009999999995</v>
      </c>
      <c r="G19" s="782">
        <v>80102.45</v>
      </c>
      <c r="H19" s="782">
        <v>94401.95</v>
      </c>
      <c r="I19" s="782">
        <v>97072.540000000008</v>
      </c>
      <c r="J19" s="782">
        <v>117925.45999999999</v>
      </c>
      <c r="K19" s="782">
        <v>138199.15000000002</v>
      </c>
      <c r="L19" s="782">
        <v>158392.04999999999</v>
      </c>
      <c r="M19" s="782">
        <v>162875.34000000003</v>
      </c>
      <c r="N19" s="782">
        <v>177349.25</v>
      </c>
      <c r="O19" s="782">
        <v>198231.50999999998</v>
      </c>
      <c r="P19" s="782">
        <v>229637.61</v>
      </c>
      <c r="Q19" s="782">
        <v>233956.64</v>
      </c>
      <c r="R19" s="782">
        <v>265864.09000000003</v>
      </c>
      <c r="S19" s="782">
        <v>294171.92</v>
      </c>
      <c r="T19" s="782">
        <v>336584.84</v>
      </c>
      <c r="U19" s="782">
        <v>315015.89</v>
      </c>
      <c r="V19" s="782">
        <v>345741.87</v>
      </c>
      <c r="W19" s="782">
        <v>382644.86</v>
      </c>
      <c r="X19" s="782">
        <v>429793.2</v>
      </c>
      <c r="Y19" s="782">
        <v>396475.27</v>
      </c>
      <c r="Z19" s="120"/>
      <c r="AA19" s="356">
        <f>Y19/X19-1</f>
        <v>-7.7520840255266954E-2</v>
      </c>
      <c r="AB19" s="356">
        <f>Y19/U19-1</f>
        <v>0.2585881620130337</v>
      </c>
      <c r="AC19" s="120"/>
      <c r="AD19" s="120"/>
      <c r="AE19" s="120"/>
      <c r="AF19" s="120"/>
      <c r="AG19" s="120"/>
      <c r="AH19" s="120"/>
    </row>
    <row r="20" spans="2:34" s="121" customFormat="1" ht="13" customHeight="1">
      <c r="B20" s="275" t="str">
        <f>IF('Summary | Sumário'!D$6=Names!B$3,Names!AX12,Names!AY12)</f>
        <v>Cards + PIX TPV</v>
      </c>
      <c r="C20" s="673">
        <f>SUM(C17:C19)</f>
        <v>2884.9661843599997</v>
      </c>
      <c r="D20" s="673">
        <f t="shared" ref="D20:Y20" si="3">SUM(D17:D19)</f>
        <v>14813.963133000001</v>
      </c>
      <c r="E20" s="673">
        <f t="shared" si="3"/>
        <v>44391.004186999999</v>
      </c>
      <c r="F20" s="673">
        <f t="shared" si="3"/>
        <v>67300.925862999997</v>
      </c>
      <c r="G20" s="673">
        <f t="shared" si="3"/>
        <v>91718.114973999996</v>
      </c>
      <c r="H20" s="673">
        <f t="shared" si="3"/>
        <v>108628.557929</v>
      </c>
      <c r="I20" s="673">
        <f t="shared" si="3"/>
        <v>111155.74794700001</v>
      </c>
      <c r="J20" s="673">
        <f t="shared" si="3"/>
        <v>133968.84775699998</v>
      </c>
      <c r="K20" s="673">
        <f t="shared" si="3"/>
        <v>155436.50017700001</v>
      </c>
      <c r="L20" s="673">
        <f t="shared" si="3"/>
        <v>177515.24952345999</v>
      </c>
      <c r="M20" s="673">
        <f t="shared" si="3"/>
        <v>181361.33153205004</v>
      </c>
      <c r="N20" s="673">
        <f t="shared" si="3"/>
        <v>196991.98220934</v>
      </c>
      <c r="O20" s="673">
        <f t="shared" si="3"/>
        <v>219418.85998934996</v>
      </c>
      <c r="P20" s="673">
        <f t="shared" si="3"/>
        <v>253479.63343943999</v>
      </c>
      <c r="Q20" s="673">
        <f t="shared" si="3"/>
        <v>257108.99231503002</v>
      </c>
      <c r="R20" s="673">
        <f t="shared" si="3"/>
        <v>290187.42066855001</v>
      </c>
      <c r="S20" s="673">
        <f t="shared" si="3"/>
        <v>319710.58588529995</v>
      </c>
      <c r="T20" s="673">
        <f t="shared" si="3"/>
        <v>364317.74689758004</v>
      </c>
      <c r="U20" s="673">
        <f t="shared" si="3"/>
        <v>341679.48751470004</v>
      </c>
      <c r="V20" s="673">
        <f t="shared" si="3"/>
        <v>373837.54649580998</v>
      </c>
      <c r="W20" s="673">
        <f t="shared" si="3"/>
        <v>412172.01030670997</v>
      </c>
      <c r="X20" s="673">
        <f t="shared" si="3"/>
        <v>462129.7936007898</v>
      </c>
      <c r="Y20" s="673">
        <f t="shared" si="3"/>
        <v>426974.96103308001</v>
      </c>
      <c r="Z20" s="120"/>
      <c r="AA20" s="674">
        <f>Y20/X20-1</f>
        <v>-7.6071339815147798E-2</v>
      </c>
      <c r="AB20" s="674">
        <f>Y20/U20-1</f>
        <v>0.24963592090002273</v>
      </c>
      <c r="AC20" s="120"/>
      <c r="AD20" s="120"/>
      <c r="AE20" s="120"/>
      <c r="AF20" s="120"/>
      <c r="AG20" s="120"/>
      <c r="AH20" s="120"/>
    </row>
    <row r="21" spans="2:34" s="121" customFormat="1" ht="13" customHeight="1">
      <c r="B21" s="155"/>
      <c r="J21" s="141"/>
      <c r="M21" s="120"/>
      <c r="N21" s="120"/>
      <c r="O21" s="120"/>
      <c r="P21" s="120"/>
      <c r="Q21" s="120"/>
      <c r="R21" s="120"/>
      <c r="S21" s="120"/>
      <c r="T21" s="120"/>
      <c r="U21" s="120"/>
      <c r="V21" s="120"/>
      <c r="W21" s="120"/>
      <c r="X21" s="120"/>
      <c r="Y21" s="120"/>
      <c r="Z21" s="120"/>
      <c r="AA21" s="120"/>
      <c r="AB21" s="120"/>
      <c r="AC21" s="120"/>
      <c r="AD21" s="120"/>
      <c r="AE21" s="120"/>
      <c r="AF21" s="120"/>
      <c r="AG21" s="120"/>
      <c r="AH21" s="120"/>
    </row>
    <row r="22" spans="2:34" s="121" customFormat="1" ht="13" customHeight="1">
      <c r="B22" s="155"/>
      <c r="M22" s="120"/>
      <c r="N22" s="120"/>
      <c r="O22" s="120"/>
      <c r="P22" s="120"/>
      <c r="Q22" s="120"/>
      <c r="R22" s="120"/>
      <c r="S22" s="120"/>
      <c r="T22" s="120"/>
      <c r="U22" s="120"/>
      <c r="V22" s="120"/>
      <c r="W22" s="120"/>
      <c r="X22" s="120"/>
      <c r="Y22" s="120"/>
      <c r="Z22" s="120"/>
      <c r="AA22" s="120"/>
      <c r="AB22" s="120"/>
      <c r="AC22" s="120"/>
      <c r="AD22" s="120"/>
      <c r="AE22" s="120"/>
      <c r="AF22" s="120"/>
      <c r="AG22" s="120"/>
      <c r="AH22" s="120"/>
    </row>
    <row r="23" spans="2:34" s="121" customFormat="1" ht="13" customHeight="1">
      <c r="B23" s="155"/>
      <c r="M23" s="120"/>
      <c r="N23" s="120"/>
      <c r="O23" s="120"/>
      <c r="P23" s="120"/>
      <c r="Q23" s="120"/>
      <c r="R23" s="120"/>
      <c r="S23" s="120"/>
      <c r="T23" s="120"/>
      <c r="U23" s="120"/>
      <c r="V23" s="120"/>
      <c r="W23" s="120"/>
      <c r="X23" s="120"/>
      <c r="Y23" s="120"/>
      <c r="Z23" s="120"/>
      <c r="AA23" s="120"/>
      <c r="AB23" s="120"/>
      <c r="AC23" s="120"/>
      <c r="AD23" s="120"/>
      <c r="AE23" s="120"/>
      <c r="AF23" s="120"/>
      <c r="AG23" s="120"/>
      <c r="AH23" s="120"/>
    </row>
  </sheetData>
  <sheetProtection algorithmName="SHA-512" hashValue="JM5eHdvoXzpV9KHGlKhIxaW8L7P1a77JWqkaKtzx9eK0q8+xg/TxbHMM7Q4f57fc9C7QE6nYKBxehzmgok0HWA==" saltValue="FvLlMkHYvhZBHZWdmAZ/dg=="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0" verticalDpi="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7B48-AEE5-3145-B617-B2690219AFDE}">
  <sheetPr codeName="Sheet28">
    <tabColor rgb="FFE1E2E1"/>
  </sheetPr>
  <dimension ref="B1:AG33"/>
  <sheetViews>
    <sheetView showGridLines="0" zoomScaleNormal="100" workbookViewId="0">
      <pane xSplit="2" ySplit="3" topLeftCell="E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120" customWidth="1"/>
    <col min="3" max="18" width="10.83203125" style="120"/>
    <col min="19" max="20" width="10.83203125" style="120" bestFit="1"/>
    <col min="21" max="23" width="10.83203125" style="120"/>
    <col min="24" max="24" width="5.83203125" style="120" customWidth="1"/>
    <col min="25" max="26" width="10.83203125" style="120"/>
    <col min="27" max="27" width="5.83203125" style="120" customWidth="1"/>
    <col min="28" max="28" width="129.6640625" style="120" bestFit="1" customWidth="1"/>
    <col min="29" max="16384" width="10.83203125" style="120"/>
  </cols>
  <sheetData>
    <row r="1" spans="2:33"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row>
    <row r="2" spans="2:33" s="127" customFormat="1" ht="13" customHeight="1">
      <c r="B2" s="255" t="str">
        <f>IF('Summary | Sumário'!D$6=Names!B$3,Names!CB1,Names!CC1)</f>
        <v>Market Data - Brazil (Millions)</v>
      </c>
      <c r="C2" s="20" t="str">
        <f>IF('Summary | Sumário'!D$6=Names!B$3,Names!E4,Names!F4)</f>
        <v>1Q21</v>
      </c>
      <c r="D2" s="20" t="str">
        <f>IF('Summary | Sumário'!D$6=Names!B$3,Names!E5,Names!F5)</f>
        <v>2Q21</v>
      </c>
      <c r="E2" s="20" t="str">
        <f>IF('Summary | Sumário'!D$6=Names!B$3,Names!E6,Names!F6)</f>
        <v>3Q21</v>
      </c>
      <c r="F2" s="20" t="str">
        <f>IF('Summary | Sumário'!D$6=Names!B$3,Names!E7,Names!F7)</f>
        <v>4Q21</v>
      </c>
      <c r="G2" s="20" t="str">
        <f>IF('Summary | Sumário'!D$6=Names!B$3,Names!E8,Names!F8)</f>
        <v>1Q22</v>
      </c>
      <c r="H2" s="20" t="str">
        <f>IF('Summary | Sumário'!D$6=Names!B$3,Names!E9,Names!F9)</f>
        <v>2Q22</v>
      </c>
      <c r="I2" s="20" t="str">
        <f>IF('Summary | Sumário'!D$6=Names!B$3,Names!E10,Names!F10)</f>
        <v>3Q22</v>
      </c>
      <c r="J2" s="20" t="str">
        <f>IF('Summary | Sumário'!D$6=Names!B$3,Names!E11,Names!F11)</f>
        <v>4Q22</v>
      </c>
      <c r="K2" s="20" t="str">
        <f>IF('Summary | Sumário'!D$6=Names!B$3,Names!E12,Names!F12)</f>
        <v>1Q23</v>
      </c>
      <c r="L2" s="20" t="str">
        <f>IF('Summary | Sumário'!D$6=Names!B$3,Names!E13,Names!F13)</f>
        <v>2Q23</v>
      </c>
      <c r="M2" s="20" t="str">
        <f>IF('Summary | Sumário'!D$6=Names!B$3,Names!E14,Names!F14)</f>
        <v>3Q23</v>
      </c>
      <c r="N2" s="20" t="str">
        <f>IF('Summary | Sumário'!D$6=Names!B$3,Names!E15,Names!F15)</f>
        <v>4Q23</v>
      </c>
      <c r="O2" s="20" t="str">
        <f>IF('Summary | Sumário'!D$6=Names!B$3,Names!E16,Names!F16)</f>
        <v>1Q24</v>
      </c>
      <c r="P2" s="20" t="str">
        <f>IF('Summary | Sumário'!D$6=Names!B$3,Names!E17,Names!F17)</f>
        <v>2Q24</v>
      </c>
      <c r="Q2" s="20" t="str">
        <f>IF('Summary | Sumário'!D$6=Names!B$3,Names!E18,Names!F18)</f>
        <v>3Q24</v>
      </c>
      <c r="R2" s="20" t="str">
        <f>IF('Summary | Sumário'!D$6=Names!B$3,Names!E19,Names!F19)</f>
        <v>4Q24</v>
      </c>
      <c r="S2" s="671" t="str">
        <f>IF('Summary | Sumário'!D$6=Names!B$3,Names!E20,Names!F20)</f>
        <v>1Q25</v>
      </c>
      <c r="T2" s="671" t="str">
        <f>IF('Summary | Sumário'!D$6=Names!B$3,Names!E21,Names!F21)</f>
        <v>2Q25</v>
      </c>
      <c r="U2" s="671" t="str">
        <f>IF('Summary | Sumário'!D$6=Names!B$3,Names!E22,Names!F22)</f>
        <v>3Q25</v>
      </c>
      <c r="V2" s="671" t="str">
        <f>IF('Summary | Sumário'!D$6=Names!B$3,Names!E26,Names!F26)</f>
        <v>4Q25</v>
      </c>
      <c r="W2" s="256" t="str">
        <f>IF('Summary | Sumário'!D6=Names!B3,Names!C28,Names!D28)</f>
        <v>1Q26</v>
      </c>
      <c r="X2" s="315"/>
      <c r="Y2" s="104" t="str">
        <f>IF('Summary | Sumário'!$D$6=Names!$B$3,Names!$I$24,Names!$J$24)</f>
        <v>QoQ Variation</v>
      </c>
      <c r="Z2" s="104" t="str">
        <f>IF('Summary | Sumário'!$D$6=Names!$B$3,Names!$I$25,Names!$J$25)</f>
        <v>YoY Variation</v>
      </c>
      <c r="AA2" s="104"/>
      <c r="AB2" s="123"/>
      <c r="AC2" s="125"/>
      <c r="AD2" s="126"/>
      <c r="AF2" s="128"/>
      <c r="AG2" s="129"/>
    </row>
    <row r="3" spans="2:33" ht="13" customHeight="1">
      <c r="B3" s="13"/>
      <c r="C3" s="131"/>
      <c r="D3" s="131"/>
      <c r="E3" s="131"/>
      <c r="F3" s="131"/>
      <c r="G3" s="131"/>
      <c r="H3" s="131"/>
      <c r="I3" s="131"/>
      <c r="J3" s="131"/>
      <c r="K3" s="131"/>
      <c r="L3" s="131"/>
      <c r="M3" s="131"/>
      <c r="N3" s="131"/>
      <c r="O3" s="131"/>
      <c r="P3" s="131"/>
      <c r="Q3" s="131"/>
      <c r="R3" s="131"/>
      <c r="S3" s="663"/>
      <c r="T3" s="663"/>
      <c r="U3" s="663"/>
      <c r="V3" s="663"/>
      <c r="W3" s="663"/>
      <c r="X3" s="131"/>
      <c r="Y3" s="131"/>
      <c r="Z3" s="131"/>
      <c r="AA3" s="131"/>
      <c r="AB3" s="131"/>
    </row>
    <row r="4" spans="2:33" ht="13" customHeight="1">
      <c r="B4" s="297" t="str">
        <f>IF('Summary | Sumário'!D$6=Names!B$3,Names!CB4,Names!CC4)</f>
        <v>Banking Accounts - Brazil</v>
      </c>
      <c r="C4" s="253"/>
      <c r="D4" s="253"/>
      <c r="E4" s="253"/>
      <c r="F4" s="253"/>
      <c r="G4" s="253"/>
      <c r="H4" s="253"/>
      <c r="I4" s="253"/>
      <c r="J4" s="253"/>
      <c r="K4" s="253"/>
      <c r="L4" s="253"/>
      <c r="M4" s="253"/>
      <c r="N4" s="253"/>
      <c r="O4" s="253"/>
      <c r="P4" s="253"/>
      <c r="Q4" s="253"/>
      <c r="R4" s="253"/>
      <c r="S4" s="664"/>
      <c r="T4" s="664"/>
      <c r="U4" s="664"/>
      <c r="V4" s="664"/>
      <c r="W4" s="664"/>
      <c r="X4" s="253"/>
      <c r="Y4" s="253"/>
      <c r="Z4" s="253"/>
      <c r="AA4" s="253"/>
      <c r="AB4" s="392" t="str">
        <f>IF('Summary | Sumário'!D$6=Names!B$3,Names!CB2,Names!CC2)</f>
        <v>Source</v>
      </c>
    </row>
    <row r="5" spans="2:33" ht="13" customHeight="1">
      <c r="B5" s="395" t="str">
        <f>IF('Summary | Sumário'!D$6=Names!B$3,Names!CB5,Names!CC5)</f>
        <v>Individuals with Banking Accounts</v>
      </c>
      <c r="C5" s="396">
        <v>180.230211</v>
      </c>
      <c r="D5" s="396">
        <v>181.31761900000001</v>
      </c>
      <c r="E5" s="396">
        <v>182.49014099999999</v>
      </c>
      <c r="F5" s="396">
        <v>182.21805499999999</v>
      </c>
      <c r="G5" s="396">
        <v>183.36628300000001</v>
      </c>
      <c r="H5" s="396">
        <v>184.76697899999999</v>
      </c>
      <c r="I5" s="396">
        <v>186.43217199999998</v>
      </c>
      <c r="J5" s="396">
        <v>188.33574200000001</v>
      </c>
      <c r="K5" s="396">
        <v>190.285642</v>
      </c>
      <c r="L5" s="396">
        <v>191.557106</v>
      </c>
      <c r="M5" s="396">
        <v>192.98458300000001</v>
      </c>
      <c r="N5" s="396">
        <v>194.119812</v>
      </c>
      <c r="O5" s="396">
        <v>196.06822599999998</v>
      </c>
      <c r="P5" s="396">
        <v>197.62343799999999</v>
      </c>
      <c r="Q5" s="396">
        <v>198.954015</v>
      </c>
      <c r="R5" s="396">
        <v>199.78123600000001</v>
      </c>
      <c r="S5" s="396">
        <v>201.207798</v>
      </c>
      <c r="T5" s="396">
        <f>202.520375</f>
        <v>202.520375</v>
      </c>
      <c r="U5" s="396">
        <v>203.50046499999999</v>
      </c>
      <c r="V5" s="396">
        <v>204.37422000000001</v>
      </c>
      <c r="W5" s="396">
        <v>205.58907199999999</v>
      </c>
      <c r="X5" s="132"/>
      <c r="Y5" s="410">
        <f>W5/V5-1</f>
        <v>5.9442526557409447E-3</v>
      </c>
      <c r="Z5" s="410">
        <f>W5/S5-1</f>
        <v>2.1774871767146875E-2</v>
      </c>
      <c r="AA5" s="132"/>
      <c r="AB5" s="416" t="str">
        <f>Names!CD5</f>
        <v>Estatísticas do CCS - Banco Central do Brasil</v>
      </c>
      <c r="AC5" s="417"/>
    </row>
    <row r="6" spans="2:33" ht="13" customHeight="1">
      <c r="B6" s="101" t="str">
        <f>IF('Summary | Sumário'!D$6=Names!B$3,Names!CB6,Names!CC6)</f>
        <v>Business with Banking Accounts</v>
      </c>
      <c r="C6" s="132">
        <v>13.669084999999999</v>
      </c>
      <c r="D6" s="132">
        <v>14.088994000000001</v>
      </c>
      <c r="E6" s="132">
        <v>14.457945</v>
      </c>
      <c r="F6" s="132">
        <v>14.997128</v>
      </c>
      <c r="G6" s="132">
        <v>15.612392</v>
      </c>
      <c r="H6" s="132">
        <v>16.169655000000002</v>
      </c>
      <c r="I6" s="132">
        <v>16.966272</v>
      </c>
      <c r="J6" s="132">
        <v>17.540289000000001</v>
      </c>
      <c r="K6" s="132">
        <v>18.049762999999999</v>
      </c>
      <c r="L6" s="132">
        <v>18.617251</v>
      </c>
      <c r="M6" s="132">
        <v>19.128495999999998</v>
      </c>
      <c r="N6" s="132">
        <v>19.621282000000001</v>
      </c>
      <c r="O6" s="132">
        <v>20.171491999999997</v>
      </c>
      <c r="P6" s="132">
        <v>20.718002000000002</v>
      </c>
      <c r="Q6" s="132">
        <v>21.388135999999999</v>
      </c>
      <c r="R6" s="132">
        <v>21.019017000000002</v>
      </c>
      <c r="S6" s="665">
        <v>21.430033000000002</v>
      </c>
      <c r="T6" s="665">
        <f>21.468087</f>
        <v>21.468087000000001</v>
      </c>
      <c r="U6" s="665">
        <v>22.046775</v>
      </c>
      <c r="V6" s="665">
        <v>22.115888999999999</v>
      </c>
      <c r="W6" s="665">
        <v>22.879145999999999</v>
      </c>
      <c r="X6" s="133"/>
      <c r="Y6" s="380">
        <f>W6/V6-1</f>
        <v>3.451170332786524E-2</v>
      </c>
      <c r="Z6" s="380">
        <f>W6/S6-1</f>
        <v>6.7620661153438011E-2</v>
      </c>
      <c r="AA6" s="133"/>
      <c r="AB6" s="418" t="str">
        <f>Names!CD6</f>
        <v>Estatísticas do CCS - Banco Central do Brasil</v>
      </c>
      <c r="AC6" s="417"/>
    </row>
    <row r="7" spans="2:33" ht="13" customHeight="1">
      <c r="B7" s="397"/>
      <c r="C7" s="398"/>
      <c r="D7" s="398"/>
      <c r="E7" s="398"/>
      <c r="F7" s="398"/>
      <c r="G7" s="398"/>
      <c r="H7" s="398"/>
      <c r="I7" s="398"/>
      <c r="J7" s="398"/>
      <c r="K7" s="398"/>
      <c r="L7" s="398"/>
      <c r="M7" s="398"/>
      <c r="N7" s="398"/>
      <c r="O7" s="398"/>
      <c r="P7" s="398"/>
      <c r="Q7" s="398"/>
      <c r="R7" s="398"/>
      <c r="S7" s="398"/>
      <c r="T7" s="398"/>
      <c r="U7" s="398"/>
      <c r="V7" s="398"/>
      <c r="W7" s="398"/>
      <c r="X7" s="134"/>
      <c r="Y7" s="398"/>
      <c r="Z7" s="398"/>
      <c r="AA7" s="134"/>
      <c r="AB7" s="399"/>
      <c r="AC7" s="135"/>
    </row>
    <row r="8" spans="2:33" ht="13" customHeight="1">
      <c r="B8" s="297" t="str">
        <f>IF('Summary | Sumário'!D$6=Names!B$3,Names!CB9,Names!CC9)</f>
        <v>TPV</v>
      </c>
      <c r="C8" s="136"/>
      <c r="D8" s="136"/>
      <c r="E8" s="136"/>
      <c r="F8" s="136"/>
      <c r="G8" s="136"/>
      <c r="H8" s="136"/>
      <c r="I8" s="136"/>
      <c r="J8" s="136"/>
      <c r="K8" s="136"/>
      <c r="L8" s="136"/>
      <c r="M8" s="136"/>
      <c r="N8" s="136"/>
      <c r="O8" s="136"/>
      <c r="P8" s="136"/>
      <c r="Q8" s="136"/>
      <c r="R8" s="136"/>
      <c r="S8" s="666"/>
      <c r="T8" s="666"/>
      <c r="U8" s="666"/>
      <c r="V8" s="666"/>
      <c r="W8" s="666"/>
      <c r="X8" s="136"/>
      <c r="Y8" s="136"/>
      <c r="Z8" s="136"/>
      <c r="AA8" s="136"/>
      <c r="AB8" s="393"/>
    </row>
    <row r="9" spans="2:33" ht="13" customHeight="1">
      <c r="B9" s="395" t="str">
        <f>IF('Summary | Sumário'!D$6=Names!B$3,Names!CB10,Names!CC10)</f>
        <v>PIX</v>
      </c>
      <c r="C9" s="396"/>
      <c r="D9" s="396"/>
      <c r="E9" s="396"/>
      <c r="F9" s="396"/>
      <c r="G9" s="396"/>
      <c r="H9" s="396"/>
      <c r="I9" s="396"/>
      <c r="J9" s="396"/>
      <c r="K9" s="396"/>
      <c r="L9" s="396"/>
      <c r="M9" s="396"/>
      <c r="N9" s="396"/>
      <c r="O9" s="396"/>
      <c r="P9" s="396"/>
      <c r="Q9" s="396"/>
      <c r="R9" s="396"/>
      <c r="S9" s="396"/>
      <c r="T9" s="396"/>
      <c r="U9" s="396"/>
      <c r="V9" s="396"/>
      <c r="W9" s="396"/>
      <c r="X9" s="132"/>
      <c r="Y9" s="396"/>
      <c r="Z9" s="396"/>
      <c r="AA9" s="132"/>
      <c r="AB9" s="416" t="str">
        <f>Names!CD11</f>
        <v>Sistema de Pagamentos Brasileiro (SPB) - Estatísticas do Pix - Banco Central do Brasil</v>
      </c>
      <c r="AC9" s="417"/>
    </row>
    <row r="10" spans="2:33" ht="13" customHeight="1">
      <c r="B10" s="390" t="str">
        <f>IF('Summary | Sumário'!D$6=Names!B$3,Names!CB11,Names!CC11)</f>
        <v>PIX Transactions</v>
      </c>
      <c r="C10" s="414">
        <v>727.64367799999991</v>
      </c>
      <c r="D10" s="414">
        <v>1579.9677749999998</v>
      </c>
      <c r="E10" s="414">
        <v>2432.0838009999998</v>
      </c>
      <c r="F10" s="414">
        <v>3239.403785</v>
      </c>
      <c r="G10" s="414">
        <v>3618.2862179999997</v>
      </c>
      <c r="H10" s="414">
        <v>4628.8793930000002</v>
      </c>
      <c r="I10" s="414">
        <v>5530.5009110000001</v>
      </c>
      <c r="J10" s="414">
        <v>6575.9385599999996</v>
      </c>
      <c r="K10" s="414">
        <v>6882.7202810000008</v>
      </c>
      <c r="L10" s="414">
        <v>8136.4115810000003</v>
      </c>
      <c r="M10" s="414">
        <v>9706.8342559999983</v>
      </c>
      <c r="N10" s="414">
        <v>11473.387352</v>
      </c>
      <c r="O10" s="414">
        <v>12020.651478</v>
      </c>
      <c r="P10" s="414">
        <v>13623.234329999999</v>
      </c>
      <c r="Q10" s="414">
        <f>4894.942+5009.384+4786.638</f>
        <v>14690.964</v>
      </c>
      <c r="R10" s="414">
        <v>15978.019648910411</v>
      </c>
      <c r="S10" s="667">
        <f>5060.285+4985.805+5564.431</f>
        <v>15610.521000000001</v>
      </c>
      <c r="T10" s="667">
        <f>5799.01+5930.141+5598.161</f>
        <v>17327.311999999998</v>
      </c>
      <c r="U10" s="667">
        <f>5996.861+6239.608+6133.276</f>
        <v>18369.745000000003</v>
      </c>
      <c r="V10" s="667">
        <v>20012.536759999981</v>
      </c>
      <c r="W10" s="667">
        <v>19092.445879999999</v>
      </c>
      <c r="X10" s="138"/>
      <c r="Y10" s="138">
        <f>W10/V10-1</f>
        <v>-4.5975724668699258E-2</v>
      </c>
      <c r="Z10" s="138">
        <f>W10/S10-1</f>
        <v>0.2230498828322256</v>
      </c>
      <c r="AA10" s="138"/>
      <c r="AB10" s="419"/>
      <c r="AC10" s="417"/>
    </row>
    <row r="11" spans="2:33" ht="13" customHeight="1">
      <c r="B11" s="400" t="str">
        <f>IF('Summary | Sumário'!D$6=Names!B$3,Names!CB12,Names!CC12)</f>
        <v>PIX TPV (R$)</v>
      </c>
      <c r="C11" s="401">
        <v>545865.52816126042</v>
      </c>
      <c r="D11" s="401">
        <v>962345.47765108012</v>
      </c>
      <c r="E11" s="401">
        <v>1351068.3827956303</v>
      </c>
      <c r="F11" s="401">
        <v>1662837.6549495156</v>
      </c>
      <c r="G11" s="401">
        <v>1806516.4732325375</v>
      </c>
      <c r="H11" s="401">
        <v>2223822.2405896918</v>
      </c>
      <c r="I11" s="401">
        <v>2578950.3366389298</v>
      </c>
      <c r="J11" s="401">
        <v>2865663.1767627192</v>
      </c>
      <c r="K11" s="401">
        <v>2959895.7995207496</v>
      </c>
      <c r="L11" s="401">
        <v>3333287.8986781244</v>
      </c>
      <c r="M11" s="401">
        <v>3771040.8591022328</v>
      </c>
      <c r="N11" s="401">
        <v>4402723.7532800706</v>
      </c>
      <c r="O11" s="401">
        <v>4498296.7634392958</v>
      </c>
      <c r="P11" s="401">
        <v>5283406.6412520343</v>
      </c>
      <c r="Q11" s="401">
        <f>1937484+1948182+1954750</f>
        <v>5840416</v>
      </c>
      <c r="R11" s="401">
        <v>6497776.833976835</v>
      </c>
      <c r="S11" s="668">
        <f>2077339+2044476+2172421</f>
        <v>6294236</v>
      </c>
      <c r="T11" s="668">
        <f>2395481+2379223+2254214</f>
        <v>7028918</v>
      </c>
      <c r="U11" s="668">
        <f>2562056+2550273+2651625</f>
        <v>7763954</v>
      </c>
      <c r="V11" s="668">
        <v>8521366.1099999901</v>
      </c>
      <c r="W11" s="668">
        <v>8276322.1199999899</v>
      </c>
      <c r="X11" s="133"/>
      <c r="Y11" s="411">
        <f>W11/V11-1</f>
        <v>-2.8756420841070995E-2</v>
      </c>
      <c r="Z11" s="411">
        <f>W11/S11-1</f>
        <v>0.31490495748808756</v>
      </c>
      <c r="AA11" s="133"/>
      <c r="AB11" s="420"/>
      <c r="AC11" s="417"/>
    </row>
    <row r="12" spans="2:33" ht="13" customHeight="1">
      <c r="B12" s="101"/>
      <c r="C12" s="139"/>
      <c r="D12" s="139"/>
      <c r="E12" s="139"/>
      <c r="F12" s="139"/>
      <c r="G12" s="139"/>
      <c r="H12" s="139"/>
      <c r="I12" s="139"/>
      <c r="J12" s="139"/>
      <c r="K12" s="139"/>
      <c r="L12" s="139"/>
      <c r="M12" s="139"/>
      <c r="N12" s="139"/>
      <c r="O12" s="139"/>
      <c r="P12" s="139"/>
      <c r="Q12" s="139"/>
      <c r="R12" s="139"/>
      <c r="S12" s="669"/>
      <c r="T12" s="669"/>
      <c r="U12" s="669"/>
      <c r="V12" s="669"/>
      <c r="W12" s="669"/>
      <c r="X12" s="139"/>
      <c r="Y12" s="139"/>
      <c r="Z12" s="139"/>
      <c r="AA12" s="139"/>
      <c r="AB12" s="419"/>
      <c r="AC12" s="417"/>
    </row>
    <row r="13" spans="2:33" ht="13" customHeight="1">
      <c r="B13" s="402" t="str">
        <f>IF('Summary | Sumário'!D$6=Names!B$3,Names!CB14,Names!CC14)</f>
        <v>Cards</v>
      </c>
      <c r="C13" s="176">
        <f>SUM(C14:C15)</f>
        <v>551594.81716864998</v>
      </c>
      <c r="D13" s="176">
        <f t="shared" ref="D13:R13" si="0">SUM(D14:D15)</f>
        <v>612846.06840559002</v>
      </c>
      <c r="E13" s="176">
        <f t="shared" si="0"/>
        <v>692371.84696538001</v>
      </c>
      <c r="F13" s="176">
        <f t="shared" si="0"/>
        <v>804700.99335999996</v>
      </c>
      <c r="G13" s="176">
        <f t="shared" si="0"/>
        <v>759580.80351282004</v>
      </c>
      <c r="H13" s="176">
        <f t="shared" si="0"/>
        <v>838978.6327822</v>
      </c>
      <c r="I13" s="176">
        <f t="shared" si="0"/>
        <v>859690.55681608</v>
      </c>
      <c r="J13" s="176">
        <f t="shared" si="0"/>
        <v>935571.04112141998</v>
      </c>
      <c r="K13" s="176">
        <f t="shared" si="0"/>
        <v>866587.21779132006</v>
      </c>
      <c r="L13" s="176">
        <f t="shared" si="0"/>
        <v>901443.90171081002</v>
      </c>
      <c r="M13" s="176">
        <f t="shared" si="0"/>
        <v>939364.28888279013</v>
      </c>
      <c r="N13" s="176">
        <f t="shared" si="0"/>
        <v>1027659.1749756201</v>
      </c>
      <c r="O13" s="176">
        <f t="shared" si="0"/>
        <v>964955.67656156002</v>
      </c>
      <c r="P13" s="176">
        <f t="shared" si="0"/>
        <v>1000665.4318358499</v>
      </c>
      <c r="Q13" s="176">
        <f t="shared" si="0"/>
        <v>1035570</v>
      </c>
      <c r="R13" s="176">
        <f t="shared" si="0"/>
        <v>1142573.2670710001</v>
      </c>
      <c r="S13" s="176">
        <f>SUM(S14:S15)</f>
        <v>1054900</v>
      </c>
      <c r="T13" s="176">
        <f>SUM(T14:T15)</f>
        <v>1104530.3006</v>
      </c>
      <c r="U13" s="176">
        <f>SUM(U14:U15)</f>
        <v>1141496.6118709999</v>
      </c>
      <c r="V13" s="176">
        <f>SUM(V14:V15)</f>
        <v>1247368.7286990001</v>
      </c>
      <c r="W13" s="668" t="s">
        <v>1187</v>
      </c>
      <c r="Y13" s="549" t="s">
        <v>1183</v>
      </c>
      <c r="Z13" s="549" t="s">
        <v>1183</v>
      </c>
      <c r="AB13" s="423" t="str">
        <f>Names!CD15</f>
        <v>Associação Brasileira das Empresas de Cartões de Crédito e Serviços - Sistema de Informações – Monitor Abecs</v>
      </c>
      <c r="AC13" s="417"/>
    </row>
    <row r="14" spans="2:33" ht="13" customHeight="1">
      <c r="B14" s="140" t="str">
        <f>IF('Summary | Sumário'!D$6=Names!B$3,Names!CB15,Names!CC15)</f>
        <v>Credit Cards TPV (R$)</v>
      </c>
      <c r="C14" s="414">
        <v>328732.62769512</v>
      </c>
      <c r="D14" s="414">
        <v>371188.10881687998</v>
      </c>
      <c r="E14" s="414">
        <v>422362.66261727002</v>
      </c>
      <c r="F14" s="414">
        <v>497588.82791405002</v>
      </c>
      <c r="G14" s="414">
        <v>479099.28373640002</v>
      </c>
      <c r="H14" s="414">
        <v>531307.87166443001</v>
      </c>
      <c r="I14" s="414">
        <v>548190.46782451996</v>
      </c>
      <c r="J14" s="414">
        <v>589132.52756351</v>
      </c>
      <c r="K14" s="414">
        <v>555194.36013382999</v>
      </c>
      <c r="L14" s="414">
        <v>580490.58106495999</v>
      </c>
      <c r="M14" s="414">
        <v>608077.80291872006</v>
      </c>
      <c r="N14" s="414">
        <v>664644.18698012002</v>
      </c>
      <c r="O14" s="414">
        <v>635249.28854787</v>
      </c>
      <c r="P14" s="414">
        <v>662709.53340422991</v>
      </c>
      <c r="Q14" s="414">
        <v>693160</v>
      </c>
      <c r="R14" s="414">
        <v>768822.11509500002</v>
      </c>
      <c r="S14" s="667">
        <v>721090</v>
      </c>
      <c r="T14" s="667">
        <v>763463.11369999999</v>
      </c>
      <c r="U14" s="667">
        <v>794707.53025800001</v>
      </c>
      <c r="V14" s="667">
        <v>870896.04327599995</v>
      </c>
      <c r="W14" s="667" t="s">
        <v>1187</v>
      </c>
      <c r="Y14" s="307" t="s">
        <v>1183</v>
      </c>
      <c r="Z14" s="307" t="s">
        <v>1183</v>
      </c>
      <c r="AB14" s="394"/>
    </row>
    <row r="15" spans="2:33" ht="13" customHeight="1">
      <c r="B15" s="405" t="str">
        <f>IF('Summary | Sumário'!D$6=Names!B$3,Names!CB16,Names!CC16)</f>
        <v>Debt Card TPV (R$)</v>
      </c>
      <c r="C15" s="401">
        <v>222862.18947352996</v>
      </c>
      <c r="D15" s="401">
        <v>241657.95958871001</v>
      </c>
      <c r="E15" s="401">
        <v>270009.18434810999</v>
      </c>
      <c r="F15" s="401">
        <v>307112.16544595</v>
      </c>
      <c r="G15" s="401">
        <v>280481.51977642003</v>
      </c>
      <c r="H15" s="401">
        <v>307670.76111776999</v>
      </c>
      <c r="I15" s="401">
        <v>311500.08899156004</v>
      </c>
      <c r="J15" s="401">
        <v>346438.51355790999</v>
      </c>
      <c r="K15" s="401">
        <v>311392.85765749001</v>
      </c>
      <c r="L15" s="401">
        <v>320953.32064585004</v>
      </c>
      <c r="M15" s="401">
        <v>331286.48596407002</v>
      </c>
      <c r="N15" s="401">
        <v>363014.98799550004</v>
      </c>
      <c r="O15" s="401">
        <v>329706.38801369001</v>
      </c>
      <c r="P15" s="401">
        <v>337955.89843161998</v>
      </c>
      <c r="Q15" s="401">
        <v>342410</v>
      </c>
      <c r="R15" s="401">
        <v>373751.15197600005</v>
      </c>
      <c r="S15" s="668">
        <v>333810</v>
      </c>
      <c r="T15" s="668">
        <v>341067.18689999997</v>
      </c>
      <c r="U15" s="668">
        <v>346789.08161300002</v>
      </c>
      <c r="V15" s="668">
        <v>376472.68542300002</v>
      </c>
      <c r="W15" s="668" t="s">
        <v>1187</v>
      </c>
      <c r="Y15" s="413" t="s">
        <v>1183</v>
      </c>
      <c r="Z15" s="413" t="s">
        <v>1183</v>
      </c>
      <c r="AB15" s="406"/>
    </row>
    <row r="16" spans="2:33" ht="13" customHeight="1">
      <c r="Q16" s="121"/>
      <c r="R16" s="121"/>
      <c r="S16" s="121"/>
      <c r="Y16" s="121"/>
      <c r="Z16" s="121"/>
      <c r="AB16" s="157"/>
    </row>
    <row r="17" spans="2:29" ht="13" customHeight="1">
      <c r="B17" s="407" t="str">
        <f>IF('Summary | Sumário'!D$6=Names!B$3,Names!CB18,Names!CC18)</f>
        <v>Loan Portfolio (R$)</v>
      </c>
      <c r="C17" s="403"/>
      <c r="D17" s="403"/>
      <c r="E17" s="403"/>
      <c r="F17" s="403"/>
      <c r="G17" s="403"/>
      <c r="H17" s="403"/>
      <c r="I17" s="403"/>
      <c r="J17" s="403"/>
      <c r="K17" s="403"/>
      <c r="L17" s="403"/>
      <c r="M17" s="403"/>
      <c r="N17" s="403"/>
      <c r="O17" s="403"/>
      <c r="P17" s="403"/>
      <c r="Q17" s="171"/>
      <c r="R17" s="171"/>
      <c r="S17" s="171"/>
      <c r="T17" s="403"/>
      <c r="U17" s="403"/>
      <c r="V17" s="403"/>
      <c r="W17" s="403"/>
      <c r="Y17" s="171"/>
      <c r="Z17" s="171"/>
      <c r="AB17" s="404"/>
    </row>
    <row r="18" spans="2:29" ht="13" customHeight="1">
      <c r="B18" s="389" t="str">
        <f>IF('Summary | Sumário'!D$6=Names!B$3,Names!CB20,Names!CC20)</f>
        <v>Total Loan Portfolio</v>
      </c>
      <c r="C18" s="415">
        <v>4106449</v>
      </c>
      <c r="D18" s="415">
        <v>4212400</v>
      </c>
      <c r="E18" s="415">
        <v>4439121</v>
      </c>
      <c r="F18" s="415">
        <v>4679575</v>
      </c>
      <c r="G18" s="415">
        <v>4790359</v>
      </c>
      <c r="H18" s="415">
        <v>4961785</v>
      </c>
      <c r="I18" s="415">
        <v>5160236</v>
      </c>
      <c r="J18" s="415">
        <v>5358049</v>
      </c>
      <c r="K18" s="415">
        <v>5417326</v>
      </c>
      <c r="L18" s="415">
        <v>5472241</v>
      </c>
      <c r="M18" s="415">
        <v>5616177</v>
      </c>
      <c r="N18" s="415">
        <v>5794196</v>
      </c>
      <c r="O18" s="415">
        <v>5899857</v>
      </c>
      <c r="P18" s="415">
        <v>6040221</v>
      </c>
      <c r="Q18" s="415">
        <v>6216178</v>
      </c>
      <c r="R18" s="415">
        <v>6462746</v>
      </c>
      <c r="S18" s="670">
        <v>6703448</v>
      </c>
      <c r="T18" s="670">
        <v>6685659</v>
      </c>
      <c r="U18" s="670">
        <v>6843539</v>
      </c>
      <c r="V18" s="670">
        <v>7122582</v>
      </c>
      <c r="W18" s="670">
        <v>7215199</v>
      </c>
      <c r="X18" s="132"/>
      <c r="Y18" s="550">
        <f t="shared" ref="Y18:Y23" si="1">W18/V18-1</f>
        <v>1.3003290099011799E-2</v>
      </c>
      <c r="Z18" s="412">
        <f t="shared" ref="Z18:Z23" si="2">W18/S18-1</f>
        <v>7.6341458902940751E-2</v>
      </c>
      <c r="AA18" s="132"/>
      <c r="AB18" s="529" t="str">
        <f>Names!CD20</f>
        <v>Banco Central do Brasil - SGS (20539)</v>
      </c>
      <c r="AC18" s="417"/>
    </row>
    <row r="19" spans="2:29" ht="13" customHeight="1">
      <c r="B19" s="408" t="str">
        <f>IF('Summary | Sumário'!D$6=Names!B$3,Names!CB22,Names!CC22)</f>
        <v>Credit Cards</v>
      </c>
      <c r="C19" s="401">
        <v>278610</v>
      </c>
      <c r="D19" s="401">
        <v>317579</v>
      </c>
      <c r="E19" s="401">
        <v>351862</v>
      </c>
      <c r="F19" s="401">
        <v>414773</v>
      </c>
      <c r="G19" s="401">
        <v>413819</v>
      </c>
      <c r="H19" s="401">
        <v>469222</v>
      </c>
      <c r="I19" s="401">
        <v>493089</v>
      </c>
      <c r="J19" s="401">
        <v>527816</v>
      </c>
      <c r="K19" s="401">
        <v>535027</v>
      </c>
      <c r="L19" s="401">
        <v>540525</v>
      </c>
      <c r="M19" s="401">
        <v>547583</v>
      </c>
      <c r="N19" s="401">
        <v>580074</v>
      </c>
      <c r="O19" s="401">
        <f>43410+536243</f>
        <v>579653</v>
      </c>
      <c r="P19" s="401">
        <f>39251+550273</f>
        <v>589524</v>
      </c>
      <c r="Q19" s="401">
        <f>565215+44459</f>
        <v>609674</v>
      </c>
      <c r="R19" s="401">
        <f>44122+610310</f>
        <v>654432</v>
      </c>
      <c r="S19" s="668">
        <f>620234+48738</f>
        <v>668972</v>
      </c>
      <c r="T19" s="668">
        <f>639247+51271</f>
        <v>690518</v>
      </c>
      <c r="U19" s="668">
        <f>53364+656464</f>
        <v>709828</v>
      </c>
      <c r="V19" s="668">
        <f>57684+714810</f>
        <v>772494</v>
      </c>
      <c r="W19" s="668">
        <f>60031+712636</f>
        <v>772667</v>
      </c>
      <c r="Y19" s="413">
        <f t="shared" si="1"/>
        <v>2.2394995948182839E-4</v>
      </c>
      <c r="Z19" s="413">
        <f t="shared" si="2"/>
        <v>0.15500648756599689</v>
      </c>
      <c r="AB19" s="421" t="str">
        <f>Names!CD22</f>
        <v>Banco Central do Brasil - SGS - Individual and Business / Pessoa Física  e Pessoa Jurídica (20564, 20590)</v>
      </c>
      <c r="AC19" s="417"/>
    </row>
    <row r="20" spans="2:29" ht="13" customHeight="1">
      <c r="B20" s="391" t="str">
        <f>IF('Summary | Sumário'!D$6=Names!B$3,Names!CB23,Names!CC23)</f>
        <v>Personal</v>
      </c>
      <c r="C20" s="414">
        <v>612728</v>
      </c>
      <c r="D20" s="414">
        <v>650567</v>
      </c>
      <c r="E20" s="414">
        <v>691718</v>
      </c>
      <c r="F20" s="414">
        <v>724296</v>
      </c>
      <c r="G20" s="414">
        <v>748808</v>
      </c>
      <c r="H20" s="414">
        <v>786241</v>
      </c>
      <c r="I20" s="414">
        <v>809720</v>
      </c>
      <c r="J20" s="414">
        <v>837832</v>
      </c>
      <c r="K20" s="414">
        <v>859173</v>
      </c>
      <c r="L20" s="414">
        <v>866769</v>
      </c>
      <c r="M20" s="414">
        <v>880768</v>
      </c>
      <c r="N20" s="414">
        <v>891312</v>
      </c>
      <c r="O20" s="414">
        <v>932847</v>
      </c>
      <c r="P20" s="414">
        <v>955170</v>
      </c>
      <c r="Q20" s="414">
        <v>985540</v>
      </c>
      <c r="R20" s="414">
        <v>1004539</v>
      </c>
      <c r="S20" s="667">
        <v>1045867</v>
      </c>
      <c r="T20" s="667">
        <v>1064284</v>
      </c>
      <c r="U20" s="667">
        <v>1091043</v>
      </c>
      <c r="V20" s="667">
        <v>1120537</v>
      </c>
      <c r="W20" s="667">
        <v>1168345</v>
      </c>
      <c r="Y20" s="307">
        <f t="shared" si="1"/>
        <v>4.2665257818349511E-2</v>
      </c>
      <c r="Z20" s="307">
        <f t="shared" si="2"/>
        <v>0.1171066684387212</v>
      </c>
      <c r="AB20" s="422" t="str">
        <f>Names!CD23</f>
        <v>Banco Central do Brasil - SGS - Total Personal Loans / Crédito pessoal total (20580)</v>
      </c>
      <c r="AC20" s="417"/>
    </row>
    <row r="21" spans="2:29" ht="13" customHeight="1">
      <c r="B21" s="409" t="str">
        <f>IF('Summary | Sumário'!D$6=Names!B$3,Names!CB24,Names!CC24)</f>
        <v>Real Estate</v>
      </c>
      <c r="C21" s="401">
        <v>759254</v>
      </c>
      <c r="D21" s="401">
        <v>786037</v>
      </c>
      <c r="E21" s="401">
        <v>791963</v>
      </c>
      <c r="F21" s="401">
        <v>843692</v>
      </c>
      <c r="G21" s="401">
        <v>870530</v>
      </c>
      <c r="H21" s="401">
        <v>901028</v>
      </c>
      <c r="I21" s="401">
        <v>934095</v>
      </c>
      <c r="J21" s="401">
        <v>966479</v>
      </c>
      <c r="K21" s="401">
        <v>994735</v>
      </c>
      <c r="L21" s="401">
        <v>1025134</v>
      </c>
      <c r="M21" s="401">
        <v>1057696</v>
      </c>
      <c r="N21" s="401">
        <v>1090054</v>
      </c>
      <c r="O21" s="401">
        <f>53707+1063357</f>
        <v>1117064</v>
      </c>
      <c r="P21" s="401">
        <f>55616+1097353</f>
        <v>1152969</v>
      </c>
      <c r="Q21" s="401">
        <f>57748+1135977</f>
        <v>1193725</v>
      </c>
      <c r="R21" s="401">
        <f>61653+1167335</f>
        <v>1228988</v>
      </c>
      <c r="S21" s="668">
        <f>63879+1199798</f>
        <v>1263677</v>
      </c>
      <c r="T21" s="668">
        <f>67475+1233366</f>
        <v>1300841</v>
      </c>
      <c r="U21" s="668">
        <f>70847+1267288</f>
        <v>1338135</v>
      </c>
      <c r="V21" s="668">
        <f>72280+1306104</f>
        <v>1378384</v>
      </c>
      <c r="W21" s="668">
        <f>73982+1338966</f>
        <v>1412948</v>
      </c>
      <c r="Y21" s="413">
        <f t="shared" si="1"/>
        <v>2.5075740867566587E-2</v>
      </c>
      <c r="Z21" s="413">
        <f t="shared" si="2"/>
        <v>0.11812433082187934</v>
      </c>
      <c r="AB21" s="423" t="str">
        <f>Names!CD24</f>
        <v>Banco Central do Brasil - SGS - Total Real Estate Loans  / Crédito Imobiliário Total (20600 e 20612)</v>
      </c>
      <c r="AC21" s="417"/>
    </row>
    <row r="22" spans="2:29" ht="13" customHeight="1">
      <c r="B22" s="391" t="str">
        <f>IF('Summary | Sumário'!D$6=Names!B$3,Names!CB25,Names!CC25)</f>
        <v>Business</v>
      </c>
      <c r="C22" s="414">
        <v>1135857</v>
      </c>
      <c r="D22" s="414">
        <v>1161495</v>
      </c>
      <c r="E22" s="414">
        <v>1212928</v>
      </c>
      <c r="F22" s="414">
        <v>1301459</v>
      </c>
      <c r="G22" s="414">
        <v>1328637</v>
      </c>
      <c r="H22" s="414">
        <v>1384359</v>
      </c>
      <c r="I22" s="414">
        <v>1354788</v>
      </c>
      <c r="J22" s="414">
        <v>1399002</v>
      </c>
      <c r="K22" s="414">
        <v>1374526</v>
      </c>
      <c r="L22" s="414">
        <v>1379862</v>
      </c>
      <c r="M22" s="414">
        <v>1385219</v>
      </c>
      <c r="N22" s="414">
        <v>1424128</v>
      </c>
      <c r="O22" s="414">
        <f>1470709-43410-53707</f>
        <v>1373592</v>
      </c>
      <c r="P22" s="414">
        <f>1501046-39251-55616</f>
        <v>1406179</v>
      </c>
      <c r="Q22" s="414">
        <f>1534714-44459-57748</f>
        <v>1432507</v>
      </c>
      <c r="R22" s="414">
        <f>1600740-44122-61653</f>
        <v>1494965</v>
      </c>
      <c r="S22" s="667">
        <f>1576967-48738-63879</f>
        <v>1464350</v>
      </c>
      <c r="T22" s="667">
        <f>1576967-50448-67475</f>
        <v>1459044</v>
      </c>
      <c r="U22" s="667">
        <f>1595850-70847-51271</f>
        <v>1473732</v>
      </c>
      <c r="V22" s="667">
        <v>1637593</v>
      </c>
      <c r="W22" s="667">
        <v>1596442</v>
      </c>
      <c r="Y22" s="307">
        <f t="shared" si="1"/>
        <v>-2.5128954508232493E-2</v>
      </c>
      <c r="Z22" s="307">
        <f t="shared" si="2"/>
        <v>9.0205210502953603E-2</v>
      </c>
      <c r="AB22" s="422" t="str">
        <f>Names!CD25</f>
        <v>Banco Central do Brasil - SGS - Total non-financial corporations, excluding cards and real estate / Pessoas jurídicas total, excluindo cartões e imob. (20543)</v>
      </c>
      <c r="AC22" s="417"/>
    </row>
    <row r="23" spans="2:29" ht="13" customHeight="1">
      <c r="B23" s="409" t="str">
        <f>IF('Summary | Sumário'!D$6=Names!B$3,Names!CB26,Names!CC26)</f>
        <v>Others</v>
      </c>
      <c r="C23" s="401">
        <v>1320000</v>
      </c>
      <c r="D23" s="401">
        <v>1296722</v>
      </c>
      <c r="E23" s="401">
        <v>1390650</v>
      </c>
      <c r="F23" s="401">
        <v>1395355</v>
      </c>
      <c r="G23" s="401">
        <v>1428565</v>
      </c>
      <c r="H23" s="401">
        <v>1420935</v>
      </c>
      <c r="I23" s="401">
        <v>2297292</v>
      </c>
      <c r="J23" s="401">
        <v>1626920</v>
      </c>
      <c r="K23" s="401">
        <v>1657339</v>
      </c>
      <c r="L23" s="401">
        <v>1664077</v>
      </c>
      <c r="M23" s="401">
        <v>1749317</v>
      </c>
      <c r="N23" s="401">
        <v>1808526</v>
      </c>
      <c r="O23" s="401">
        <f t="shared" ref="O23:Q23" si="3">O18-SUM(O19:O22)</f>
        <v>1896701</v>
      </c>
      <c r="P23" s="401">
        <f t="shared" si="3"/>
        <v>1936379</v>
      </c>
      <c r="Q23" s="401">
        <f t="shared" si="3"/>
        <v>1994732</v>
      </c>
      <c r="R23" s="401">
        <f t="shared" ref="R23:W23" si="4">R18-SUM(R19:R22)</f>
        <v>2079822</v>
      </c>
      <c r="S23" s="668">
        <f t="shared" si="4"/>
        <v>2260582</v>
      </c>
      <c r="T23" s="668">
        <f t="shared" si="4"/>
        <v>2170972</v>
      </c>
      <c r="U23" s="668">
        <f t="shared" si="4"/>
        <v>2230801</v>
      </c>
      <c r="V23" s="668">
        <f t="shared" si="4"/>
        <v>2213574</v>
      </c>
      <c r="W23" s="668">
        <f t="shared" si="4"/>
        <v>2264797</v>
      </c>
      <c r="Y23" s="413">
        <f t="shared" si="1"/>
        <v>2.3140405516147267E-2</v>
      </c>
      <c r="Z23" s="413">
        <f t="shared" si="2"/>
        <v>1.8645640812853248E-3</v>
      </c>
      <c r="AB23" s="403"/>
    </row>
    <row r="24" spans="2:29" ht="13" customHeight="1">
      <c r="B24" s="155"/>
    </row>
    <row r="25" spans="2:29" ht="13" customHeight="1">
      <c r="B25" s="155"/>
    </row>
    <row r="26" spans="2:29" ht="13" customHeight="1">
      <c r="B26" s="155" t="str">
        <f>IF('Summary | Sumário'!D$6=Names!B$3,Names!CB29,Names!CC29)</f>
        <v>Note 1: Excluding transactions made outside the SPI</v>
      </c>
      <c r="T26" s="217"/>
      <c r="U26" s="217"/>
      <c r="V26" s="217"/>
      <c r="W26" s="217"/>
    </row>
    <row r="27" spans="2:29" ht="13" customHeight="1">
      <c r="B27" s="120" t="str">
        <f>IF('Summary | Sumário'!D$6=Names!B$3,Names!CB30,Names!CC30)</f>
        <v>Note 2: Including both debit and prepaid cards</v>
      </c>
    </row>
    <row r="33" spans="3:23" ht="13" customHeight="1">
      <c r="C33"/>
      <c r="D33"/>
      <c r="E33"/>
      <c r="F33"/>
      <c r="G33"/>
      <c r="H33"/>
      <c r="I33"/>
      <c r="J33"/>
      <c r="K33"/>
      <c r="L33"/>
      <c r="M33"/>
      <c r="N33"/>
      <c r="O33"/>
      <c r="P33"/>
      <c r="Q33"/>
      <c r="R33"/>
      <c r="S33"/>
      <c r="T33"/>
      <c r="U33"/>
      <c r="V33"/>
      <c r="W33"/>
    </row>
  </sheetData>
  <sheetProtection algorithmName="SHA-512" hashValue="FnNLUd5u/edio0zS6HO1vCGz5tRT9tmU57YlvSss3vPZrw4QrcVFtkxgFFRw3YTgsgIvs1Ny3X4YO/m+0jIKFw==" saltValue="y32Nvo9Xgl4clJkRThSqqg==" spinCount="100000" sheet="1" formatCells="0" formatColumns="0" formatRows="0" insertColumns="0" insertRows="0" insertHyperlinks="0" deleteColumns="0" deleteRows="0" sort="0" autoFilter="0" pivotTables="0"/>
  <hyperlinks>
    <hyperlink ref="AB5" r:id="rId1" display="https://www.bcb.gov.br/acessoinformacao/ccsestatisticas" xr:uid="{7F4CBBEA-AFE8-6D45-934C-93BBE883EBAE}"/>
    <hyperlink ref="AB6" r:id="rId2" display="https://www.bcb.gov.br/acessoinformacao/ccsestatisticas" xr:uid="{A536EC5D-0833-A747-A798-0DC1FDD495E3}"/>
    <hyperlink ref="AB9" r:id="rId3" display="https://www.bcb.gov.br/estabilidadefinanceira/estatisticaspix" xr:uid="{B5CAA6F5-5771-4E46-897A-5F7E3E1DC323}"/>
    <hyperlink ref="AB13" r:id="rId4" display="https://www.abecs.org.br/graficos/monitor-abecs-grafico" xr:uid="{93A15D28-D8DB-6A46-9A74-73E1E6281D14}"/>
  </hyperlinks>
  <pageMargins left="0.511811024" right="0.511811024" top="0.78740157499999996" bottom="0.78740157499999996" header="0.31496062000000002" footer="0.31496062000000002"/>
  <pageSetup paperSize="9" orientation="portrait" horizontalDpi="0" verticalDpi="0"/>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10FBE-BD91-484B-A196-2EBFD96B9D5E}">
  <sheetPr codeName="Sheet29">
    <tabColor theme="0" tint="-0.14999847407452621"/>
  </sheetPr>
  <dimension ref="A1:W66"/>
  <sheetViews>
    <sheetView showGridLines="0" topLeftCell="W1" zoomScale="125" zoomScaleNormal="100" workbookViewId="0">
      <selection sqref="A1:V1048576"/>
    </sheetView>
  </sheetViews>
  <sheetFormatPr baseColWidth="10" defaultColWidth="10.83203125" defaultRowHeight="15" customHeight="1"/>
  <cols>
    <col min="1" max="1" width="3.33203125" style="36" hidden="1" customWidth="1"/>
    <col min="2" max="2" width="2.1640625" style="36" hidden="1" customWidth="1"/>
    <col min="3" max="3" width="43.6640625" style="36" hidden="1" customWidth="1"/>
    <col min="4" max="4" width="16.83203125" style="36" hidden="1" customWidth="1"/>
    <col min="5" max="5" width="14" style="38" hidden="1" customWidth="1"/>
    <col min="6" max="6" width="2" style="38" hidden="1" customWidth="1"/>
    <col min="7" max="7" width="8.83203125" style="36" hidden="1" customWidth="1"/>
    <col min="8" max="8" width="2.83203125" style="36" hidden="1" customWidth="1"/>
    <col min="9" max="9" width="59.33203125" style="36" hidden="1" customWidth="1"/>
    <col min="10" max="14" width="9.83203125" style="36" hidden="1" customWidth="1"/>
    <col min="15" max="15" width="13.5" style="36" hidden="1" customWidth="1"/>
    <col min="16" max="16" width="2.5" style="36" hidden="1" customWidth="1"/>
    <col min="17" max="17" width="8.83203125" style="36" hidden="1" customWidth="1"/>
    <col min="18" max="18" width="10.83203125" style="36" hidden="1" customWidth="1"/>
    <col min="19" max="19" width="8.83203125" style="36" hidden="1" customWidth="1"/>
    <col min="20" max="20" width="10.83203125" style="36" hidden="1" customWidth="1"/>
    <col min="21" max="21" width="2.83203125" style="36" hidden="1" customWidth="1"/>
    <col min="22" max="22" width="0" style="36" hidden="1" customWidth="1"/>
    <col min="23" max="23" width="10.83203125" style="36"/>
    <col min="24" max="24" width="8.83203125" style="36" customWidth="1"/>
    <col min="25" max="25" width="10.83203125" style="36"/>
    <col min="26" max="26" width="8.83203125" style="36" customWidth="1"/>
    <col min="27" max="27" width="3.5" style="36" customWidth="1"/>
    <col min="28" max="16384" width="10.83203125" style="36"/>
  </cols>
  <sheetData>
    <row r="1" spans="2:23" ht="15" customHeight="1" thickBot="1"/>
    <row r="2" spans="2:23" ht="8" customHeight="1">
      <c r="B2" s="440"/>
      <c r="C2" s="441"/>
      <c r="D2" s="441"/>
      <c r="E2" s="442"/>
      <c r="F2" s="442"/>
      <c r="G2" s="441"/>
      <c r="H2" s="441"/>
      <c r="I2" s="441"/>
      <c r="J2" s="441"/>
      <c r="K2" s="441"/>
      <c r="L2" s="441"/>
      <c r="M2" s="441"/>
      <c r="N2" s="441"/>
      <c r="O2" s="441"/>
      <c r="P2" s="441"/>
      <c r="Q2" s="441"/>
      <c r="R2" s="441"/>
      <c r="S2" s="441"/>
      <c r="T2" s="441"/>
      <c r="U2" s="450"/>
    </row>
    <row r="3" spans="2:23" ht="15" customHeight="1">
      <c r="B3" s="451"/>
      <c r="C3" s="774" t="str">
        <f>IF('Summary | Sumário'!D6=Names!B3,Names!BZ1,Names!CA1)</f>
        <v>Managerial KPIs Effects in 2Q25 Financial Statements</v>
      </c>
      <c r="D3" s="774"/>
      <c r="E3" s="774"/>
      <c r="F3" s="774"/>
      <c r="G3" s="774"/>
      <c r="H3" s="774"/>
      <c r="I3" s="774"/>
      <c r="J3" s="774"/>
      <c r="K3" s="774"/>
      <c r="L3" s="774"/>
      <c r="M3" s="774"/>
      <c r="N3" s="774"/>
      <c r="O3" s="774"/>
      <c r="P3" s="774"/>
      <c r="Q3" s="774"/>
      <c r="R3" s="774"/>
      <c r="S3" s="774"/>
      <c r="T3" s="774"/>
      <c r="U3" s="452"/>
    </row>
    <row r="4" spans="2:23" ht="15" customHeight="1">
      <c r="B4" s="451"/>
      <c r="C4" s="774"/>
      <c r="D4" s="774"/>
      <c r="E4" s="774"/>
      <c r="F4" s="774"/>
      <c r="G4" s="774"/>
      <c r="H4" s="774"/>
      <c r="I4" s="774"/>
      <c r="J4" s="774"/>
      <c r="K4" s="774"/>
      <c r="L4" s="774"/>
      <c r="M4" s="774"/>
      <c r="N4" s="774"/>
      <c r="O4" s="774"/>
      <c r="P4" s="774"/>
      <c r="Q4" s="774"/>
      <c r="R4" s="774"/>
      <c r="S4" s="774"/>
      <c r="T4" s="774"/>
      <c r="U4" s="452"/>
    </row>
    <row r="5" spans="2:23" ht="77" customHeight="1">
      <c r="B5" s="451"/>
      <c r="C5" s="775" t="str">
        <f>IF('Summary | Sumário'!D6=Names!B3,Names!BZ2,Names!CA2)</f>
        <v>Instructions for Use:
1. Read the disclaimer bellow before using this sheet.
2. The simulation is pre-set with Q2'25 Key Performance Indicators (KPIs) in column D. You can modify the simulation by entering your desired KPI values in the green cells in Column D.
3. Once you input the new KPI values, the corresponding results will be updated in column O of the Income Statement, Balance Sheet, or both, depending on the specific KPI. The values that may alter are marked in orange.
4. Additionally, the KPI Output in column D will change dynamically based on your input, allowing you to observe the effects of different KPI values.</v>
      </c>
      <c r="D5" s="775"/>
      <c r="E5" s="775"/>
      <c r="F5" s="775"/>
      <c r="G5" s="775"/>
      <c r="H5" s="775"/>
      <c r="I5" s="775"/>
      <c r="J5" s="775"/>
      <c r="K5" s="775"/>
      <c r="L5" s="775"/>
      <c r="M5" s="775"/>
      <c r="N5" s="775"/>
      <c r="O5" s="775"/>
      <c r="P5" s="775"/>
      <c r="Q5" s="775"/>
      <c r="R5" s="775"/>
      <c r="S5" s="775"/>
      <c r="T5" s="775"/>
      <c r="U5" s="776"/>
    </row>
    <row r="6" spans="2:23" ht="8" customHeight="1" thickBot="1">
      <c r="B6" s="446"/>
      <c r="C6" s="453"/>
      <c r="D6" s="453"/>
      <c r="E6" s="453"/>
      <c r="F6" s="453"/>
      <c r="G6" s="453"/>
      <c r="H6" s="453"/>
      <c r="I6" s="453"/>
      <c r="J6" s="453"/>
      <c r="K6" s="453"/>
      <c r="L6" s="453"/>
      <c r="M6" s="453"/>
      <c r="N6" s="453"/>
      <c r="O6" s="447"/>
      <c r="P6" s="447"/>
      <c r="Q6" s="447"/>
      <c r="R6" s="447"/>
      <c r="S6" s="447"/>
      <c r="T6" s="447"/>
      <c r="U6" s="454"/>
    </row>
    <row r="7" spans="2:23" ht="15" customHeight="1" thickBot="1">
      <c r="C7" s="41"/>
      <c r="D7" s="41"/>
      <c r="E7" s="41"/>
      <c r="F7" s="41"/>
      <c r="G7" s="41"/>
      <c r="H7" s="41"/>
      <c r="I7" s="41"/>
      <c r="J7" s="41"/>
      <c r="K7" s="41"/>
      <c r="L7" s="41"/>
      <c r="M7" s="41"/>
      <c r="N7" s="41"/>
    </row>
    <row r="8" spans="2:23" ht="15" customHeight="1">
      <c r="B8" s="425"/>
      <c r="C8" s="426"/>
      <c r="D8" s="426"/>
      <c r="E8" s="426"/>
      <c r="F8" s="427"/>
      <c r="G8" s="42"/>
      <c r="H8" s="457"/>
      <c r="I8" s="426"/>
      <c r="J8" s="426"/>
      <c r="K8" s="426"/>
      <c r="L8" s="426"/>
      <c r="M8" s="426"/>
      <c r="N8" s="426"/>
      <c r="O8" s="458"/>
      <c r="P8" s="458"/>
      <c r="Q8" s="778" t="str">
        <f>IF('Summary | Sumário'!$D$6=Names!$B$3,Names!BZ53,Names!CA53)</f>
        <v>Variation %</v>
      </c>
      <c r="R8" s="778"/>
      <c r="S8" s="778"/>
      <c r="T8" s="778"/>
      <c r="U8" s="459"/>
    </row>
    <row r="9" spans="2:23" ht="15" customHeight="1">
      <c r="B9" s="428"/>
      <c r="C9" s="255" t="str">
        <f>IF('Summary | Sumário'!$D$6=Names!$B$3,Names!BZ3,Names!CA3)</f>
        <v>KPI Inputs</v>
      </c>
      <c r="D9" s="301" t="str">
        <f>IF('Summary | Sumário'!$D$6=Names!$B$3,Names!BZ18,Names!CA18)</f>
        <v>Input Values:</v>
      </c>
      <c r="E9" s="429" t="str">
        <f>IF('Summary | Sumário'!$D$6=Names!$B$3,Names!BZ19,Names!CA19)</f>
        <v>1Q25 Actual</v>
      </c>
      <c r="F9" s="430"/>
      <c r="H9" s="428"/>
      <c r="I9" s="255" t="str">
        <f>IF('Summary | Sumário'!$D$6=Names!$B$3,Names!BZ22,Names!CA22)</f>
        <v>Managerial Income Statement (R$ Millions)</v>
      </c>
      <c r="J9" s="429" t="str">
        <f>IF('Summary | Sumário'!D6=Names!B3,Names!C20,Names!D20)</f>
        <v>2Q24</v>
      </c>
      <c r="K9" s="429" t="str">
        <f>IF('Summary | Sumário'!D6=Names!B3,Names!C21,Names!D21)</f>
        <v>3Q24</v>
      </c>
      <c r="L9" s="429" t="str">
        <f>IF('Summary | Sumário'!D6=Names!B3,Names!C22,Names!D22)</f>
        <v>4Q24</v>
      </c>
      <c r="M9" s="429" t="str">
        <f>IF('Summary | Sumário'!D6=Names!B3,Names!C24,Names!D24)</f>
        <v>1Q25</v>
      </c>
      <c r="N9" s="429" t="str">
        <f>IF('Summary | Sumário'!D6=Names!B3,Names!C25,Names!D25)</f>
        <v>2Q25</v>
      </c>
      <c r="O9" s="302" t="str">
        <f>_xlfn.CONCAT(IF('Summary | Sumário'!D6=Names!B3,Names!C25,Names!D25),"S")</f>
        <v>2Q25S</v>
      </c>
      <c r="P9" s="460"/>
      <c r="Q9" s="89" t="str">
        <f>IF('Summary | Sumário'!$D$6=Names!$B$3,Names!BZ55,Names!CA55)</f>
        <v>Δ QoQS</v>
      </c>
      <c r="R9" s="89" t="str">
        <f>IF('Summary | Sumário'!$D$6=Names!$B$3,Names!BZ56,Names!CA56)</f>
        <v>Δ QoQ Actual</v>
      </c>
      <c r="S9" s="89" t="str">
        <f>IF('Summary | Sumário'!$D$6=Names!$B$3,Names!BZ57,Names!CA57)</f>
        <v>ΔYoYS</v>
      </c>
      <c r="T9" s="89" t="str">
        <f>IF('Summary | Sumário'!$D$6=Names!$B$3,Names!BZ58,Names!CA58)</f>
        <v>ΔYoY Actual</v>
      </c>
      <c r="U9" s="461"/>
    </row>
    <row r="10" spans="2:23" ht="15" customHeight="1">
      <c r="B10" s="428"/>
      <c r="C10" s="431" t="str">
        <f>IF('Summary | Sumário'!$D$6=Names!$B$3,Names!BZ4,Names!CA4)</f>
        <v>Income Statement</v>
      </c>
      <c r="D10" s="90"/>
      <c r="E10" s="90"/>
      <c r="F10" s="432"/>
      <c r="H10" s="428"/>
      <c r="I10" s="462" t="str">
        <f>IF('Summary | Sumário'!$D$6=Names!$B$3,Names!BZ23,Names!CA23)</f>
        <v>Interest income + income from securites and derivatives</v>
      </c>
      <c r="J10" s="463">
        <f>('3. IS | DRE'!X4+'3. IS | DRE'!X6)/1000</f>
        <v>1814.5083348038499</v>
      </c>
      <c r="K10" s="463">
        <f>('3. IS | DRE'!Y4+'3. IS | DRE'!Y6)/1000</f>
        <v>1999.9668495736332</v>
      </c>
      <c r="L10" s="463">
        <f>('3. IS | DRE'!Z4+'3. IS | DRE'!Z6)/1000</f>
        <v>2199.2400178025168</v>
      </c>
      <c r="M10" s="463">
        <f>('3. IS | DRE'!AA4+'3. IS | DRE'!AA6)/1000</f>
        <v>2541.6142999999997</v>
      </c>
      <c r="N10" s="463">
        <f>('3. IS | DRE'!AB4+'3. IS | DRE'!AB6)/1000</f>
        <v>2893.4650000000001</v>
      </c>
      <c r="O10" s="626">
        <f>O12-O11</f>
        <v>2895.424182880392</v>
      </c>
      <c r="P10" s="463"/>
      <c r="Q10" s="464">
        <f>O10/M10-1</f>
        <v>0.13920675646198255</v>
      </c>
      <c r="R10" s="464">
        <f>N10/M10-1</f>
        <v>0.13843591452880966</v>
      </c>
      <c r="S10" s="464">
        <f>O10/J10-1</f>
        <v>0.59570729290333624</v>
      </c>
      <c r="T10" s="464">
        <f>N10/J10-1</f>
        <v>0.59462756081127965</v>
      </c>
      <c r="U10" s="461"/>
    </row>
    <row r="11" spans="2:23" ht="15" customHeight="1">
      <c r="B11" s="428"/>
      <c r="C11" s="433" t="str">
        <f>IF('Summary | Sumário'!$D$6=Names!$B$3,Names!BZ5,Names!CA5)</f>
        <v>Cost of funding (%)</v>
      </c>
      <c r="D11" s="91">
        <f t="shared" ref="D11:D16" si="0">E11</f>
        <v>9.3900895924388036E-2</v>
      </c>
      <c r="E11" s="43">
        <f>'9.7 Cost of Funding'!AB10</f>
        <v>9.3900895924388036E-2</v>
      </c>
      <c r="F11" s="434"/>
      <c r="H11" s="428"/>
      <c r="I11" s="465" t="str">
        <f>IF('Summary | Sumário'!$D$6=Names!$B$3,Names!BZ24,Names!CA24)</f>
        <v>Interest expenses</v>
      </c>
      <c r="J11" s="630">
        <f>'3. IS | DRE'!X5/1000</f>
        <v>-772.64260900000011</v>
      </c>
      <c r="K11" s="630">
        <f>'3. IS | DRE'!Y5/1000</f>
        <v>-835.61671799999999</v>
      </c>
      <c r="L11" s="630">
        <f>'3. IS | DRE'!Z5/1000</f>
        <v>-941.13220175799984</v>
      </c>
      <c r="M11" s="630">
        <f>'3. IS | DRE'!AA5/1000</f>
        <v>-1179.02</v>
      </c>
      <c r="N11" s="630">
        <f>'3. IS | DRE'!AB5/1000</f>
        <v>-1423.9580000000001</v>
      </c>
      <c r="O11" s="626">
        <f>-(D11)*AVERAGE(O40,M40)/4*1000</f>
        <v>-1425.9171828803924</v>
      </c>
      <c r="P11" s="466"/>
      <c r="Q11" s="467">
        <f>O11/M11-1</f>
        <v>0.20940881654288512</v>
      </c>
      <c r="R11" s="467">
        <f>N11/M11-1</f>
        <v>0.20774711200827811</v>
      </c>
      <c r="S11" s="467">
        <f>O11/J11-1</f>
        <v>0.84550679223593295</v>
      </c>
      <c r="T11" s="467">
        <f>N11/J11-1</f>
        <v>0.84297110127406905</v>
      </c>
      <c r="U11" s="461"/>
    </row>
    <row r="12" spans="2:23" ht="15" customHeight="1">
      <c r="B12" s="428"/>
      <c r="C12" s="433" t="str">
        <f>IF('Summary | Sumário'!D$6=Names!B$3,Names!Q7,Names!R7)</f>
        <v>NIM 2.0 (%)</v>
      </c>
      <c r="D12" s="91">
        <f t="shared" si="0"/>
        <v>9.0695418380868989E-2</v>
      </c>
      <c r="E12" s="43">
        <f>'9.2 NIM &amp; Yields'!AB9</f>
        <v>9.0695418380868989E-2</v>
      </c>
      <c r="F12" s="434"/>
      <c r="H12" s="428"/>
      <c r="I12" s="34" t="str">
        <f>IF('Summary | Sumário'!$D$6=Names!$B$3,Names!BZ25,Names!CA25)</f>
        <v>Net interest income</v>
      </c>
      <c r="J12" s="624">
        <f>SUM(J10:J11)</f>
        <v>1041.8657258038497</v>
      </c>
      <c r="K12" s="624">
        <f>SUM(K10:K11)</f>
        <v>1164.3501315736332</v>
      </c>
      <c r="L12" s="624">
        <f>SUM(L10:L11)</f>
        <v>1258.107816044517</v>
      </c>
      <c r="M12" s="624">
        <f>SUM(M10:M11)</f>
        <v>1362.5942999999997</v>
      </c>
      <c r="N12" s="624">
        <f>SUM(N10:N11)</f>
        <v>1469.5070000000001</v>
      </c>
      <c r="O12" s="625">
        <f>(D12*AVERAGE(O34,M34)/4)*1000</f>
        <v>1469.5069999999996</v>
      </c>
      <c r="P12" s="31"/>
      <c r="Q12" s="92">
        <f>O12/M12-1</f>
        <v>7.8462606221088693E-2</v>
      </c>
      <c r="R12" s="92">
        <f>N12/M12-1</f>
        <v>7.8462606221088915E-2</v>
      </c>
      <c r="S12" s="92">
        <f>O12/J12-1</f>
        <v>0.41045718618510452</v>
      </c>
      <c r="T12" s="92">
        <f>N12/J12-1</f>
        <v>0.41045718618510496</v>
      </c>
      <c r="U12" s="461"/>
    </row>
    <row r="13" spans="2:23" ht="15" customHeight="1">
      <c r="B13" s="428"/>
      <c r="C13" s="433" t="str">
        <f>IF('Summary | Sumário'!$D$6=Names!$B$3,Names!BZ7,Names!CA7)</f>
        <v>Net fee income growth (%, QoQ)</v>
      </c>
      <c r="D13" s="91">
        <f t="shared" si="0"/>
        <v>0.1228277878178512</v>
      </c>
      <c r="E13" s="43">
        <f>N14/M14-1</f>
        <v>0.1228277878178512</v>
      </c>
      <c r="F13" s="434"/>
      <c r="H13" s="428"/>
      <c r="I13" s="465"/>
      <c r="J13" s="466"/>
      <c r="K13" s="466"/>
      <c r="L13" s="466"/>
      <c r="M13" s="466"/>
      <c r="O13" s="626"/>
      <c r="P13" s="468"/>
      <c r="Q13" s="469"/>
      <c r="R13" s="469"/>
      <c r="S13" s="469"/>
      <c r="T13" s="469"/>
      <c r="U13" s="461"/>
    </row>
    <row r="14" spans="2:23" ht="15" customHeight="1">
      <c r="B14" s="428"/>
      <c r="C14" s="433" t="str">
        <f>IF('Summary | Sumário'!$D$6=Names!$B$3,Names!BZ8,Names!CA8)</f>
        <v>Cost of risk (%)</v>
      </c>
      <c r="D14" s="91">
        <f t="shared" si="0"/>
        <v>4.9775789895540309E-2</v>
      </c>
      <c r="E14" s="43">
        <f>'9.1 Asset Quality'!AB43</f>
        <v>4.9775789895540309E-2</v>
      </c>
      <c r="F14" s="434"/>
      <c r="H14" s="428"/>
      <c r="I14" s="462" t="str">
        <f>IF('Summary | Sumário'!$D$6=Names!$B$3,Names!BZ27,Names!CA27)</f>
        <v>Net fee revenue + other revenues</v>
      </c>
      <c r="J14" s="463">
        <f>('3. IS | DRE'!X9+'3. IS | DRE'!X10+'3. IS | DRE'!X11)/1000</f>
        <v>436.73208523867993</v>
      </c>
      <c r="K14" s="463">
        <f>('3. IS | DRE'!Y9+'3. IS | DRE'!Y10+'3. IS | DRE'!Y11)/1000</f>
        <v>511.79311297993877</v>
      </c>
      <c r="L14" s="463">
        <f>('3. IS | DRE'!Z9+'3. IS | DRE'!Z10+'3. IS | DRE'!Z11)/1000</f>
        <v>586.37721019924902</v>
      </c>
      <c r="M14" s="463">
        <f>('3. IS | DRE'!AA9+'3. IS | DRE'!AA10+'3. IS | DRE'!AA11)/1000</f>
        <v>475.20680000000004</v>
      </c>
      <c r="N14" s="463">
        <f>('3. IS | DRE'!AB9+'3. IS | DRE'!AB10+'3. IS | DRE'!AB11)/1000</f>
        <v>533.57540000000006</v>
      </c>
      <c r="O14" s="626">
        <f>M14*(1+D13)</f>
        <v>533.57540000000006</v>
      </c>
      <c r="P14" s="470"/>
      <c r="Q14" s="471">
        <f t="shared" ref="Q14:Q15" si="1">O14/M14-1</f>
        <v>0.1228277878178512</v>
      </c>
      <c r="R14" s="471">
        <f t="shared" ref="R14:R15" si="2">N14/M14-1</f>
        <v>0.1228277878178512</v>
      </c>
      <c r="S14" s="471">
        <f t="shared" ref="S14:S15" si="3">O14/J14-1</f>
        <v>0.22174536296868119</v>
      </c>
      <c r="T14" s="471">
        <f t="shared" ref="T14:T15" si="4">N14/J14-1</f>
        <v>0.22174536296868119</v>
      </c>
      <c r="U14" s="461"/>
    </row>
    <row r="15" spans="2:23" ht="15" customHeight="1">
      <c r="B15" s="428"/>
      <c r="C15" s="433" t="str">
        <f>IF('Summary | Sumário'!$D$6=Names!$B$3,Names!BZ9,Names!CA9)</f>
        <v>Efficiency ratio (%)</v>
      </c>
      <c r="D15" s="91">
        <f t="shared" si="0"/>
        <v>0.47827415443673621</v>
      </c>
      <c r="E15" s="43">
        <f>'9.4 Efficiency | Eficiência'!AB26</f>
        <v>0.47827415443673621</v>
      </c>
      <c r="F15" s="434"/>
      <c r="H15" s="428"/>
      <c r="I15" s="35" t="str">
        <f>IF('Summary | Sumário'!$D$6=Names!$B$3,Names!BZ28,Names!CA28)</f>
        <v>Revenues</v>
      </c>
      <c r="J15" s="627">
        <f>J12+SUM(J14)</f>
        <v>1478.5978110425297</v>
      </c>
      <c r="K15" s="627">
        <f>K12+SUM(K14)</f>
        <v>1676.143244553572</v>
      </c>
      <c r="L15" s="627">
        <f>L12+SUM(L14)</f>
        <v>1844.485026243766</v>
      </c>
      <c r="M15" s="627">
        <f>M12+SUM(M14)</f>
        <v>1837.8010999999997</v>
      </c>
      <c r="N15" s="627">
        <f>N12+SUM(N14)</f>
        <v>2003.0824000000002</v>
      </c>
      <c r="O15" s="625">
        <f>SUM(O12,O14)</f>
        <v>2003.0823999999998</v>
      </c>
      <c r="P15" s="33"/>
      <c r="Q15" s="93">
        <f t="shared" si="1"/>
        <v>8.9934269818426005E-2</v>
      </c>
      <c r="R15" s="93">
        <f t="shared" si="2"/>
        <v>8.9934269818426227E-2</v>
      </c>
      <c r="S15" s="93">
        <f t="shared" si="3"/>
        <v>0.35471754728736316</v>
      </c>
      <c r="T15" s="93">
        <f t="shared" si="4"/>
        <v>0.35471754728736338</v>
      </c>
      <c r="U15" s="461"/>
      <c r="W15" s="83"/>
    </row>
    <row r="16" spans="2:23" ht="15" customHeight="1">
      <c r="B16" s="428"/>
      <c r="C16" s="433" t="str">
        <f>IF('Summary | Sumário'!$D$6=Names!$B$3,Names!BZ10,Names!CA10)</f>
        <v>Tax expenses as % of total revenues</v>
      </c>
      <c r="D16" s="91">
        <f t="shared" si="0"/>
        <v>8.8303706327807582E-2</v>
      </c>
      <c r="E16" s="43">
        <f>-N21/N15</f>
        <v>8.8303706327807582E-2</v>
      </c>
      <c r="F16" s="434"/>
      <c r="H16" s="428"/>
      <c r="I16" s="462"/>
      <c r="J16" s="463"/>
      <c r="K16" s="463"/>
      <c r="L16" s="463"/>
      <c r="M16" s="463"/>
      <c r="N16" s="463"/>
      <c r="O16" s="626"/>
      <c r="P16" s="470"/>
      <c r="Q16" s="471"/>
      <c r="R16" s="471"/>
      <c r="S16" s="471"/>
      <c r="T16" s="471"/>
      <c r="U16" s="461"/>
    </row>
    <row r="17" spans="2:21" ht="15" customHeight="1">
      <c r="B17" s="428"/>
      <c r="C17" s="431" t="str">
        <f>IF('Summary | Sumário'!$D$6=Names!$B$3,Names!BZ11,Names!CA11)</f>
        <v>Balance Sheet</v>
      </c>
      <c r="D17" s="90"/>
      <c r="E17" s="94"/>
      <c r="F17" s="432"/>
      <c r="H17" s="428"/>
      <c r="I17" s="465" t="str">
        <f>IF('Summary | Sumário'!$D$6=Names!$B$3,Names!BZ30,Names!CA30)</f>
        <v>Impairment losses on financial assets</v>
      </c>
      <c r="J17" s="466">
        <f>'3. IS | DRE'!X14/1000</f>
        <v>-421.24766099999999</v>
      </c>
      <c r="K17" s="466">
        <f>'3. IS | DRE'!Y14/1000</f>
        <v>-471.42665</v>
      </c>
      <c r="L17" s="466">
        <f>'3. IS | DRE'!Z14/1000</f>
        <v>-495.73002499999967</v>
      </c>
      <c r="M17" s="466">
        <f>'3. IS | DRE'!AA14/1000</f>
        <v>-513.68140000000005</v>
      </c>
      <c r="N17" s="466">
        <f>'3. IS | DRE'!AB14/1000</f>
        <v>-569.24900000000002</v>
      </c>
      <c r="O17" s="626">
        <f>-(D14*AVERAGE(O35,M35)/4)*1000</f>
        <v>-569.24900000000002</v>
      </c>
      <c r="P17" s="468"/>
      <c r="Q17" s="469">
        <f t="shared" ref="Q17:Q18" si="5">O17/M17-1</f>
        <v>0.10817522300787985</v>
      </c>
      <c r="R17" s="469">
        <f t="shared" ref="R17:R18" si="6">N17/M17-1</f>
        <v>0.10817522300787985</v>
      </c>
      <c r="S17" s="469">
        <f t="shared" ref="S17:S18" si="7">O17/J17-1</f>
        <v>0.35134044103333317</v>
      </c>
      <c r="T17" s="469">
        <f t="shared" ref="T17:T18" si="8">N17/J17-1</f>
        <v>0.35134044103333317</v>
      </c>
      <c r="U17" s="461"/>
    </row>
    <row r="18" spans="2:21" ht="15" customHeight="1">
      <c r="B18" s="428"/>
      <c r="C18" s="433" t="str">
        <f>IF('Summary | Sumário'!$D$6=Names!$B$3,Names!BZ12,Names!CA12)</f>
        <v>IEP growth (%, QoQ)</v>
      </c>
      <c r="D18" s="435">
        <f>E18</f>
        <v>5.6446335960781857E-2</v>
      </c>
      <c r="E18" s="43">
        <f>N34/M34-1</f>
        <v>5.6446335960781857E-2</v>
      </c>
      <c r="F18" s="434"/>
      <c r="H18" s="428"/>
      <c r="I18" s="34" t="str">
        <f>IF('Summary | Sumário'!$D$6=Names!$B$3,Names!BZ31,Names!CA31)</f>
        <v>Net result of losses</v>
      </c>
      <c r="J18" s="624">
        <f t="shared" ref="J18:O18" si="9">J15+J17</f>
        <v>1057.3501500425295</v>
      </c>
      <c r="K18" s="624">
        <f t="shared" si="9"/>
        <v>1204.7165945535721</v>
      </c>
      <c r="L18" s="624">
        <f t="shared" si="9"/>
        <v>1348.7550012437664</v>
      </c>
      <c r="M18" s="624">
        <f t="shared" si="9"/>
        <v>1324.1196999999997</v>
      </c>
      <c r="N18" s="624">
        <f t="shared" si="9"/>
        <v>1433.8334000000002</v>
      </c>
      <c r="O18" s="625">
        <f t="shared" si="9"/>
        <v>1433.8333999999998</v>
      </c>
      <c r="P18" s="31"/>
      <c r="Q18" s="92">
        <f t="shared" si="5"/>
        <v>8.2857841326581028E-2</v>
      </c>
      <c r="R18" s="92">
        <f t="shared" si="6"/>
        <v>8.285784132658125E-2</v>
      </c>
      <c r="S18" s="92">
        <f t="shared" si="7"/>
        <v>0.3560629843787575</v>
      </c>
      <c r="T18" s="92">
        <f t="shared" si="8"/>
        <v>0.35606298437875794</v>
      </c>
      <c r="U18" s="461"/>
    </row>
    <row r="19" spans="2:21" ht="15" customHeight="1">
      <c r="B19" s="428"/>
      <c r="C19" s="433" t="str">
        <f>IF('Summary | Sumário'!$D$6=Names!$B$3,Names!BZ13,Names!CA13)</f>
        <v>Funding growth (%, QoQ)</v>
      </c>
      <c r="D19" s="435">
        <f t="shared" ref="D19" si="10">E19</f>
        <v>5.3620818108671253E-2</v>
      </c>
      <c r="E19" s="43">
        <f>N40/M40-1</f>
        <v>5.3620818108671253E-2</v>
      </c>
      <c r="F19" s="434"/>
      <c r="H19" s="428"/>
      <c r="I19" s="465"/>
      <c r="J19" s="466"/>
      <c r="K19" s="466"/>
      <c r="L19" s="466"/>
      <c r="M19" s="466"/>
      <c r="O19" s="626"/>
      <c r="P19" s="468"/>
      <c r="Q19" s="469"/>
      <c r="R19" s="469"/>
      <c r="S19" s="469"/>
      <c r="T19" s="469"/>
      <c r="U19" s="461"/>
    </row>
    <row r="20" spans="2:21" ht="15" customHeight="1" thickBot="1">
      <c r="B20" s="436"/>
      <c r="C20" s="437"/>
      <c r="D20" s="437"/>
      <c r="E20" s="438"/>
      <c r="F20" s="439"/>
      <c r="H20" s="428"/>
      <c r="I20" s="462" t="str">
        <f>IF('Summary | Sumário'!$D$6=Names!$B$3,Names!BZ33,Names!CA33)</f>
        <v>Operational expenses</v>
      </c>
      <c r="J20" s="463">
        <f>('3. IS | DRE'!X18+'3. IS | DRE'!X19+'3. IS | DRE'!X21)/1000</f>
        <v>-660.06869852</v>
      </c>
      <c r="K20" s="463">
        <f>('3. IS | DRE'!Y18+'3. IS | DRE'!Y19+'3. IS | DRE'!Y21)/1000</f>
        <v>-787.12960448000001</v>
      </c>
      <c r="L20" s="463">
        <f>('3. IS | DRE'!Z18+'3. IS | DRE'!Z19+'3. IS | DRE'!Z21)/1000</f>
        <v>-840.84038400000009</v>
      </c>
      <c r="M20" s="463">
        <f>('3. IS | DRE'!AA18+'3. IS | DRE'!AA19+'3. IS | DRE'!AA21)/1000</f>
        <v>-830.51780000000008</v>
      </c>
      <c r="N20" s="463">
        <f>('3. IS | DRE'!AB18+'3. IS | DRE'!AB19+'3. IS | DRE'!AB21)/1000</f>
        <v>-873.42560000000003</v>
      </c>
      <c r="O20" s="626">
        <f>-D15*SUM(O12,O14,O21)</f>
        <v>-873.42560000000003</v>
      </c>
      <c r="P20" s="470"/>
      <c r="Q20" s="471">
        <f t="shared" ref="Q20:Q21" si="11">O20/M20-1</f>
        <v>5.1663913765604974E-2</v>
      </c>
      <c r="R20" s="471">
        <f t="shared" ref="R20:R21" si="12">N20/M20-1</f>
        <v>5.1663913765604974E-2</v>
      </c>
      <c r="S20" s="471">
        <f t="shared" ref="S20:S21" si="13">O20/J20-1</f>
        <v>0.32323438750903799</v>
      </c>
      <c r="T20" s="471">
        <f t="shared" ref="T20:T21" si="14">N20/J20-1</f>
        <v>0.32323438750903799</v>
      </c>
      <c r="U20" s="461"/>
    </row>
    <row r="21" spans="2:21" ht="15" customHeight="1">
      <c r="H21" s="428"/>
      <c r="I21" s="465" t="str">
        <f>IF('Summary | Sumário'!$D$6=Names!$B$3,Names!BZ34,Names!CA34)</f>
        <v>Tax expenses</v>
      </c>
      <c r="J21" s="466">
        <f>('3. IS | DRE'!X20)/1000</f>
        <v>-99.417271</v>
      </c>
      <c r="K21" s="466">
        <f>('3. IS | DRE'!Y20)/1000</f>
        <v>-123.632909</v>
      </c>
      <c r="L21" s="466">
        <f>('3. IS | DRE'!Z20)/1000</f>
        <v>-167.65621600000003</v>
      </c>
      <c r="M21" s="466">
        <f>('3. IS | DRE'!AA20)/1000</f>
        <v>-136.05500000000001</v>
      </c>
      <c r="N21" s="466">
        <f>('3. IS | DRE'!AB20)/1000</f>
        <v>-176.87960000000001</v>
      </c>
      <c r="O21" s="626">
        <f>-D16*O15</f>
        <v>-176.87959999999998</v>
      </c>
      <c r="P21" s="468"/>
      <c r="Q21" s="469">
        <f t="shared" si="11"/>
        <v>0.30005953474697722</v>
      </c>
      <c r="R21" s="469">
        <f t="shared" si="12"/>
        <v>0.30005953474697744</v>
      </c>
      <c r="S21" s="469">
        <f t="shared" si="13"/>
        <v>0.77916370285400394</v>
      </c>
      <c r="T21" s="469">
        <f t="shared" si="14"/>
        <v>0.77916370285400416</v>
      </c>
      <c r="U21" s="461"/>
    </row>
    <row r="22" spans="2:21" ht="15" customHeight="1" thickBot="1">
      <c r="H22" s="428"/>
      <c r="I22" s="462" t="str">
        <f>IF('Summary | Sumário'!$D$6=Names!$B$3,Names!BZ35,Names!CA35)</f>
        <v>Other expenses</v>
      </c>
      <c r="J22" s="463">
        <f>'3. IS | DRE'!X22/1000</f>
        <v>-0.25702199999999997</v>
      </c>
      <c r="K22" s="463">
        <f>'3. IS | DRE'!Y22/1000</f>
        <v>0</v>
      </c>
      <c r="L22" s="463">
        <f>'3. IS | DRE'!Z22/1000</f>
        <v>0</v>
      </c>
      <c r="M22" s="463">
        <f>'3. IS | DRE'!AA22/1000</f>
        <v>0</v>
      </c>
      <c r="N22" s="463">
        <f>'3. IS | DRE'!AB22/1000</f>
        <v>0</v>
      </c>
      <c r="O22" s="626">
        <f>IF(D12=0,0,M22)</f>
        <v>0</v>
      </c>
      <c r="P22" s="470"/>
      <c r="Q22" s="532" t="str">
        <f>IFERROR(O22/M22-1,"n.m")</f>
        <v>n.m</v>
      </c>
      <c r="R22" s="532" t="str">
        <f>IFERROR(N22/M22-1,"n.m.")</f>
        <v>n.m.</v>
      </c>
      <c r="S22" s="471">
        <f t="shared" ref="S22:S23" si="15">O22/J22-1</f>
        <v>-1</v>
      </c>
      <c r="T22" s="471">
        <f t="shared" ref="T22:T23" si="16">N22/J22-1</f>
        <v>-1</v>
      </c>
      <c r="U22" s="461"/>
    </row>
    <row r="23" spans="2:21" ht="15" customHeight="1">
      <c r="B23" s="440"/>
      <c r="C23" s="441"/>
      <c r="D23" s="441"/>
      <c r="E23" s="442"/>
      <c r="F23" s="443"/>
      <c r="H23" s="428"/>
      <c r="I23" s="35" t="str">
        <f>IF('Summary | Sumário'!$D$6=Names!$B$3,Names!BZ36,Names!CA36)</f>
        <v>Profit / (loss) before income tax</v>
      </c>
      <c r="J23" s="627">
        <f>J18+SUM(J20:J22)</f>
        <v>297.60715852252952</v>
      </c>
      <c r="K23" s="627">
        <f>K18+SUM(K20:K22)</f>
        <v>293.95408107357207</v>
      </c>
      <c r="L23" s="627">
        <f>L18+SUM(L20:L22)</f>
        <v>340.25840124376623</v>
      </c>
      <c r="M23" s="627">
        <f>M18+SUM(M20:M22)</f>
        <v>357.5468999999996</v>
      </c>
      <c r="N23" s="627">
        <f>N18+SUM(N20:N22)</f>
        <v>383.5282000000002</v>
      </c>
      <c r="O23" s="625">
        <f t="shared" ref="O23" si="17">O18+SUM(O20:O22)</f>
        <v>383.52819999999974</v>
      </c>
      <c r="P23" s="33"/>
      <c r="Q23" s="93">
        <f t="shared" ref="Q23" si="18">O23/M23-1</f>
        <v>7.2665432143308228E-2</v>
      </c>
      <c r="R23" s="93">
        <f t="shared" ref="R23" si="19">N23/M23-1</f>
        <v>7.2665432143309339E-2</v>
      </c>
      <c r="S23" s="93">
        <f t="shared" si="15"/>
        <v>0.28870623241734217</v>
      </c>
      <c r="T23" s="93">
        <f t="shared" si="16"/>
        <v>0.28870623241734372</v>
      </c>
      <c r="U23" s="461"/>
    </row>
    <row r="24" spans="2:21" ht="15" customHeight="1">
      <c r="B24" s="428"/>
      <c r="C24" s="255" t="str">
        <f>IF('Summary | Sumário'!$D$6=Names!$B$3,Names!BZ14,Names!CA14)</f>
        <v>KPI Outputs</v>
      </c>
      <c r="D24" s="455" t="str">
        <f>IF('Summary | Sumário'!$D$6=Names!$B$3,Names!BZ20,Names!CA20)</f>
        <v>Output</v>
      </c>
      <c r="E24" s="429" t="str">
        <f>IF('Summary | Sumário'!$D$6=Names!$B$3,Names!BZ21,Names!CA21)</f>
        <v>1Q25 Actual</v>
      </c>
      <c r="F24" s="444"/>
      <c r="H24" s="428"/>
      <c r="I24" s="472"/>
      <c r="J24" s="628"/>
      <c r="K24" s="628"/>
      <c r="L24" s="628"/>
      <c r="M24" s="628"/>
      <c r="N24" s="628"/>
      <c r="O24" s="629"/>
      <c r="P24" s="27"/>
      <c r="Q24" s="95"/>
      <c r="R24" s="95"/>
      <c r="S24" s="95"/>
      <c r="T24" s="95"/>
      <c r="U24" s="461"/>
    </row>
    <row r="25" spans="2:21" ht="15" customHeight="1">
      <c r="B25" s="428"/>
      <c r="C25" s="456" t="str">
        <f>IF('Summary | Sumário'!$D$6=Names!$B$3,Names!BZ15,Names!CA15)</f>
        <v>ROEA (%)</v>
      </c>
      <c r="D25" s="44">
        <f>O26*4/(AVERAGE(O42,L42)*1000)</f>
        <v>0.14672881884784372</v>
      </c>
      <c r="E25" s="29">
        <f>N26*4/(AVERAGE(N42,M42)*1000)</f>
        <v>0.14441516895949844</v>
      </c>
      <c r="F25" s="445"/>
      <c r="H25" s="428"/>
      <c r="I25" s="465" t="str">
        <f>IF('Summary | Sumário'!$D$6=Names!$B$3,Names!BZ38,Names!CA38)</f>
        <v>Income tax and social contribution</v>
      </c>
      <c r="J25" s="466">
        <f>'3. IS | DRE'!X25/1000</f>
        <v>-74.943733999999992</v>
      </c>
      <c r="K25" s="466">
        <f>'3. IS | DRE'!Y25/1000</f>
        <v>-33.942</v>
      </c>
      <c r="L25" s="466">
        <f>'3. IS | DRE'!Z25/1000</f>
        <v>-45.31105187989899</v>
      </c>
      <c r="M25" s="466">
        <f>'3. IS | DRE'!AA25/1000</f>
        <v>-50.759</v>
      </c>
      <c r="N25" s="466">
        <f>'3. IS | DRE'!AB25/1000</f>
        <v>-51.360999999999997</v>
      </c>
      <c r="O25" s="626">
        <f>IF(O23&lt;=N23,N25,N25+((N23-O23)*0.38))</f>
        <v>-51.360999999999997</v>
      </c>
      <c r="P25" s="468"/>
      <c r="Q25" s="469">
        <f t="shared" ref="Q25:Q26" si="20">O25/M25-1</f>
        <v>1.1859965720364851E-2</v>
      </c>
      <c r="R25" s="469">
        <f t="shared" ref="R25:R26" si="21">N25/M25-1</f>
        <v>1.1859965720364851E-2</v>
      </c>
      <c r="S25" s="469">
        <f t="shared" ref="S25:S26" si="22">O25/J25-1</f>
        <v>-0.31467252485711472</v>
      </c>
      <c r="T25" s="469">
        <f t="shared" ref="T25:T26" si="23">N25/J25-1</f>
        <v>-0.31467252485711472</v>
      </c>
      <c r="U25" s="461"/>
    </row>
    <row r="26" spans="2:21" ht="15" customHeight="1">
      <c r="B26" s="428"/>
      <c r="C26" s="456" t="str">
        <f>IF('Summary | Sumário'!$D$6=Names!$B$3,Names!BZ16,Names!CA16)</f>
        <v>ROAA (%)</v>
      </c>
      <c r="D26" s="44">
        <f>(O26*4)/(AVERAGE(L37,O37)*1000)</f>
        <v>1.6485609250685426E-2</v>
      </c>
      <c r="E26" s="29">
        <f>(N26*4)/(AVERAGE(N37,M37)*1000)</f>
        <v>1.607667569808573E-2</v>
      </c>
      <c r="F26" s="445"/>
      <c r="H26" s="428"/>
      <c r="I26" s="34" t="str">
        <f>IF('Summary | Sumário'!$D$6=Names!$B$3,Names!BZ39,Names!CA39)</f>
        <v>Profit / (loss) for the period</v>
      </c>
      <c r="J26" s="624">
        <f t="shared" ref="J26:O26" si="24">J23+J25</f>
        <v>222.66342452252951</v>
      </c>
      <c r="K26" s="624">
        <f t="shared" si="24"/>
        <v>260.01208107357206</v>
      </c>
      <c r="L26" s="624">
        <f t="shared" si="24"/>
        <v>294.94734936386726</v>
      </c>
      <c r="M26" s="624">
        <f t="shared" si="24"/>
        <v>306.78789999999958</v>
      </c>
      <c r="N26" s="624">
        <f t="shared" si="24"/>
        <v>332.16720000000021</v>
      </c>
      <c r="O26" s="625">
        <f t="shared" si="24"/>
        <v>332.16719999999975</v>
      </c>
      <c r="P26" s="31"/>
      <c r="Q26" s="92">
        <f t="shared" si="20"/>
        <v>8.2725883256804522E-2</v>
      </c>
      <c r="R26" s="92">
        <f t="shared" si="21"/>
        <v>8.2725883256805854E-2</v>
      </c>
      <c r="S26" s="92">
        <f t="shared" si="22"/>
        <v>0.49179058353335647</v>
      </c>
      <c r="T26" s="92">
        <f t="shared" si="23"/>
        <v>0.49179058353335847</v>
      </c>
      <c r="U26" s="461"/>
    </row>
    <row r="27" spans="2:21" ht="15" customHeight="1" thickBot="1">
      <c r="B27" s="428"/>
      <c r="C27" s="456" t="str">
        <f>IF('Summary | Sumário'!$D$6=Names!$B$3,Names!BZ17,Names!CA17)</f>
        <v>Fee income ratio (%)</v>
      </c>
      <c r="D27" s="44">
        <f>O14/O15</f>
        <v>0.26637715952174512</v>
      </c>
      <c r="E27" s="29">
        <f>N14/N15</f>
        <v>0.26637715952174507</v>
      </c>
      <c r="F27" s="445"/>
      <c r="H27" s="436"/>
      <c r="I27" s="473"/>
      <c r="J27" s="473"/>
      <c r="K27" s="473"/>
      <c r="L27" s="473"/>
      <c r="M27" s="473"/>
      <c r="N27" s="473"/>
      <c r="O27" s="474"/>
      <c r="P27" s="447"/>
      <c r="Q27" s="447"/>
      <c r="R27" s="447"/>
      <c r="S27" s="473"/>
      <c r="T27" s="473"/>
      <c r="U27" s="475"/>
    </row>
    <row r="28" spans="2:21" ht="15" customHeight="1" thickBot="1">
      <c r="B28" s="446"/>
      <c r="C28" s="447"/>
      <c r="D28" s="447"/>
      <c r="E28" s="448"/>
      <c r="F28" s="449"/>
      <c r="I28" s="32"/>
      <c r="J28" s="32"/>
      <c r="K28" s="32"/>
      <c r="L28" s="32"/>
      <c r="M28" s="32"/>
      <c r="O28" s="37"/>
      <c r="S28" s="32"/>
      <c r="T28" s="32"/>
    </row>
    <row r="29" spans="2:21" ht="15" customHeight="1">
      <c r="I29" s="32"/>
      <c r="J29" s="32"/>
      <c r="K29" s="32"/>
      <c r="L29" s="32"/>
      <c r="M29" s="32"/>
      <c r="O29" s="37"/>
      <c r="S29" s="32"/>
      <c r="T29" s="32"/>
    </row>
    <row r="30" spans="2:21" ht="15" customHeight="1" thickBot="1">
      <c r="I30" s="32"/>
      <c r="J30" s="32"/>
      <c r="K30" s="32"/>
      <c r="L30" s="32"/>
      <c r="M30" s="32"/>
      <c r="O30" s="37"/>
      <c r="S30" s="32"/>
      <c r="T30" s="32"/>
    </row>
    <row r="31" spans="2:21" ht="15" customHeight="1">
      <c r="H31" s="425"/>
      <c r="I31" s="476"/>
      <c r="J31" s="426"/>
      <c r="K31" s="426"/>
      <c r="L31" s="426"/>
      <c r="M31" s="426"/>
      <c r="N31" s="426"/>
      <c r="O31" s="477"/>
      <c r="P31" s="458"/>
      <c r="Q31" s="778" t="str">
        <f>Q8</f>
        <v>Variation %</v>
      </c>
      <c r="R31" s="778"/>
      <c r="S31" s="778"/>
      <c r="T31" s="778"/>
      <c r="U31" s="459"/>
    </row>
    <row r="32" spans="2:21" ht="15" customHeight="1">
      <c r="H32" s="428"/>
      <c r="I32" s="255" t="str">
        <f>IF('Summary | Sumário'!$D$6=Names!$B$3,Names!BZ41,Names!CA41)</f>
        <v>Managerial Balance Sheet (R$ Billions)</v>
      </c>
      <c r="J32" s="429" t="str">
        <f>J9</f>
        <v>2Q24</v>
      </c>
      <c r="K32" s="429" t="str">
        <f>K9</f>
        <v>3Q24</v>
      </c>
      <c r="L32" s="429" t="str">
        <f>L9</f>
        <v>4Q24</v>
      </c>
      <c r="M32" s="429" t="str">
        <f>M9</f>
        <v>1Q25</v>
      </c>
      <c r="N32" s="429" t="str">
        <f>N9</f>
        <v>2Q25</v>
      </c>
      <c r="O32" s="302" t="str">
        <f t="shared" ref="O32" si="25">O9</f>
        <v>2Q25S</v>
      </c>
      <c r="P32" s="460"/>
      <c r="Q32" s="89" t="str">
        <f>Q9</f>
        <v>Δ QoQS</v>
      </c>
      <c r="R32" s="89" t="str">
        <f>R9</f>
        <v>Δ QoQ Actual</v>
      </c>
      <c r="S32" s="89" t="str">
        <f>S9</f>
        <v>ΔYoYS</v>
      </c>
      <c r="T32" s="89" t="str">
        <f>T9</f>
        <v>ΔYoY Actual</v>
      </c>
      <c r="U32" s="461"/>
    </row>
    <row r="33" spans="2:21" ht="15" customHeight="1">
      <c r="H33" s="428"/>
      <c r="I33" s="478" t="str">
        <f>IF('Summary | Sumário'!$D$6=Names!$B$3,Names!BZ42,Names!CA42)</f>
        <v>Assets</v>
      </c>
      <c r="J33" s="433"/>
      <c r="K33" s="433"/>
      <c r="L33" s="433"/>
      <c r="M33" s="433"/>
      <c r="N33" s="433"/>
      <c r="O33" s="479"/>
      <c r="P33" s="433"/>
      <c r="Q33" s="464"/>
      <c r="R33" s="464"/>
      <c r="S33" s="464"/>
      <c r="T33" s="464"/>
      <c r="U33" s="461"/>
    </row>
    <row r="34" spans="2:21" ht="15" customHeight="1">
      <c r="H34" s="428"/>
      <c r="I34" s="480" t="str">
        <f>IF('Summary | Sumário'!$D$6=Names!$B$3,Names!BZ43,Names!CA43)</f>
        <v>Interest earning portfolio (IEP)</v>
      </c>
      <c r="J34" s="86">
        <f>'5. IEP'!X23/1000000</f>
        <v>52.472376744180004</v>
      </c>
      <c r="K34" s="86">
        <f>'5. IEP'!Y23/1000000</f>
        <v>54.893344456663563</v>
      </c>
      <c r="L34" s="86">
        <f>'5. IEP'!Z23/1000000</f>
        <v>60.232269321271602</v>
      </c>
      <c r="M34" s="86">
        <f>'5. IEP'!AA23/1000000</f>
        <v>63.031684951030002</v>
      </c>
      <c r="N34" s="86">
        <f>'5. IEP'!AB23/1000000</f>
        <v>66.589592615949996</v>
      </c>
      <c r="O34" s="84">
        <f>M34*(1+D18)</f>
        <v>66.589592615949996</v>
      </c>
      <c r="P34" s="86"/>
      <c r="Q34" s="96">
        <f t="shared" ref="Q34:Q37" si="26">O34/M34-1</f>
        <v>5.6446335960781857E-2</v>
      </c>
      <c r="R34" s="96">
        <f t="shared" ref="R34:R37" si="27">N34/M34-1</f>
        <v>5.6446335960781857E-2</v>
      </c>
      <c r="S34" s="96">
        <f t="shared" ref="S34:S37" si="28">O34/J34-1</f>
        <v>0.26904090776364176</v>
      </c>
      <c r="T34" s="96">
        <f t="shared" ref="T34:T37" si="29">N34/J34-1</f>
        <v>0.26904090776364176</v>
      </c>
      <c r="U34" s="461"/>
    </row>
    <row r="35" spans="2:21" ht="15" customHeight="1">
      <c r="H35" s="428"/>
      <c r="I35" s="481" t="str">
        <f>IF('Summary | Sumário'!D$6=Names!B$3,Names!R3,Names!S3)</f>
        <v>Portfolio that generates provision expenses</v>
      </c>
      <c r="J35" s="28">
        <f>'9.1 Asset Quality'!X40/1000000</f>
        <v>37.631799484619997</v>
      </c>
      <c r="K35" s="28">
        <f>'9.1 Asset Quality'!Y40/1000000</f>
        <v>40.010756746049999</v>
      </c>
      <c r="L35" s="28">
        <f>'9.1 Asset Quality'!Z40/1000000</f>
        <v>43.398567240160006</v>
      </c>
      <c r="M35" s="28">
        <f>'9.1 Asset Quality'!AA40/1000000</f>
        <v>45.026060999999999</v>
      </c>
      <c r="N35" s="28">
        <f>'9.1 Asset Quality'!AB40/1000000</f>
        <v>46.464039098000008</v>
      </c>
      <c r="O35" s="84">
        <f>N35/N34*O34</f>
        <v>46.464039098000008</v>
      </c>
      <c r="P35" s="28"/>
      <c r="Q35" s="97">
        <f t="shared" si="26"/>
        <v>3.1936573310288319E-2</v>
      </c>
      <c r="R35" s="97">
        <f t="shared" si="27"/>
        <v>3.1936573310288319E-2</v>
      </c>
      <c r="S35" s="97">
        <f t="shared" si="28"/>
        <v>0.23470149539327023</v>
      </c>
      <c r="T35" s="97">
        <f t="shared" si="29"/>
        <v>0.23470149539327023</v>
      </c>
      <c r="U35" s="461"/>
    </row>
    <row r="36" spans="2:21" ht="15" customHeight="1">
      <c r="D36" s="39"/>
      <c r="H36" s="428"/>
      <c r="I36" s="480" t="str">
        <f>IF('Summary | Sumário'!$D$6=Names!$B$3,Names!BZ44,Names!CA44)</f>
        <v>Other assets</v>
      </c>
      <c r="J36" s="86">
        <f>J37-J34</f>
        <v>14.101083661820006</v>
      </c>
      <c r="K36" s="86">
        <f>K37-K34</f>
        <v>15.034732949334447</v>
      </c>
      <c r="L36" s="86">
        <f>L37-L34</f>
        <v>16.226161030255298</v>
      </c>
      <c r="M36" s="86">
        <f t="shared" ref="M36:N36" si="30">M37-M34</f>
        <v>17.526881048969997</v>
      </c>
      <c r="N36" s="86">
        <f t="shared" si="30"/>
        <v>18.143326384049999</v>
      </c>
      <c r="O36" s="84">
        <f>N36</f>
        <v>18.143326384049999</v>
      </c>
      <c r="P36" s="86"/>
      <c r="Q36" s="96">
        <f t="shared" si="26"/>
        <v>3.5171422305980027E-2</v>
      </c>
      <c r="R36" s="96">
        <f t="shared" si="27"/>
        <v>3.5171422305980027E-2</v>
      </c>
      <c r="S36" s="96">
        <f t="shared" si="28"/>
        <v>0.28666184948428763</v>
      </c>
      <c r="T36" s="96">
        <f t="shared" si="29"/>
        <v>0.28666184948428763</v>
      </c>
      <c r="U36" s="461"/>
    </row>
    <row r="37" spans="2:21" ht="15" customHeight="1">
      <c r="D37" s="45"/>
      <c r="H37" s="428"/>
      <c r="I37" s="34" t="str">
        <f>IF('Summary | Sumário'!$D$6=Names!$B$3,Names!BZ45,Names!CA45)</f>
        <v>Total assets</v>
      </c>
      <c r="J37" s="31">
        <f>'2. BS | BP'!X15/1000000</f>
        <v>66.573460406000009</v>
      </c>
      <c r="K37" s="31">
        <f>'2. BS | BP'!Y15/1000000</f>
        <v>69.92807740599801</v>
      </c>
      <c r="L37" s="31">
        <f>'2. BS | BP'!Z15/1000000</f>
        <v>76.4584303515269</v>
      </c>
      <c r="M37" s="31">
        <f>'2. BS | BP'!AA15/1000000</f>
        <v>80.558565999999999</v>
      </c>
      <c r="N37" s="31">
        <f>'2. BS | BP'!AB15/1000000</f>
        <v>84.732918999999995</v>
      </c>
      <c r="O37" s="85">
        <f>O34+O36</f>
        <v>84.732918999999995</v>
      </c>
      <c r="P37" s="31"/>
      <c r="Q37" s="92">
        <f t="shared" si="26"/>
        <v>5.1817618004769361E-2</v>
      </c>
      <c r="R37" s="92">
        <f t="shared" si="27"/>
        <v>5.1817618004769361E-2</v>
      </c>
      <c r="S37" s="92">
        <f t="shared" si="28"/>
        <v>0.27277324151777682</v>
      </c>
      <c r="T37" s="92">
        <f t="shared" si="29"/>
        <v>0.27277324151777682</v>
      </c>
      <c r="U37" s="461"/>
    </row>
    <row r="38" spans="2:21" ht="15" customHeight="1">
      <c r="H38" s="428"/>
      <c r="I38" s="482"/>
      <c r="J38" s="482"/>
      <c r="K38" s="482"/>
      <c r="L38" s="482"/>
      <c r="M38" s="530"/>
      <c r="O38" s="531"/>
      <c r="P38" s="482"/>
      <c r="Q38" s="482"/>
      <c r="R38" s="482"/>
      <c r="S38" s="482"/>
      <c r="T38" s="482"/>
      <c r="U38" s="461"/>
    </row>
    <row r="39" spans="2:21" ht="15" customHeight="1">
      <c r="H39" s="428"/>
      <c r="I39" s="478" t="str">
        <f>IF('Summary | Sumário'!$D$6=Names!$B$3,Names!BZ47,Names!CA47)</f>
        <v>Liabilities + equity</v>
      </c>
      <c r="J39" s="433"/>
      <c r="K39" s="433"/>
      <c r="L39" s="433"/>
      <c r="M39" s="470"/>
      <c r="N39" s="470"/>
      <c r="O39" s="531"/>
      <c r="P39" s="433"/>
      <c r="Q39" s="464"/>
      <c r="R39" s="464"/>
      <c r="S39" s="464"/>
      <c r="T39" s="464"/>
      <c r="U39" s="461"/>
    </row>
    <row r="40" spans="2:21" ht="15" customHeight="1">
      <c r="H40" s="428"/>
      <c r="I40" s="480" t="str">
        <f>IF('Summary | Sumário'!$D$6=Names!$B$3,Names!BZ48,Names!CA48)</f>
        <v>Total funding</v>
      </c>
      <c r="J40" s="86">
        <f>'4. Funding'!X15/1000000</f>
        <v>47.759601090000004</v>
      </c>
      <c r="K40" s="86">
        <f>'4. Funding'!Y15/1000000</f>
        <v>50.267847091739995</v>
      </c>
      <c r="L40" s="86">
        <f>'4. Funding'!Z15/1000000</f>
        <v>55.065296396439997</v>
      </c>
      <c r="M40" s="86">
        <f>'4. Funding'!AA15/1000000</f>
        <v>59.074108000000003</v>
      </c>
      <c r="N40" s="86">
        <f>'4. Funding'!AB15/1000000</f>
        <v>62.241709999999998</v>
      </c>
      <c r="O40" s="84">
        <f>M40/M34*O34</f>
        <v>62.408624946751516</v>
      </c>
      <c r="P40" s="86"/>
      <c r="Q40" s="96">
        <f t="shared" ref="Q40:Q43" si="31">O40/M40-1</f>
        <v>5.6446335960781857E-2</v>
      </c>
      <c r="R40" s="96">
        <f t="shared" ref="R40:R43" si="32">N40/M40-1</f>
        <v>5.3620818108671253E-2</v>
      </c>
      <c r="S40" s="96">
        <f t="shared" ref="S40:S43" si="33">O40/J40-1</f>
        <v>0.3067241669197851</v>
      </c>
      <c r="T40" s="96">
        <f t="shared" ref="T40:T43" si="34">N40/J40-1</f>
        <v>0.30322926865970601</v>
      </c>
      <c r="U40" s="461"/>
    </row>
    <row r="41" spans="2:21" ht="15" customHeight="1">
      <c r="H41" s="428"/>
      <c r="I41" s="462" t="str">
        <f>IF('Summary | Sumário'!$D$6=Names!$B$3,Names!BZ49,Names!CA49)</f>
        <v>Other liabilities</v>
      </c>
      <c r="J41" s="28">
        <f>J43-J40-J42</f>
        <v>10.206323754000005</v>
      </c>
      <c r="K41" s="28">
        <f>K43-K40-K42</f>
        <v>10.792892314258015</v>
      </c>
      <c r="L41" s="28">
        <f>L43-L40-L42</f>
        <v>12.320826955086902</v>
      </c>
      <c r="M41" s="28">
        <f t="shared" ref="M41:N41" si="35">M43-M40-M42</f>
        <v>12.471607999999996</v>
      </c>
      <c r="N41" s="28">
        <f t="shared" si="35"/>
        <v>13.103376999999998</v>
      </c>
      <c r="O41" s="84">
        <f>O43-O40-O42</f>
        <v>13.286064753248478</v>
      </c>
      <c r="P41" s="28"/>
      <c r="Q41" s="97">
        <f t="shared" si="31"/>
        <v>6.5304871131972808E-2</v>
      </c>
      <c r="R41" s="97">
        <f t="shared" si="32"/>
        <v>5.0656579328022699E-2</v>
      </c>
      <c r="S41" s="97">
        <f t="shared" si="33"/>
        <v>0.30174831540509173</v>
      </c>
      <c r="T41" s="97">
        <f t="shared" si="34"/>
        <v>0.28384884859884996</v>
      </c>
      <c r="U41" s="461"/>
    </row>
    <row r="42" spans="2:21" ht="15" customHeight="1">
      <c r="H42" s="428"/>
      <c r="I42" s="480" t="str">
        <f>IF('Summary | Sumário'!$D$6=Names!$B$3,Names!BZ50,Names!CA50)</f>
        <v>Equity</v>
      </c>
      <c r="J42" s="86">
        <f>'2. BS | BP'!X36/1000000</f>
        <v>8.6075355620000007</v>
      </c>
      <c r="K42" s="86">
        <f>'2. BS | BP'!Y36/1000000</f>
        <v>8.8673380000000002</v>
      </c>
      <c r="L42" s="86">
        <f>'2. BS | BP'!Z36/1000000</f>
        <v>9.0723070000000003</v>
      </c>
      <c r="M42" s="86">
        <f>'2. BS | BP'!AA36/1000000</f>
        <v>9.0128500000000003</v>
      </c>
      <c r="N42" s="86">
        <f>'2. BS | BP'!AB36/1000000</f>
        <v>9.3878319999999995</v>
      </c>
      <c r="O42" s="84">
        <f>M42+(O26-M26)/1000</f>
        <v>9.0382293000000011</v>
      </c>
      <c r="P42" s="86"/>
      <c r="Q42" s="96">
        <f t="shared" si="31"/>
        <v>2.8159017402931141E-3</v>
      </c>
      <c r="R42" s="96">
        <f t="shared" si="32"/>
        <v>4.1605263595865916E-2</v>
      </c>
      <c r="S42" s="96">
        <f t="shared" si="33"/>
        <v>5.0036823536506736E-2</v>
      </c>
      <c r="T42" s="96">
        <f t="shared" si="34"/>
        <v>9.0652711496749694E-2</v>
      </c>
      <c r="U42" s="461"/>
    </row>
    <row r="43" spans="2:21" ht="15" customHeight="1">
      <c r="H43" s="428"/>
      <c r="I43" s="34" t="str">
        <f>IF('Summary | Sumário'!$D$6=Names!$B$3,Names!BZ51,Names!CA51)</f>
        <v>Total liabilities</v>
      </c>
      <c r="J43" s="31">
        <f>J37</f>
        <v>66.573460406000009</v>
      </c>
      <c r="K43" s="31">
        <f>K37</f>
        <v>69.92807740599801</v>
      </c>
      <c r="L43" s="31">
        <f>L37</f>
        <v>76.4584303515269</v>
      </c>
      <c r="M43" s="31">
        <f t="shared" ref="M43:N43" si="36">M37</f>
        <v>80.558565999999999</v>
      </c>
      <c r="N43" s="31">
        <f t="shared" si="36"/>
        <v>84.732918999999995</v>
      </c>
      <c r="O43" s="85">
        <f>O37</f>
        <v>84.732918999999995</v>
      </c>
      <c r="P43" s="82"/>
      <c r="Q43" s="92">
        <f t="shared" si="31"/>
        <v>5.1817618004769361E-2</v>
      </c>
      <c r="R43" s="92">
        <f t="shared" si="32"/>
        <v>5.1817618004769361E-2</v>
      </c>
      <c r="S43" s="92">
        <f t="shared" si="33"/>
        <v>0.27277324151777682</v>
      </c>
      <c r="T43" s="92">
        <f t="shared" si="34"/>
        <v>0.27277324151777682</v>
      </c>
      <c r="U43" s="461"/>
    </row>
    <row r="44" spans="2:21" ht="15" customHeight="1" thickBot="1">
      <c r="H44" s="436"/>
      <c r="I44" s="437"/>
      <c r="J44" s="437"/>
      <c r="K44" s="437"/>
      <c r="L44" s="437"/>
      <c r="M44" s="437"/>
      <c r="N44" s="437"/>
      <c r="O44" s="437"/>
      <c r="P44" s="437"/>
      <c r="Q44" s="437"/>
      <c r="R44" s="437"/>
      <c r="S44" s="437"/>
      <c r="T44" s="437"/>
      <c r="U44" s="475"/>
    </row>
    <row r="45" spans="2:21" ht="15" customHeight="1" thickBot="1"/>
    <row r="46" spans="2:21" ht="15" customHeight="1">
      <c r="B46" s="440"/>
      <c r="C46" s="441"/>
      <c r="D46" s="441"/>
      <c r="E46" s="442"/>
      <c r="F46" s="442"/>
      <c r="G46" s="441"/>
      <c r="H46" s="441"/>
      <c r="I46" s="441"/>
      <c r="J46" s="441"/>
      <c r="K46" s="441"/>
      <c r="L46" s="441"/>
      <c r="M46" s="441"/>
      <c r="N46" s="441"/>
      <c r="O46" s="441"/>
      <c r="P46" s="441"/>
      <c r="Q46" s="441"/>
      <c r="R46" s="441"/>
      <c r="S46" s="441"/>
      <c r="T46" s="441"/>
      <c r="U46" s="450"/>
    </row>
    <row r="47" spans="2:21" ht="49" customHeight="1">
      <c r="B47" s="451"/>
      <c r="C47" s="779" t="str">
        <f>IF('Summary | Sumário'!$D$6=Names!$B$3,Names!BZ60,Names!CA60)</f>
        <v>Disclaimer:
Please note that this simulation is for illustrative purposes only, does not represent actual financial data and the results may not accurately reflect real-world outcomes. The information provided is based on hypothetical scenarios and assumptions. The simulation is intended as a learning tool and does not provide any investment advice, recommendations, or guidance.
Users are advised to exercise caution when interpreting the results and are encouraged to consult with qualified financial professionals.</v>
      </c>
      <c r="D47" s="779"/>
      <c r="E47" s="779"/>
      <c r="F47" s="779"/>
      <c r="G47" s="779"/>
      <c r="H47" s="779"/>
      <c r="I47" s="779"/>
      <c r="J47" s="779"/>
      <c r="K47" s="779"/>
      <c r="L47" s="779"/>
      <c r="M47" s="779"/>
      <c r="N47" s="779"/>
      <c r="O47" s="779"/>
      <c r="P47" s="779"/>
      <c r="Q47" s="779"/>
      <c r="R47" s="779"/>
      <c r="S47" s="779"/>
      <c r="T47" s="779"/>
      <c r="U47" s="780"/>
    </row>
    <row r="48" spans="2:21" ht="15" customHeight="1" thickBot="1">
      <c r="B48" s="446"/>
      <c r="C48" s="447"/>
      <c r="D48" s="447"/>
      <c r="E48" s="448"/>
      <c r="F48" s="448"/>
      <c r="G48" s="447"/>
      <c r="H48" s="447"/>
      <c r="I48" s="447"/>
      <c r="J48" s="447"/>
      <c r="K48" s="447"/>
      <c r="L48" s="447"/>
      <c r="M48" s="447"/>
      <c r="N48" s="447"/>
      <c r="O48" s="447"/>
      <c r="P48" s="447"/>
      <c r="Q48" s="447"/>
      <c r="R48" s="447"/>
      <c r="S48" s="447"/>
      <c r="T48" s="447"/>
      <c r="U48" s="454"/>
    </row>
    <row r="64" spans="9:9" ht="15" customHeight="1">
      <c r="I64" s="39"/>
    </row>
    <row r="66" spans="3:16" ht="15" customHeight="1">
      <c r="C66" s="777"/>
      <c r="D66" s="777"/>
      <c r="E66" s="777"/>
      <c r="F66" s="777"/>
      <c r="G66" s="777"/>
      <c r="H66" s="777"/>
      <c r="I66" s="777"/>
      <c r="J66" s="777"/>
      <c r="K66" s="777"/>
      <c r="L66" s="777"/>
      <c r="M66" s="777"/>
      <c r="N66" s="777"/>
      <c r="O66" s="777"/>
      <c r="P66" s="40"/>
    </row>
  </sheetData>
  <sheetProtection algorithmName="SHA-512" hashValue="pa/8vzYsnGGEJpow7tuVqEoe4ChcBbyQCznpxEiA4+slmKeZ/rcH1tobLwe/Qc771tvdvmuvVtNW4FaUuSn/2Q==" saltValue="2UYedYymTrlGNn0iWEdyyg==" spinCount="100000" sheet="1" formatCells="0" formatColumns="0" formatRows="0" insertColumns="0" insertRows="0" insertHyperlinks="0" deleteColumns="0" deleteRows="0" sort="0" autoFilter="0" pivotTables="0"/>
  <mergeCells count="6">
    <mergeCell ref="C3:T4"/>
    <mergeCell ref="C5:U5"/>
    <mergeCell ref="C66:O66"/>
    <mergeCell ref="Q8:T8"/>
    <mergeCell ref="Q31:T31"/>
    <mergeCell ref="C47:U47"/>
  </mergeCells>
  <pageMargins left="0.511811024" right="0.511811024" top="0.78740157499999996" bottom="0.78740157499999996" header="0.31496062000000002" footer="0.31496062000000002"/>
  <pageSetup paperSize="9" orientation="portrait" horizontalDpi="0" verticalDpi="0"/>
  <ignoredErrors>
    <ignoredError sqref="G64 J64 D64:E64 D27 O19 O41 O23:O24 O43 O13 O10 O16 O20 O26 O38:O39 O37 K64:L64" unlockedFormula="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3AFE-1A05-E54A-9DA1-4A8675E3D330}">
  <sheetPr codeName="Sheet30">
    <tabColor theme="0" tint="-0.14999847407452621"/>
  </sheetPr>
  <dimension ref="A1:A33"/>
  <sheetViews>
    <sheetView showGridLines="0" zoomScaleNormal="100" workbookViewId="0"/>
  </sheetViews>
  <sheetFormatPr baseColWidth="10" defaultColWidth="10.83203125" defaultRowHeight="15" customHeight="1"/>
  <cols>
    <col min="1" max="16" width="10.83203125" style="2" customWidth="1"/>
    <col min="17" max="16384" width="10.83203125" style="2"/>
  </cols>
  <sheetData>
    <row r="1"/>
    <row r="2"/>
    <row r="3"/>
    <row r="4"/>
    <row r="5"/>
    <row r="6"/>
    <row r="7"/>
    <row r="8"/>
    <row r="9"/>
    <row r="10"/>
    <row r="11"/>
    <row r="12"/>
    <row r="13"/>
    <row r="14"/>
    <row r="15"/>
    <row r="16"/>
    <row r="17"/>
    <row r="18"/>
    <row r="19"/>
    <row r="20"/>
    <row r="21"/>
    <row r="22"/>
    <row r="23"/>
    <row r="24"/>
    <row r="25"/>
    <row r="26"/>
    <row r="27"/>
    <row r="28"/>
    <row r="29"/>
    <row r="30"/>
    <row r="31"/>
    <row r="32"/>
    <row r="33"/>
  </sheetData>
  <sheetProtection algorithmName="SHA-512" hashValue="zKs9tLWYgQ18dhOgHFYiZeGaZKF3aavVRfgAQNgp1lNu1SRxSAP3OhiAVdxbLZvFFuhmcvpvG/UE/tp1UTPJSg==" saltValue="GPmDQsGpXjRKDrtL/bla4Q==" spinCount="100000" sheet="1" scenarios="1" selectLockedCells="1" selectUnlockedCells="1"/>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B4C1-B1C1-1C41-9FFC-03C030DA8A9B}">
  <sheetPr codeName="Sheet31">
    <tabColor theme="0" tint="-0.14999847407452621"/>
  </sheetPr>
  <dimension ref="A1"/>
  <sheetViews>
    <sheetView showGridLines="0" topLeftCell="A209" zoomScaleNormal="100" workbookViewId="0"/>
  </sheetViews>
  <sheetFormatPr baseColWidth="10" defaultColWidth="10.83203125" defaultRowHeight="15"/>
  <cols>
    <col min="1" max="31" width="10.83203125" customWidth="1"/>
  </cols>
  <sheetData/>
  <sheetProtection algorithmName="SHA-512" hashValue="RRNHBUSHeOC7ftmaBXDTB50wG5SNZklLl1CSGkRj9V1oEhs9XqFNy4xdKxIP9i0Py7DaBgRU+vL1qA3YNAxIHQ==" saltValue="I5/4EZD+xPcXZOasA3WTtw==" spinCount="100000" sheet="1" scenarios="1" selectLockedCells="1" selectUnlockedCells="1"/>
  <pageMargins left="0.7" right="0.7" top="0.75" bottom="0.75" header="0.3" footer="0.3"/>
  <pageSetup paperSize="9" orientation="portrait" horizontalDpi="0" verticalDpi="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CD0F-7799-2A4B-B9E4-8C47FBB9B062}">
  <sheetPr codeName="Sheet5">
    <tabColor theme="0" tint="-0.499984740745262"/>
  </sheetPr>
  <dimension ref="A1:AI124"/>
  <sheetViews>
    <sheetView showGridLines="0" zoomScaleNormal="100" workbookViewId="0">
      <pane xSplit="2" ySplit="3" topLeftCell="O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0" customWidth="1"/>
    <col min="9" max="9" width="2.83203125" style="120" customWidth="1"/>
    <col min="10" max="18" width="10.83203125" style="120" customWidth="1"/>
    <col min="19" max="25" width="10.83203125" style="120"/>
    <col min="26" max="26" width="10.83203125" style="120" customWidth="1"/>
    <col min="27" max="27" width="5.83203125" style="120" customWidth="1"/>
    <col min="28" max="16384" width="10.83203125" style="120"/>
  </cols>
  <sheetData>
    <row r="1" spans="1:35"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row>
    <row r="2" spans="1:35" s="9" customFormat="1" ht="13" customHeight="1">
      <c r="B2" s="255" t="str">
        <f>IF('Summary | Sumário'!D$6=Names!B$3,Names!O1,Names!Z1)</f>
        <v>Credit (IFRS, R$ Thousands)</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316"/>
      <c r="J2" s="19" t="str">
        <f>IF('Summary | Sumário'!D6=Names!B3,Names!C6,Names!D6)</f>
        <v>1Q21</v>
      </c>
      <c r="K2" s="19" t="str">
        <f>IF('Summary | Sumário'!D6=Names!B3,Names!C7,Names!D7)</f>
        <v>2Q21</v>
      </c>
      <c r="L2" s="19"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6" t="str">
        <f>IF('Summary | Sumário'!D6=Names!B3,Names!C24,Names!D24)</f>
        <v>1Q25</v>
      </c>
      <c r="AA2" s="315"/>
      <c r="AB2" s="104" t="str">
        <f>IF('Summary | Sumário'!$D$6=Names!$B$3,Names!$I$24,Names!$J$24)</f>
        <v>QoQ Variation</v>
      </c>
      <c r="AC2" s="104" t="str">
        <f>IF('Summary | Sumário'!$D$6=Names!$B$3,Names!$I$25,Names!$J$25)</f>
        <v>YoY Variation</v>
      </c>
      <c r="AD2" s="57"/>
      <c r="AE2" s="57"/>
      <c r="AF2" s="10"/>
      <c r="AH2" s="11"/>
      <c r="AI2" s="12"/>
    </row>
    <row r="3" spans="1:35" ht="13" customHeight="1">
      <c r="B3" s="13"/>
      <c r="C3" s="130"/>
      <c r="D3" s="130"/>
      <c r="E3" s="130"/>
      <c r="F3" s="130"/>
      <c r="G3" s="130"/>
      <c r="H3" s="130"/>
      <c r="I3" s="315"/>
      <c r="J3" s="131"/>
      <c r="K3" s="131"/>
      <c r="L3" s="131"/>
      <c r="M3" s="131"/>
      <c r="N3" s="131"/>
      <c r="O3" s="131"/>
      <c r="P3" s="131"/>
      <c r="Q3" s="131"/>
      <c r="R3" s="131"/>
      <c r="S3" s="131"/>
      <c r="T3" s="131"/>
      <c r="U3" s="131"/>
      <c r="V3" s="131"/>
      <c r="W3" s="131"/>
      <c r="X3" s="131"/>
      <c r="Y3" s="131"/>
      <c r="Z3" s="124"/>
      <c r="AA3" s="125"/>
      <c r="AB3" s="125"/>
      <c r="AC3" s="125"/>
    </row>
    <row r="4" spans="1:35" s="143" customFormat="1" ht="13" customHeight="1">
      <c r="A4" s="142"/>
      <c r="B4" s="3" t="str">
        <f>IF('Summary | Sumário'!D$6=Names!B$3,Names!O2,Names!Z2)</f>
        <v>Loan portfolio</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7"/>
      <c r="AC4" s="167"/>
    </row>
    <row r="5" spans="1:35" ht="13" customHeight="1">
      <c r="A5" s="198"/>
      <c r="B5" s="276" t="str">
        <f>IF('Summary | Sumário'!D$6=Names!B$3,Names!O3,Names!Z3)</f>
        <v>Gross loans and advances to customers</v>
      </c>
      <c r="C5" s="277">
        <f>SUM(C6:C10)</f>
        <v>4777387</v>
      </c>
      <c r="D5" s="277">
        <f t="shared" ref="D5:R5" si="0">SUM(D6:D10)</f>
        <v>8790058</v>
      </c>
      <c r="E5" s="277">
        <f>M5</f>
        <v>17216362</v>
      </c>
      <c r="F5" s="277">
        <f>Q5</f>
        <v>22698328</v>
      </c>
      <c r="G5" s="277">
        <f>U5</f>
        <v>29784301</v>
      </c>
      <c r="H5" s="277">
        <f>Y5</f>
        <v>35596293</v>
      </c>
      <c r="I5" s="164"/>
      <c r="J5" s="277">
        <f t="shared" si="0"/>
        <v>10242909.3443</v>
      </c>
      <c r="K5" s="277">
        <f t="shared" si="0"/>
        <v>12527246</v>
      </c>
      <c r="L5" s="277">
        <f t="shared" si="0"/>
        <v>14860083</v>
      </c>
      <c r="M5" s="277">
        <f t="shared" si="0"/>
        <v>17216362</v>
      </c>
      <c r="N5" s="277">
        <f t="shared" si="0"/>
        <v>18176304</v>
      </c>
      <c r="O5" s="277">
        <f t="shared" si="0"/>
        <v>19484646.399999999</v>
      </c>
      <c r="P5" s="277">
        <f t="shared" si="0"/>
        <v>21005268</v>
      </c>
      <c r="Q5" s="277">
        <f t="shared" si="0"/>
        <v>22698328</v>
      </c>
      <c r="R5" s="277">
        <f t="shared" si="0"/>
        <v>23832874</v>
      </c>
      <c r="S5" s="277">
        <f t="shared" ref="S5:T5" si="1">SUM(S6:S10)</f>
        <v>25141383</v>
      </c>
      <c r="T5" s="277">
        <f t="shared" si="1"/>
        <v>27043601</v>
      </c>
      <c r="U5" s="277">
        <f t="shared" ref="U5:V5" si="2">SUM(U6:U10)</f>
        <v>29784301</v>
      </c>
      <c r="V5" s="277">
        <f t="shared" si="2"/>
        <v>30858626.881090201</v>
      </c>
      <c r="W5" s="277">
        <f t="shared" ref="W5:X5" si="3">SUM(W6:W10)</f>
        <v>32971552</v>
      </c>
      <c r="X5" s="277">
        <f t="shared" si="3"/>
        <v>33705888</v>
      </c>
      <c r="Y5" s="277">
        <f t="shared" ref="Y5:Z5" si="4">SUM(Y6:Y10)</f>
        <v>35596293</v>
      </c>
      <c r="Z5" s="277">
        <f t="shared" si="4"/>
        <v>37395324</v>
      </c>
      <c r="AA5" s="164"/>
      <c r="AB5" s="331">
        <f>Z5/Y5-1</f>
        <v>5.0539841325612178E-2</v>
      </c>
      <c r="AC5" s="331">
        <f>Z5/V5-1</f>
        <v>0.21182721914679248</v>
      </c>
    </row>
    <row r="6" spans="1:35" ht="13" customHeight="1">
      <c r="A6" s="198"/>
      <c r="B6" s="53" t="str">
        <f>IF('Summary | Sumário'!D$6=Names!B$3,Names!O4,Names!Z4)</f>
        <v>Real estate</v>
      </c>
      <c r="C6" s="207">
        <v>2519153</v>
      </c>
      <c r="D6" s="207">
        <v>3471356</v>
      </c>
      <c r="E6" s="207">
        <f t="shared" ref="E6:E12" si="5">M6</f>
        <v>5121411</v>
      </c>
      <c r="F6" s="207">
        <f t="shared" ref="F6:F12" si="6">Q6</f>
        <v>6251813</v>
      </c>
      <c r="G6" s="207">
        <f t="shared" ref="G6:G12" si="7">U6</f>
        <v>8583568</v>
      </c>
      <c r="H6" s="207">
        <f t="shared" ref="H6:H12" si="8">Y6</f>
        <v>11250187</v>
      </c>
      <c r="I6" s="207"/>
      <c r="J6" s="207">
        <v>3925594.9876600001</v>
      </c>
      <c r="K6" s="207">
        <v>4211173</v>
      </c>
      <c r="L6" s="207">
        <v>4703223</v>
      </c>
      <c r="M6" s="207">
        <v>5121411</v>
      </c>
      <c r="N6" s="207">
        <v>5350879</v>
      </c>
      <c r="O6" s="207">
        <v>5647720</v>
      </c>
      <c r="P6" s="207">
        <v>5930070</v>
      </c>
      <c r="Q6" s="207">
        <v>6251813</v>
      </c>
      <c r="R6" s="207">
        <v>6616802</v>
      </c>
      <c r="S6" s="207">
        <v>7020433</v>
      </c>
      <c r="T6" s="207">
        <v>7527810</v>
      </c>
      <c r="U6" s="207">
        <v>8583568</v>
      </c>
      <c r="V6" s="207">
        <v>9124375.4985301998</v>
      </c>
      <c r="W6" s="207">
        <v>9703768</v>
      </c>
      <c r="X6" s="207">
        <v>10266209</v>
      </c>
      <c r="Y6" s="207">
        <v>11250187</v>
      </c>
      <c r="Z6" s="207">
        <v>12200387</v>
      </c>
      <c r="AA6" s="207"/>
      <c r="AB6" s="191">
        <f t="shared" ref="AB6:AB12" si="9">Z6/Y6-1</f>
        <v>8.4460818295731377E-2</v>
      </c>
      <c r="AC6" s="191">
        <f t="shared" ref="AC6:AC12" si="10">Z6/V6-1</f>
        <v>0.33712022285418874</v>
      </c>
      <c r="AD6" s="153"/>
      <c r="AE6" s="153"/>
      <c r="AF6" s="153"/>
    </row>
    <row r="7" spans="1:35" ht="13" customHeight="1">
      <c r="A7" s="198"/>
      <c r="B7" s="58" t="str">
        <f>IF('Summary | Sumário'!D$6=Names!B$3,Names!O5,Names!Z5)</f>
        <v>Personal</v>
      </c>
      <c r="C7" s="208">
        <v>1002386</v>
      </c>
      <c r="D7" s="208">
        <v>1653554</v>
      </c>
      <c r="E7" s="208">
        <f t="shared" si="5"/>
        <v>3579283</v>
      </c>
      <c r="F7" s="208">
        <f t="shared" si="6"/>
        <v>5463781</v>
      </c>
      <c r="G7" s="208">
        <f t="shared" si="7"/>
        <v>7138744</v>
      </c>
      <c r="H7" s="208">
        <f t="shared" si="8"/>
        <v>8236791</v>
      </c>
      <c r="I7" s="207"/>
      <c r="J7" s="208">
        <v>2123654.0038399999</v>
      </c>
      <c r="K7" s="208">
        <v>2620848</v>
      </c>
      <c r="L7" s="208">
        <v>3100640</v>
      </c>
      <c r="M7" s="208">
        <v>3579283</v>
      </c>
      <c r="N7" s="208">
        <v>3936755</v>
      </c>
      <c r="O7" s="208">
        <v>4460508.5</v>
      </c>
      <c r="P7" s="208">
        <v>5057444</v>
      </c>
      <c r="Q7" s="208">
        <v>5463781</v>
      </c>
      <c r="R7" s="208">
        <v>6081266</v>
      </c>
      <c r="S7" s="208">
        <v>6500480</v>
      </c>
      <c r="T7" s="208">
        <v>6663058</v>
      </c>
      <c r="U7" s="208">
        <v>7138744</v>
      </c>
      <c r="V7" s="208">
        <v>7437794.5190500002</v>
      </c>
      <c r="W7" s="208">
        <v>7555457</v>
      </c>
      <c r="X7" s="208">
        <v>8003536</v>
      </c>
      <c r="Y7" s="208">
        <v>8236791</v>
      </c>
      <c r="Z7" s="208">
        <v>8909592</v>
      </c>
      <c r="AA7" s="207"/>
      <c r="AB7" s="190">
        <f t="shared" si="9"/>
        <v>8.1682417339471236E-2</v>
      </c>
      <c r="AC7" s="190">
        <f t="shared" si="10"/>
        <v>0.19788090100907851</v>
      </c>
      <c r="AD7" s="153"/>
      <c r="AE7" s="153"/>
      <c r="AF7" s="153"/>
    </row>
    <row r="8" spans="1:35" ht="13" customHeight="1">
      <c r="A8" s="198"/>
      <c r="B8" s="53" t="str">
        <f>IF('Summary | Sumário'!D$6=Names!B$3,Names!O6,Names!Z6)</f>
        <v>SME</v>
      </c>
      <c r="C8" s="207">
        <v>472304</v>
      </c>
      <c r="D8" s="207">
        <v>1582869</v>
      </c>
      <c r="E8" s="207">
        <f t="shared" si="5"/>
        <v>3017159</v>
      </c>
      <c r="F8" s="207">
        <f t="shared" si="6"/>
        <v>3392500</v>
      </c>
      <c r="G8" s="207">
        <f t="shared" si="7"/>
        <v>3855754</v>
      </c>
      <c r="H8" s="207">
        <f t="shared" si="8"/>
        <v>3968591</v>
      </c>
      <c r="I8" s="207"/>
      <c r="J8" s="207">
        <v>1572378.93881</v>
      </c>
      <c r="K8" s="207">
        <v>2153921</v>
      </c>
      <c r="L8" s="207">
        <v>2703302</v>
      </c>
      <c r="M8" s="207">
        <v>3017159</v>
      </c>
      <c r="N8" s="207">
        <v>2929546</v>
      </c>
      <c r="O8" s="207">
        <v>2905002.5</v>
      </c>
      <c r="P8" s="207">
        <v>2978792</v>
      </c>
      <c r="Q8" s="207">
        <v>3392500</v>
      </c>
      <c r="R8" s="207">
        <v>3110840</v>
      </c>
      <c r="S8" s="207">
        <v>3215316</v>
      </c>
      <c r="T8" s="207">
        <v>3438526</v>
      </c>
      <c r="U8" s="207">
        <v>3855754</v>
      </c>
      <c r="V8" s="207">
        <v>3376688</v>
      </c>
      <c r="W8" s="207">
        <v>4359140</v>
      </c>
      <c r="X8" s="207">
        <v>4149476</v>
      </c>
      <c r="Y8" s="207">
        <v>3968591</v>
      </c>
      <c r="Z8" s="207">
        <v>3747963</v>
      </c>
      <c r="AA8" s="207"/>
      <c r="AB8" s="191">
        <f t="shared" si="9"/>
        <v>-5.5593534329942296E-2</v>
      </c>
      <c r="AC8" s="191">
        <f t="shared" si="10"/>
        <v>0.1099524149107054</v>
      </c>
      <c r="AD8" s="153"/>
      <c r="AE8" s="153"/>
      <c r="AF8" s="153"/>
    </row>
    <row r="9" spans="1:35" ht="13" customHeight="1">
      <c r="A9" s="198"/>
      <c r="B9" s="58" t="str">
        <f>IF('Summary | Sumário'!D$6=Names!B$3,Names!O7,Names!Z7)</f>
        <v>Credit cards</v>
      </c>
      <c r="C9" s="208">
        <v>783544</v>
      </c>
      <c r="D9" s="208">
        <v>1904642</v>
      </c>
      <c r="E9" s="208">
        <f t="shared" si="5"/>
        <v>4798318</v>
      </c>
      <c r="F9" s="208">
        <f t="shared" si="6"/>
        <v>6870565</v>
      </c>
      <c r="G9" s="208">
        <f t="shared" si="7"/>
        <v>9461277</v>
      </c>
      <c r="H9" s="208">
        <f t="shared" si="8"/>
        <v>11799890</v>
      </c>
      <c r="I9" s="207"/>
      <c r="J9" s="208">
        <v>2404920.48868</v>
      </c>
      <c r="K9" s="208">
        <v>3116734</v>
      </c>
      <c r="L9" s="208">
        <v>3807684</v>
      </c>
      <c r="M9" s="208">
        <v>4798318</v>
      </c>
      <c r="N9" s="208">
        <v>5315930</v>
      </c>
      <c r="O9" s="208">
        <v>5981406.4000000004</v>
      </c>
      <c r="P9" s="208">
        <v>6411572</v>
      </c>
      <c r="Q9" s="208">
        <v>6870565</v>
      </c>
      <c r="R9" s="208">
        <v>7273032</v>
      </c>
      <c r="S9" s="208">
        <v>7681011</v>
      </c>
      <c r="T9" s="208">
        <v>8650139</v>
      </c>
      <c r="U9" s="208">
        <v>9461277</v>
      </c>
      <c r="V9" s="208">
        <v>10111845.135790002</v>
      </c>
      <c r="W9" s="208">
        <v>10508082</v>
      </c>
      <c r="X9" s="208">
        <v>10769815</v>
      </c>
      <c r="Y9" s="208">
        <v>11799890</v>
      </c>
      <c r="Z9" s="208">
        <v>12251920</v>
      </c>
      <c r="AA9" s="207"/>
      <c r="AB9" s="190">
        <f t="shared" si="9"/>
        <v>3.830798422697157E-2</v>
      </c>
      <c r="AC9" s="190">
        <f t="shared" si="10"/>
        <v>0.21164039158742542</v>
      </c>
      <c r="AD9" s="154"/>
      <c r="AE9" s="154"/>
      <c r="AF9" s="154"/>
    </row>
    <row r="10" spans="1:35" ht="13" customHeight="1">
      <c r="A10" s="198"/>
      <c r="B10" s="53" t="str">
        <f>IF('Summary | Sumário'!D$6=Names!B$3,Names!O8,Names!Z8)</f>
        <v>Agribusiness</v>
      </c>
      <c r="C10" s="207">
        <v>0</v>
      </c>
      <c r="D10" s="207">
        <v>177637</v>
      </c>
      <c r="E10" s="207">
        <f t="shared" si="5"/>
        <v>700191</v>
      </c>
      <c r="F10" s="207">
        <f t="shared" si="6"/>
        <v>719669</v>
      </c>
      <c r="G10" s="207">
        <f t="shared" si="7"/>
        <v>744958</v>
      </c>
      <c r="H10" s="207">
        <f t="shared" si="8"/>
        <v>340834</v>
      </c>
      <c r="I10" s="207"/>
      <c r="J10" s="207">
        <v>216360.92530999999</v>
      </c>
      <c r="K10" s="207">
        <v>424570</v>
      </c>
      <c r="L10" s="207">
        <v>545234</v>
      </c>
      <c r="M10" s="207">
        <v>700191</v>
      </c>
      <c r="N10" s="207">
        <v>643194</v>
      </c>
      <c r="O10" s="207">
        <v>490009</v>
      </c>
      <c r="P10" s="207">
        <v>627390</v>
      </c>
      <c r="Q10" s="207">
        <v>719669</v>
      </c>
      <c r="R10" s="207">
        <v>750934</v>
      </c>
      <c r="S10" s="207">
        <v>724143</v>
      </c>
      <c r="T10" s="207">
        <v>764068</v>
      </c>
      <c r="U10" s="207">
        <v>744958</v>
      </c>
      <c r="V10" s="207">
        <v>807923.72771999997</v>
      </c>
      <c r="W10" s="207">
        <v>845105</v>
      </c>
      <c r="X10" s="207">
        <v>516852</v>
      </c>
      <c r="Y10" s="207">
        <v>340834</v>
      </c>
      <c r="Z10" s="207">
        <v>285462</v>
      </c>
      <c r="AA10" s="207"/>
      <c r="AB10" s="191">
        <f t="shared" si="9"/>
        <v>-0.16246031792602855</v>
      </c>
      <c r="AC10" s="191">
        <f t="shared" si="10"/>
        <v>-0.64667209266698022</v>
      </c>
      <c r="AD10" s="153"/>
      <c r="AE10" s="153"/>
      <c r="AF10" s="153"/>
    </row>
    <row r="11" spans="1:35" ht="13" customHeight="1">
      <c r="A11" s="198"/>
      <c r="B11" s="52" t="str">
        <f>IF('Summary | Sumário'!D$6=Names!B$3,Names!O9,Names!Z9)</f>
        <v>Prepayment of receivables</v>
      </c>
      <c r="C11" s="208">
        <v>0</v>
      </c>
      <c r="D11" s="208">
        <v>0</v>
      </c>
      <c r="E11" s="208">
        <f t="shared" si="5"/>
        <v>298104</v>
      </c>
      <c r="F11" s="208">
        <f t="shared" si="6"/>
        <v>1845665</v>
      </c>
      <c r="G11" s="208">
        <f t="shared" si="7"/>
        <v>1236536</v>
      </c>
      <c r="H11" s="208">
        <f t="shared" si="8"/>
        <v>5586520.30516</v>
      </c>
      <c r="I11" s="207"/>
      <c r="J11" s="208">
        <v>85776.282000000007</v>
      </c>
      <c r="K11" s="208">
        <v>71515.061000000002</v>
      </c>
      <c r="L11" s="208">
        <v>97555.932000000001</v>
      </c>
      <c r="M11" s="208">
        <v>298104</v>
      </c>
      <c r="N11" s="208">
        <v>347353.58600000001</v>
      </c>
      <c r="O11" s="208">
        <v>379917.21</v>
      </c>
      <c r="P11" s="208">
        <v>1029786.0000000001</v>
      </c>
      <c r="Q11" s="208">
        <v>1845665</v>
      </c>
      <c r="R11" s="208">
        <v>1296424</v>
      </c>
      <c r="S11" s="208">
        <v>1332977</v>
      </c>
      <c r="T11" s="208">
        <v>1215142</v>
      </c>
      <c r="U11" s="208">
        <v>1236536</v>
      </c>
      <c r="V11" s="208">
        <v>1284996.6508599999</v>
      </c>
      <c r="W11" s="208">
        <v>2702819.41658</v>
      </c>
      <c r="X11" s="208">
        <v>4353998.8030500002</v>
      </c>
      <c r="Y11" s="208">
        <v>5586520.30516</v>
      </c>
      <c r="Z11" s="208">
        <v>5199617</v>
      </c>
      <c r="AA11" s="207"/>
      <c r="AB11" s="190">
        <f t="shared" si="9"/>
        <v>-6.9256582635641051E-2</v>
      </c>
      <c r="AC11" s="190">
        <f t="shared" si="10"/>
        <v>3.0464050988149207</v>
      </c>
      <c r="AD11" s="153"/>
      <c r="AE11" s="153"/>
      <c r="AF11" s="153"/>
    </row>
    <row r="12" spans="1:35" ht="13" customHeight="1">
      <c r="A12" s="198"/>
      <c r="B12" s="275" t="str">
        <f>IF('Summary | Sumário'!D$6=Names!B$3,Names!O10,Names!Z10)</f>
        <v>Gross loan portfolio including prepayment of receivables</v>
      </c>
      <c r="C12" s="278">
        <f>C5+C11</f>
        <v>4777387</v>
      </c>
      <c r="D12" s="278">
        <f t="shared" ref="D12:R12" si="11">D5+D11</f>
        <v>8790058</v>
      </c>
      <c r="E12" s="278">
        <f t="shared" si="5"/>
        <v>17514466</v>
      </c>
      <c r="F12" s="278">
        <f t="shared" si="6"/>
        <v>24543993</v>
      </c>
      <c r="G12" s="278">
        <f t="shared" si="7"/>
        <v>31020837</v>
      </c>
      <c r="H12" s="278">
        <f t="shared" si="8"/>
        <v>41182813.305160001</v>
      </c>
      <c r="I12" s="145"/>
      <c r="J12" s="278">
        <f t="shared" si="11"/>
        <v>10328685.6263</v>
      </c>
      <c r="K12" s="278">
        <f t="shared" si="11"/>
        <v>12598761.061000001</v>
      </c>
      <c r="L12" s="278">
        <f t="shared" si="11"/>
        <v>14957638.932</v>
      </c>
      <c r="M12" s="278">
        <f>M5+M11</f>
        <v>17514466</v>
      </c>
      <c r="N12" s="278">
        <f t="shared" si="11"/>
        <v>18523657.585999999</v>
      </c>
      <c r="O12" s="278">
        <f t="shared" si="11"/>
        <v>19864563.609999999</v>
      </c>
      <c r="P12" s="278">
        <f t="shared" si="11"/>
        <v>22035054</v>
      </c>
      <c r="Q12" s="278">
        <f t="shared" si="11"/>
        <v>24543993</v>
      </c>
      <c r="R12" s="278">
        <f t="shared" si="11"/>
        <v>25129298</v>
      </c>
      <c r="S12" s="278">
        <f t="shared" ref="S12:T12" si="12">S5+S11</f>
        <v>26474360</v>
      </c>
      <c r="T12" s="278">
        <f t="shared" si="12"/>
        <v>28258743</v>
      </c>
      <c r="U12" s="278">
        <f t="shared" ref="U12:V12" si="13">U5+U11</f>
        <v>31020837</v>
      </c>
      <c r="V12" s="278">
        <f t="shared" si="13"/>
        <v>32143623.531950202</v>
      </c>
      <c r="W12" s="278">
        <f t="shared" ref="W12:X12" si="14">W5+W11</f>
        <v>35674371.416579999</v>
      </c>
      <c r="X12" s="278">
        <f t="shared" si="14"/>
        <v>38059886.803049996</v>
      </c>
      <c r="Y12" s="278">
        <f t="shared" ref="Y12:Z12" si="15">Y5+Y11</f>
        <v>41182813.305160001</v>
      </c>
      <c r="Z12" s="278">
        <f t="shared" si="15"/>
        <v>42594941</v>
      </c>
      <c r="AA12" s="145"/>
      <c r="AB12" s="285">
        <f t="shared" si="9"/>
        <v>3.4289247904855102E-2</v>
      </c>
      <c r="AC12" s="285">
        <f t="shared" si="10"/>
        <v>0.32514434651903423</v>
      </c>
      <c r="AF12" s="153"/>
    </row>
    <row r="13" spans="1:35" ht="13" customHeight="1">
      <c r="A13" s="198"/>
      <c r="B13" s="50"/>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308"/>
      <c r="AC13" s="308"/>
    </row>
    <row r="14" spans="1:35" ht="13" customHeight="1">
      <c r="A14" s="198"/>
      <c r="B14" s="23" t="str">
        <f>IF('Summary | Sumário'!D$6=Names!B$3,Names!O11,Names!Z11)</f>
        <v>Net loans and advances to customers</v>
      </c>
      <c r="C14" s="250"/>
      <c r="D14" s="250"/>
      <c r="E14" s="250"/>
      <c r="F14" s="250"/>
      <c r="G14" s="250"/>
      <c r="H14" s="250"/>
      <c r="I14" s="168"/>
      <c r="J14" s="250"/>
      <c r="K14" s="250"/>
      <c r="L14" s="250"/>
      <c r="M14" s="250"/>
      <c r="N14" s="250"/>
      <c r="O14" s="250"/>
      <c r="P14" s="250"/>
      <c r="Q14" s="250"/>
      <c r="R14" s="250"/>
      <c r="S14" s="250"/>
      <c r="T14" s="250"/>
      <c r="U14" s="250"/>
      <c r="V14" s="250"/>
      <c r="W14" s="250"/>
      <c r="X14" s="250"/>
      <c r="Y14" s="250"/>
      <c r="Z14" s="250"/>
      <c r="AA14" s="168"/>
      <c r="AB14" s="310"/>
      <c r="AC14" s="310"/>
    </row>
    <row r="15" spans="1:35" ht="13" customHeight="1">
      <c r="A15" s="198"/>
      <c r="B15" s="279" t="str">
        <f>IF('Summary | Sumário'!D$6=Names!B$3,Names!O12,Names!Z12)</f>
        <v>Gross loans and advances to customers</v>
      </c>
      <c r="C15" s="280">
        <f>C5</f>
        <v>4777387</v>
      </c>
      <c r="D15" s="280">
        <f t="shared" ref="D15:R15" si="16">D5</f>
        <v>8790058</v>
      </c>
      <c r="E15" s="280">
        <f t="shared" ref="E15:E17" si="17">M15</f>
        <v>17216362</v>
      </c>
      <c r="F15" s="280">
        <f t="shared" ref="F15:F17" si="18">Q15</f>
        <v>22698328</v>
      </c>
      <c r="G15" s="280">
        <f t="shared" ref="G15:G17" si="19">U15</f>
        <v>29784301</v>
      </c>
      <c r="H15" s="280">
        <f>Y15</f>
        <v>35596293</v>
      </c>
      <c r="I15" s="164"/>
      <c r="J15" s="280">
        <f t="shared" si="16"/>
        <v>10242909.3443</v>
      </c>
      <c r="K15" s="280">
        <f t="shared" si="16"/>
        <v>12527246</v>
      </c>
      <c r="L15" s="280">
        <f t="shared" si="16"/>
        <v>14860083</v>
      </c>
      <c r="M15" s="280">
        <f t="shared" si="16"/>
        <v>17216362</v>
      </c>
      <c r="N15" s="280">
        <f t="shared" si="16"/>
        <v>18176304</v>
      </c>
      <c r="O15" s="280">
        <f t="shared" si="16"/>
        <v>19484646.399999999</v>
      </c>
      <c r="P15" s="280">
        <f t="shared" si="16"/>
        <v>21005268</v>
      </c>
      <c r="Q15" s="280">
        <f t="shared" si="16"/>
        <v>22698328</v>
      </c>
      <c r="R15" s="280">
        <f t="shared" si="16"/>
        <v>23832874</v>
      </c>
      <c r="S15" s="280">
        <f t="shared" ref="S15:T15" si="20">S5</f>
        <v>25141383</v>
      </c>
      <c r="T15" s="280">
        <f t="shared" si="20"/>
        <v>27043601</v>
      </c>
      <c r="U15" s="280">
        <f t="shared" ref="U15:V15" si="21">U5</f>
        <v>29784301</v>
      </c>
      <c r="V15" s="280">
        <f t="shared" si="21"/>
        <v>30858626.881090201</v>
      </c>
      <c r="W15" s="280">
        <f t="shared" ref="W15:X15" si="22">W5</f>
        <v>32971552</v>
      </c>
      <c r="X15" s="280">
        <f t="shared" si="22"/>
        <v>33705888</v>
      </c>
      <c r="Y15" s="280">
        <f t="shared" ref="Y15:Z15" si="23">Y5</f>
        <v>35596293</v>
      </c>
      <c r="Z15" s="280">
        <f t="shared" si="23"/>
        <v>37395324</v>
      </c>
      <c r="AA15" s="164"/>
      <c r="AB15" s="333">
        <f t="shared" ref="AB15:AB17" si="24">Z15/Y15-1</f>
        <v>5.0539841325612178E-2</v>
      </c>
      <c r="AC15" s="333">
        <f t="shared" ref="AC15:AC17" si="25">Z15/V15-1</f>
        <v>0.21182721914679248</v>
      </c>
    </row>
    <row r="16" spans="1:35" ht="13" customHeight="1">
      <c r="A16" s="198"/>
      <c r="B16" s="52" t="str">
        <f>IF('Summary | Sumário'!D$6=Names!B$3,Names!O13,Names!Z13)</f>
        <v>(-) Provision for expected loss</v>
      </c>
      <c r="C16" s="208">
        <v>-215563</v>
      </c>
      <c r="D16" s="208">
        <v>-282355</v>
      </c>
      <c r="E16" s="208">
        <f t="shared" si="17"/>
        <v>-680932.27827000001</v>
      </c>
      <c r="F16" s="208">
        <f t="shared" si="18"/>
        <v>-1318412</v>
      </c>
      <c r="G16" s="208">
        <f t="shared" si="19"/>
        <v>-1883758</v>
      </c>
      <c r="H16" s="208">
        <f t="shared" ref="H16:H17" si="26">Y16</f>
        <v>-2268938</v>
      </c>
      <c r="I16" s="207"/>
      <c r="J16" s="208">
        <v>-334789</v>
      </c>
      <c r="K16" s="208">
        <v>-486763</v>
      </c>
      <c r="L16" s="208">
        <v>-558546</v>
      </c>
      <c r="M16" s="208">
        <v>-680932.27827000001</v>
      </c>
      <c r="N16" s="208">
        <v>-801672</v>
      </c>
      <c r="O16" s="208">
        <v>-974457</v>
      </c>
      <c r="P16" s="208">
        <v>-1184365</v>
      </c>
      <c r="Q16" s="208">
        <v>-1318412</v>
      </c>
      <c r="R16" s="208">
        <v>-1461707</v>
      </c>
      <c r="S16" s="208">
        <v>-1617401</v>
      </c>
      <c r="T16" s="208">
        <v>-1746981</v>
      </c>
      <c r="U16" s="208">
        <v>-1883758</v>
      </c>
      <c r="V16" s="208">
        <v>-2031628</v>
      </c>
      <c r="W16" s="208">
        <v>-2164911.7689999999</v>
      </c>
      <c r="X16" s="208">
        <v>-2227466</v>
      </c>
      <c r="Y16" s="208">
        <v>-2268938</v>
      </c>
      <c r="Z16" s="208">
        <v>-2307044</v>
      </c>
      <c r="AA16" s="207"/>
      <c r="AB16" s="502">
        <f t="shared" si="24"/>
        <v>1.679464136966291E-2</v>
      </c>
      <c r="AC16" s="502">
        <f t="shared" si="25"/>
        <v>0.13556418793204261</v>
      </c>
    </row>
    <row r="17" spans="1:31" ht="13" customHeight="1">
      <c r="A17" s="198"/>
      <c r="B17" s="275" t="str">
        <f>IF('Summary | Sumário'!D$6=Names!B$3,Names!O14,Names!Z14)</f>
        <v>Net loans and advances to customers</v>
      </c>
      <c r="C17" s="278">
        <f>C15+C16</f>
        <v>4561824</v>
      </c>
      <c r="D17" s="278">
        <f t="shared" ref="D17:R17" si="27">D15+D16</f>
        <v>8507703</v>
      </c>
      <c r="E17" s="278">
        <f t="shared" si="17"/>
        <v>16535429.721729999</v>
      </c>
      <c r="F17" s="278">
        <f t="shared" si="18"/>
        <v>21379916</v>
      </c>
      <c r="G17" s="278">
        <f t="shared" si="19"/>
        <v>27900543</v>
      </c>
      <c r="H17" s="278">
        <f t="shared" si="26"/>
        <v>33327355</v>
      </c>
      <c r="I17" s="145"/>
      <c r="J17" s="278">
        <f t="shared" si="27"/>
        <v>9908120.3443</v>
      </c>
      <c r="K17" s="278">
        <f t="shared" si="27"/>
        <v>12040483</v>
      </c>
      <c r="L17" s="278">
        <f t="shared" si="27"/>
        <v>14301537</v>
      </c>
      <c r="M17" s="278">
        <f t="shared" si="27"/>
        <v>16535429.721729999</v>
      </c>
      <c r="N17" s="278">
        <f t="shared" si="27"/>
        <v>17374632</v>
      </c>
      <c r="O17" s="278">
        <f t="shared" si="27"/>
        <v>18510189.399999999</v>
      </c>
      <c r="P17" s="278">
        <f t="shared" si="27"/>
        <v>19820903</v>
      </c>
      <c r="Q17" s="278">
        <f t="shared" si="27"/>
        <v>21379916</v>
      </c>
      <c r="R17" s="278">
        <f t="shared" si="27"/>
        <v>22371167</v>
      </c>
      <c r="S17" s="278">
        <f t="shared" ref="S17:T17" si="28">S15+S16</f>
        <v>23523982</v>
      </c>
      <c r="T17" s="278">
        <f t="shared" si="28"/>
        <v>25296620</v>
      </c>
      <c r="U17" s="278">
        <f t="shared" ref="U17:V17" si="29">U15+U16</f>
        <v>27900543</v>
      </c>
      <c r="V17" s="278">
        <f t="shared" si="29"/>
        <v>28826998.881090201</v>
      </c>
      <c r="W17" s="278">
        <f t="shared" ref="W17:X17" si="30">W15+W16</f>
        <v>30806640.230999999</v>
      </c>
      <c r="X17" s="278">
        <f t="shared" si="30"/>
        <v>31478422</v>
      </c>
      <c r="Y17" s="278">
        <f t="shared" ref="Y17:Z17" si="31">Y15+Y16</f>
        <v>33327355</v>
      </c>
      <c r="Z17" s="278">
        <f t="shared" si="31"/>
        <v>35088280</v>
      </c>
      <c r="AA17" s="145"/>
      <c r="AB17" s="318">
        <f t="shared" si="24"/>
        <v>5.2837226356547085E-2</v>
      </c>
      <c r="AC17" s="318">
        <f t="shared" si="25"/>
        <v>0.2172019759926187</v>
      </c>
    </row>
    <row r="18" spans="1:31" ht="13" customHeight="1">
      <c r="A18" s="198"/>
      <c r="B18" s="52"/>
      <c r="C18" s="208"/>
      <c r="D18" s="208"/>
      <c r="E18" s="208"/>
      <c r="F18" s="208"/>
      <c r="G18" s="208"/>
      <c r="H18" s="208"/>
      <c r="I18" s="207"/>
      <c r="J18" s="208"/>
      <c r="K18" s="208"/>
      <c r="L18" s="208"/>
      <c r="M18" s="208"/>
      <c r="N18" s="208"/>
      <c r="O18" s="208"/>
      <c r="P18" s="208"/>
      <c r="Q18" s="208"/>
      <c r="R18" s="208"/>
      <c r="S18" s="208"/>
      <c r="T18" s="208"/>
      <c r="U18" s="208"/>
      <c r="V18" s="208"/>
      <c r="W18" s="208"/>
      <c r="X18" s="208"/>
      <c r="Y18" s="208"/>
      <c r="Z18" s="208"/>
      <c r="AA18" s="207"/>
      <c r="AB18" s="332"/>
      <c r="AC18" s="332"/>
    </row>
    <row r="19" spans="1:31" ht="13" customHeight="1">
      <c r="A19" s="198"/>
      <c r="B19" s="3" t="str">
        <f>IF('Summary | Sumário'!D$6=Names!B$3,Names!O15,Names!Z15)</f>
        <v>NPL &gt; 90 days</v>
      </c>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row>
    <row r="20" spans="1:31" ht="13" customHeight="1">
      <c r="A20" s="198"/>
      <c r="B20" s="276" t="str">
        <f>IF('Summary | Sumário'!D$6=Names!B$3,Names!O16,Names!Z16)</f>
        <v>NPL &gt; 90 days</v>
      </c>
      <c r="C20" s="281">
        <v>220389.40100000001</v>
      </c>
      <c r="D20" s="281">
        <v>269061.29599999997</v>
      </c>
      <c r="E20" s="281">
        <f t="shared" ref="E20:E22" si="32">M20</f>
        <v>519936.66624999954</v>
      </c>
      <c r="F20" s="281">
        <f t="shared" ref="F20:F22" si="33">Q20</f>
        <v>999522.19583999994</v>
      </c>
      <c r="G20" s="281">
        <f t="shared" ref="G20:G22" si="34">U20</f>
        <v>1425372.2890000001</v>
      </c>
      <c r="H20" s="281">
        <f t="shared" ref="H20:H22" si="35">Y20</f>
        <v>1737079.07705</v>
      </c>
      <c r="I20" s="202"/>
      <c r="J20" s="281">
        <v>284231.98275000002</v>
      </c>
      <c r="K20" s="281">
        <v>375711.22700000001</v>
      </c>
      <c r="L20" s="281">
        <v>451788.65100000001</v>
      </c>
      <c r="M20" s="281">
        <v>519936.66624999954</v>
      </c>
      <c r="N20" s="281">
        <v>635025.51165999984</v>
      </c>
      <c r="O20" s="281">
        <v>754933.16899999999</v>
      </c>
      <c r="P20" s="281">
        <v>838860.77459000004</v>
      </c>
      <c r="Q20" s="281">
        <v>999522.19583999994</v>
      </c>
      <c r="R20" s="281">
        <v>1112112.51</v>
      </c>
      <c r="S20" s="281">
        <v>1242634.2890000001</v>
      </c>
      <c r="T20" s="281">
        <v>1324578.226</v>
      </c>
      <c r="U20" s="281">
        <v>1425372.2890000001</v>
      </c>
      <c r="V20" s="281">
        <v>1552791.92823</v>
      </c>
      <c r="W20" s="281">
        <v>1663073.9831000001</v>
      </c>
      <c r="X20" s="281">
        <v>1719621.82455</v>
      </c>
      <c r="Y20" s="281">
        <v>1737079.07705</v>
      </c>
      <c r="Z20" s="281">
        <v>1734396.1778200001</v>
      </c>
      <c r="AA20" s="202"/>
      <c r="AB20" s="334">
        <f>Z20/Y20-1</f>
        <v>-1.5444888292339698E-3</v>
      </c>
      <c r="AC20" s="334">
        <f>Z20/V20-1</f>
        <v>0.11695337043450982</v>
      </c>
      <c r="AD20" s="222"/>
      <c r="AE20" s="222"/>
    </row>
    <row r="21" spans="1:31" ht="13" customHeight="1">
      <c r="A21" s="198"/>
      <c r="B21" s="50" t="str">
        <f>IF('Summary | Sumário'!D$6=Names!B$3,Names!O17,Names!Z17)</f>
        <v>NPL &gt; 90 days (%)</v>
      </c>
      <c r="C21" s="209">
        <v>4.613178731386007E-2</v>
      </c>
      <c r="D21" s="209">
        <v>3.0609729310091011E-2</v>
      </c>
      <c r="E21" s="209">
        <f t="shared" si="32"/>
        <v>3.0200147176854177E-2</v>
      </c>
      <c r="F21" s="209">
        <f t="shared" si="33"/>
        <v>4.4035058258035567E-2</v>
      </c>
      <c r="G21" s="209">
        <f t="shared" si="34"/>
        <v>4.7856496246126444E-2</v>
      </c>
      <c r="H21" s="209">
        <f t="shared" si="35"/>
        <v>4.8799437543959982E-2</v>
      </c>
      <c r="I21" s="209"/>
      <c r="J21" s="209">
        <v>2.7749145598771716E-2</v>
      </c>
      <c r="K21" s="209">
        <v>2.9991526230106761E-2</v>
      </c>
      <c r="L21" s="209">
        <v>3.0402834963976985E-2</v>
      </c>
      <c r="M21" s="209">
        <v>3.0200147176854177E-2</v>
      </c>
      <c r="N21" s="209">
        <v>3.4936998834306461E-2</v>
      </c>
      <c r="O21" s="209">
        <v>3.8745027931325456E-2</v>
      </c>
      <c r="P21" s="209">
        <v>3.9935733007072323E-2</v>
      </c>
      <c r="Q21" s="209">
        <v>4.4035058258035567E-2</v>
      </c>
      <c r="R21" s="209">
        <v>4.6662962679196812E-2</v>
      </c>
      <c r="S21" s="209">
        <v>4.9425852547570676E-2</v>
      </c>
      <c r="T21" s="209">
        <v>4.897935840718845E-2</v>
      </c>
      <c r="U21" s="209">
        <v>4.7856496246126444E-2</v>
      </c>
      <c r="V21" s="209">
        <v>5.0319540600866214E-2</v>
      </c>
      <c r="W21" s="209">
        <v>5.0439663352820033E-2</v>
      </c>
      <c r="X21" s="209">
        <v>5.1018439999266599E-2</v>
      </c>
      <c r="Y21" s="209">
        <v>4.8799437543959982E-2</v>
      </c>
      <c r="Z21" s="209">
        <v>4.638002809709578E-2</v>
      </c>
      <c r="AA21" s="209"/>
      <c r="AB21" s="342">
        <f>(Z21-Y21)*100</f>
        <v>-0.24194094468642027</v>
      </c>
      <c r="AC21" s="342">
        <f>(Z21-V21)*100</f>
        <v>-0.39395125037704343</v>
      </c>
    </row>
    <row r="22" spans="1:31" ht="13" customHeight="1">
      <c r="A22" s="198"/>
      <c r="B22" s="52" t="str">
        <f>IF('Summary | Sumário'!D$6=Names!B$3,Names!O18,Names!Z18)</f>
        <v>NPL &gt; 90 days (including anticipation of credit card receivables, %)</v>
      </c>
      <c r="C22" s="212">
        <v>4.613178731386007E-2</v>
      </c>
      <c r="D22" s="212">
        <v>3.0609729310091011E-2</v>
      </c>
      <c r="E22" s="212">
        <f t="shared" si="32"/>
        <v>2.9686127241903896E-2</v>
      </c>
      <c r="F22" s="212">
        <f t="shared" si="33"/>
        <v>4.07236995153967E-2</v>
      </c>
      <c r="G22" s="212">
        <f t="shared" si="34"/>
        <v>4.5948866208864708E-2</v>
      </c>
      <c r="H22" s="212">
        <f t="shared" si="35"/>
        <v>4.2179708903771096E-2</v>
      </c>
      <c r="I22" s="209"/>
      <c r="J22" s="212">
        <v>2.7518698219089782E-2</v>
      </c>
      <c r="K22" s="212">
        <v>2.982128363105719E-2</v>
      </c>
      <c r="L22" s="212">
        <v>3.0204543180505222E-2</v>
      </c>
      <c r="M22" s="212">
        <v>2.9686127241903896E-2</v>
      </c>
      <c r="N22" s="212">
        <v>3.428186408174301E-2</v>
      </c>
      <c r="O22" s="212">
        <v>3.8004014778354349E-2</v>
      </c>
      <c r="P22" s="212">
        <v>3.8069376847907885E-2</v>
      </c>
      <c r="Q22" s="212">
        <v>4.07236995153967E-2</v>
      </c>
      <c r="R22" s="212">
        <v>4.425561390533074E-2</v>
      </c>
      <c r="S22" s="212">
        <v>4.6937273988870744E-2</v>
      </c>
      <c r="T22" s="212">
        <v>4.6873218175344886E-2</v>
      </c>
      <c r="U22" s="212">
        <v>4.5948866208864708E-2</v>
      </c>
      <c r="V22" s="212">
        <v>4.8307930395170035E-2</v>
      </c>
      <c r="W22" s="212">
        <v>4.6618172011492563E-2</v>
      </c>
      <c r="X22" s="212">
        <v>4.5182000499596732E-2</v>
      </c>
      <c r="Y22" s="212">
        <v>4.2179708903771096E-2</v>
      </c>
      <c r="Z22" s="212">
        <v>4.0718360845246861E-2</v>
      </c>
      <c r="AA22" s="209"/>
      <c r="AB22" s="499">
        <f>(Z22-Y22)*100</f>
        <v>-0.14613480585242353</v>
      </c>
      <c r="AC22" s="499">
        <f>(Z22-V22)*100</f>
        <v>-0.75895695499231741</v>
      </c>
    </row>
    <row r="24" spans="1:31" ht="13" customHeight="1">
      <c r="A24" s="198"/>
      <c r="B24" s="23" t="str">
        <f>IF('Summary | Sumário'!D$6=Names!B$3,Names!O122,Names!Z122)</f>
        <v>Coverage Ratio</v>
      </c>
      <c r="C24" s="250"/>
      <c r="D24" s="250"/>
      <c r="E24" s="250"/>
      <c r="F24" s="250"/>
      <c r="G24" s="250"/>
      <c r="H24" s="250"/>
      <c r="I24" s="168"/>
      <c r="J24" s="250"/>
      <c r="K24" s="250"/>
      <c r="L24" s="250"/>
      <c r="M24" s="250"/>
      <c r="N24" s="250"/>
      <c r="O24" s="250"/>
      <c r="P24" s="250"/>
      <c r="Q24" s="250"/>
      <c r="R24" s="250"/>
      <c r="S24" s="250"/>
      <c r="T24" s="250"/>
      <c r="U24" s="250"/>
      <c r="V24" s="250"/>
      <c r="W24" s="250"/>
      <c r="X24" s="250"/>
      <c r="Y24" s="250"/>
      <c r="Z24" s="250"/>
      <c r="AA24" s="168"/>
      <c r="AB24" s="310"/>
      <c r="AC24" s="310"/>
    </row>
    <row r="25" spans="1:31" ht="13" customHeight="1">
      <c r="A25" s="198"/>
      <c r="B25" s="279" t="str">
        <f>IF('Summary | Sumário'!D$6=Names!B$3,Names!O123,Names!Z123)</f>
        <v>Total provision</v>
      </c>
      <c r="C25" s="280">
        <f>-C16</f>
        <v>215563</v>
      </c>
      <c r="D25" s="280">
        <f>-D16</f>
        <v>282355</v>
      </c>
      <c r="E25" s="280">
        <f t="shared" ref="E25:E29" si="36">M25</f>
        <v>712098.27827000001</v>
      </c>
      <c r="F25" s="280">
        <f t="shared" ref="F25:F29" si="37">Q25</f>
        <v>1347743</v>
      </c>
      <c r="G25" s="280">
        <f t="shared" ref="G25:G29" si="38">U25</f>
        <v>1914842</v>
      </c>
      <c r="H25" s="280">
        <f t="shared" ref="H25:H29" si="39">Y25</f>
        <v>2366883</v>
      </c>
      <c r="I25" s="164"/>
      <c r="J25" s="280">
        <f t="shared" ref="J25:X25" si="40">J26+J27</f>
        <v>334789</v>
      </c>
      <c r="K25" s="280">
        <f t="shared" si="40"/>
        <v>486763</v>
      </c>
      <c r="L25" s="280">
        <f t="shared" si="40"/>
        <v>558546</v>
      </c>
      <c r="M25" s="280">
        <f t="shared" si="40"/>
        <v>712098.27827000001</v>
      </c>
      <c r="N25" s="280">
        <f t="shared" si="40"/>
        <v>835255</v>
      </c>
      <c r="O25" s="280">
        <f t="shared" si="40"/>
        <v>1011777</v>
      </c>
      <c r="P25" s="280">
        <f t="shared" si="40"/>
        <v>1217027</v>
      </c>
      <c r="Q25" s="280">
        <f t="shared" si="40"/>
        <v>1347743</v>
      </c>
      <c r="R25" s="280">
        <f t="shared" si="40"/>
        <v>1492058</v>
      </c>
      <c r="S25" s="280">
        <f t="shared" si="40"/>
        <v>1652313</v>
      </c>
      <c r="T25" s="280">
        <f t="shared" si="40"/>
        <v>1774858.99</v>
      </c>
      <c r="U25" s="280">
        <f t="shared" si="40"/>
        <v>1914842</v>
      </c>
      <c r="V25" s="280">
        <f t="shared" si="40"/>
        <v>2058685.3508600041</v>
      </c>
      <c r="W25" s="280">
        <f t="shared" si="40"/>
        <v>2164911.7689999999</v>
      </c>
      <c r="X25" s="280">
        <f t="shared" si="40"/>
        <v>2227466</v>
      </c>
      <c r="Y25" s="280">
        <f>Y26+Y27</f>
        <v>2366883</v>
      </c>
      <c r="Z25" s="280">
        <f>Z26+Z27</f>
        <v>2472301</v>
      </c>
      <c r="AA25" s="164"/>
      <c r="AB25" s="333">
        <f>Z25/Y25-1</f>
        <v>4.4538745683669223E-2</v>
      </c>
      <c r="AC25" s="333">
        <f>Z25/V25-1</f>
        <v>0.20091251388523768</v>
      </c>
    </row>
    <row r="26" spans="1:31" ht="13" customHeight="1">
      <c r="A26" s="198"/>
      <c r="B26" s="534" t="str">
        <f>IF('Summary | Sumário'!D$6=Names!B$3,Names!O124,Names!Z124)</f>
        <v>Provision for expected loss</v>
      </c>
      <c r="C26" s="535">
        <f>-C16</f>
        <v>215563</v>
      </c>
      <c r="D26" s="535">
        <f>-D16</f>
        <v>282355</v>
      </c>
      <c r="E26" s="201">
        <f t="shared" si="36"/>
        <v>680932.27827000001</v>
      </c>
      <c r="F26" s="201">
        <f t="shared" si="37"/>
        <v>1318412</v>
      </c>
      <c r="G26" s="201">
        <f t="shared" si="38"/>
        <v>1883758</v>
      </c>
      <c r="H26" s="201">
        <f t="shared" si="39"/>
        <v>2268938</v>
      </c>
      <c r="I26" s="215"/>
      <c r="J26" s="208">
        <f t="shared" ref="J26:X26" si="41">-J16</f>
        <v>334789</v>
      </c>
      <c r="K26" s="208">
        <f t="shared" si="41"/>
        <v>486763</v>
      </c>
      <c r="L26" s="208">
        <f t="shared" si="41"/>
        <v>558546</v>
      </c>
      <c r="M26" s="208">
        <f t="shared" si="41"/>
        <v>680932.27827000001</v>
      </c>
      <c r="N26" s="208">
        <f t="shared" si="41"/>
        <v>801672</v>
      </c>
      <c r="O26" s="208">
        <f t="shared" si="41"/>
        <v>974457</v>
      </c>
      <c r="P26" s="208">
        <f t="shared" si="41"/>
        <v>1184365</v>
      </c>
      <c r="Q26" s="208">
        <f t="shared" si="41"/>
        <v>1318412</v>
      </c>
      <c r="R26" s="208">
        <f t="shared" si="41"/>
        <v>1461707</v>
      </c>
      <c r="S26" s="208">
        <f t="shared" si="41"/>
        <v>1617401</v>
      </c>
      <c r="T26" s="208">
        <f t="shared" si="41"/>
        <v>1746981</v>
      </c>
      <c r="U26" s="208">
        <f t="shared" si="41"/>
        <v>1883758</v>
      </c>
      <c r="V26" s="208">
        <f t="shared" si="41"/>
        <v>2031628</v>
      </c>
      <c r="W26" s="208">
        <f t="shared" si="41"/>
        <v>2164911.7689999999</v>
      </c>
      <c r="X26" s="208">
        <f t="shared" si="41"/>
        <v>2227466</v>
      </c>
      <c r="Y26" s="208">
        <f>-Y16</f>
        <v>2268938</v>
      </c>
      <c r="Z26" s="208">
        <f>-Z16</f>
        <v>2307044</v>
      </c>
      <c r="AA26" s="215"/>
      <c r="AB26" s="212">
        <f>Z26/Y26-1</f>
        <v>1.679464136966291E-2</v>
      </c>
      <c r="AC26" s="212">
        <f>Z26/V26-1</f>
        <v>0.13556418793204261</v>
      </c>
    </row>
    <row r="27" spans="1:31" ht="13" customHeight="1">
      <c r="A27" s="198"/>
      <c r="B27" s="533" t="str">
        <f>IF('Summary | Sumário'!D$6=Names!B$3,Names!O125,Names!Z125)</f>
        <v>Provision for expected credit losses on loan commitments</v>
      </c>
      <c r="C27" s="202">
        <v>0</v>
      </c>
      <c r="D27" s="202">
        <v>0</v>
      </c>
      <c r="E27" s="202">
        <f t="shared" si="36"/>
        <v>31166</v>
      </c>
      <c r="F27" s="202">
        <f t="shared" si="37"/>
        <v>29331</v>
      </c>
      <c r="G27" s="202">
        <f t="shared" si="38"/>
        <v>31084</v>
      </c>
      <c r="H27" s="202">
        <f t="shared" si="39"/>
        <v>97945</v>
      </c>
      <c r="I27" s="215"/>
      <c r="J27" s="202">
        <v>0</v>
      </c>
      <c r="K27" s="202">
        <v>0</v>
      </c>
      <c r="L27" s="202">
        <v>0</v>
      </c>
      <c r="M27" s="202">
        <v>31166</v>
      </c>
      <c r="N27" s="202">
        <v>33583</v>
      </c>
      <c r="O27" s="202">
        <v>37320</v>
      </c>
      <c r="P27" s="202">
        <v>32662</v>
      </c>
      <c r="Q27" s="202">
        <v>29331</v>
      </c>
      <c r="R27" s="202">
        <v>30351</v>
      </c>
      <c r="S27" s="202">
        <v>34912</v>
      </c>
      <c r="T27" s="202">
        <v>27877.99</v>
      </c>
      <c r="U27" s="202">
        <v>31084</v>
      </c>
      <c r="V27" s="202">
        <v>27057.350860004004</v>
      </c>
      <c r="W27" s="202">
        <v>0</v>
      </c>
      <c r="X27" s="202">
        <v>0</v>
      </c>
      <c r="Y27" s="202">
        <v>97945</v>
      </c>
      <c r="Z27" s="202">
        <v>165257</v>
      </c>
      <c r="AA27" s="215"/>
      <c r="AB27" s="215">
        <f>IFERROR(Z27/Y27-1,"n.m.")</f>
        <v>0.68724284036959515</v>
      </c>
      <c r="AC27" s="215">
        <f>Z27/V27-1</f>
        <v>5.1076563206445238</v>
      </c>
    </row>
    <row r="28" spans="1:31" ht="13" customHeight="1">
      <c r="A28" s="198"/>
      <c r="B28" s="537" t="str">
        <f>IF('Summary | Sumário'!D$6=Names!B$3,Names!O127,Names!Z127)</f>
        <v>(÷) NPL &gt; 90 days</v>
      </c>
      <c r="C28" s="201">
        <f>C20</f>
        <v>220389.40100000001</v>
      </c>
      <c r="D28" s="201">
        <f>D20</f>
        <v>269061.29599999997</v>
      </c>
      <c r="E28" s="201">
        <f t="shared" si="36"/>
        <v>519936.66624999954</v>
      </c>
      <c r="F28" s="201">
        <f t="shared" si="37"/>
        <v>999522.19583999994</v>
      </c>
      <c r="G28" s="201">
        <f t="shared" si="38"/>
        <v>1425372.2890000001</v>
      </c>
      <c r="H28" s="201">
        <f t="shared" si="39"/>
        <v>1737079.07705</v>
      </c>
      <c r="I28" s="202"/>
      <c r="J28" s="201">
        <f t="shared" ref="J28:X28" si="42">J20</f>
        <v>284231.98275000002</v>
      </c>
      <c r="K28" s="201">
        <f t="shared" si="42"/>
        <v>375711.22700000001</v>
      </c>
      <c r="L28" s="201">
        <f t="shared" si="42"/>
        <v>451788.65100000001</v>
      </c>
      <c r="M28" s="201">
        <f t="shared" si="42"/>
        <v>519936.66624999954</v>
      </c>
      <c r="N28" s="201">
        <f t="shared" si="42"/>
        <v>635025.51165999984</v>
      </c>
      <c r="O28" s="201">
        <f t="shared" si="42"/>
        <v>754933.16899999999</v>
      </c>
      <c r="P28" s="201">
        <f t="shared" si="42"/>
        <v>838860.77459000004</v>
      </c>
      <c r="Q28" s="201">
        <f t="shared" si="42"/>
        <v>999522.19583999994</v>
      </c>
      <c r="R28" s="201">
        <f t="shared" si="42"/>
        <v>1112112.51</v>
      </c>
      <c r="S28" s="201">
        <f t="shared" si="42"/>
        <v>1242634.2890000001</v>
      </c>
      <c r="T28" s="201">
        <f t="shared" si="42"/>
        <v>1324578.226</v>
      </c>
      <c r="U28" s="201">
        <f t="shared" si="42"/>
        <v>1425372.2890000001</v>
      </c>
      <c r="V28" s="201">
        <f t="shared" si="42"/>
        <v>1552791.92823</v>
      </c>
      <c r="W28" s="201">
        <f t="shared" si="42"/>
        <v>1663073.9831000001</v>
      </c>
      <c r="X28" s="201">
        <f t="shared" si="42"/>
        <v>1719621.82455</v>
      </c>
      <c r="Y28" s="201">
        <f>Y20</f>
        <v>1737079.07705</v>
      </c>
      <c r="Z28" s="201">
        <f>Z20</f>
        <v>1734396.1778200001</v>
      </c>
      <c r="AA28" s="202"/>
      <c r="AB28" s="536">
        <f>Z28/Y28-1</f>
        <v>-1.5444888292339698E-3</v>
      </c>
      <c r="AC28" s="536">
        <f>Z28/V28-1</f>
        <v>0.11695337043450982</v>
      </c>
      <c r="AD28" s="329"/>
      <c r="AE28" s="329"/>
    </row>
    <row r="29" spans="1:31" ht="13" customHeight="1">
      <c r="A29" s="198"/>
      <c r="B29" s="275" t="str">
        <f>IF('Summary | Sumário'!D$6=Names!B$3,Names!O126,Names!Z126)</f>
        <v>Coverage ratio (%)</v>
      </c>
      <c r="C29" s="285">
        <f t="shared" ref="C29" si="43">K29</f>
        <v>1.2955774675319989</v>
      </c>
      <c r="D29" s="285">
        <f t="shared" ref="D29" si="44">L29</f>
        <v>1.2362993155399116</v>
      </c>
      <c r="E29" s="285">
        <f t="shared" si="36"/>
        <v>1.3695865756226624</v>
      </c>
      <c r="F29" s="285">
        <f t="shared" si="37"/>
        <v>1.3483872650445294</v>
      </c>
      <c r="G29" s="285">
        <f t="shared" si="38"/>
        <v>1.343397801947867</v>
      </c>
      <c r="H29" s="285">
        <f t="shared" si="39"/>
        <v>1.3625649121395018</v>
      </c>
      <c r="I29" s="145"/>
      <c r="J29" s="285">
        <f t="shared" ref="J29:X29" si="45">J25/J28</f>
        <v>1.1778723729850911</v>
      </c>
      <c r="K29" s="285">
        <f t="shared" si="45"/>
        <v>1.2955774675319989</v>
      </c>
      <c r="L29" s="285">
        <f t="shared" si="45"/>
        <v>1.2362993155399116</v>
      </c>
      <c r="M29" s="285">
        <f t="shared" si="45"/>
        <v>1.3695865756226624</v>
      </c>
      <c r="N29" s="285">
        <f t="shared" si="45"/>
        <v>1.3153093610626549</v>
      </c>
      <c r="O29" s="285">
        <f t="shared" si="45"/>
        <v>1.3402206202440683</v>
      </c>
      <c r="P29" s="285">
        <f t="shared" si="45"/>
        <v>1.4508092842877671</v>
      </c>
      <c r="Q29" s="285">
        <f t="shared" si="45"/>
        <v>1.3483872650445294</v>
      </c>
      <c r="R29" s="285">
        <f t="shared" si="45"/>
        <v>1.3416430321424944</v>
      </c>
      <c r="S29" s="285">
        <f t="shared" si="45"/>
        <v>1.3296856642590198</v>
      </c>
      <c r="T29" s="285">
        <f t="shared" si="45"/>
        <v>1.3399427494439275</v>
      </c>
      <c r="U29" s="285">
        <f t="shared" si="45"/>
        <v>1.343397801947867</v>
      </c>
      <c r="V29" s="285">
        <f t="shared" si="45"/>
        <v>1.325796015185797</v>
      </c>
      <c r="W29" s="285">
        <f t="shared" si="45"/>
        <v>1.3017531336546826</v>
      </c>
      <c r="X29" s="285">
        <f t="shared" si="45"/>
        <v>1.2953231740838689</v>
      </c>
      <c r="Y29" s="285">
        <f>Y25/Y28</f>
        <v>1.3625649121395018</v>
      </c>
      <c r="Z29" s="285">
        <f>Z25/Z28</f>
        <v>1.4254534411552315</v>
      </c>
      <c r="AA29" s="145"/>
      <c r="AB29" s="538">
        <f>(Z29-Y29)*100</f>
        <v>6.2888529015729722</v>
      </c>
      <c r="AC29" s="538">
        <f>(Z29-V29)*100</f>
        <v>9.9657425969434499</v>
      </c>
    </row>
    <row r="30" spans="1:31" ht="13" customHeight="1">
      <c r="A30" s="198"/>
      <c r="B30" s="52"/>
      <c r="C30" s="536"/>
      <c r="D30" s="536"/>
      <c r="E30" s="536"/>
      <c r="F30" s="536"/>
      <c r="G30" s="536"/>
      <c r="H30" s="536"/>
      <c r="I30" s="215"/>
      <c r="J30" s="536"/>
      <c r="K30" s="536"/>
      <c r="L30" s="536"/>
      <c r="M30" s="536"/>
      <c r="N30" s="536"/>
      <c r="O30" s="536"/>
      <c r="P30" s="536"/>
      <c r="Q30" s="536"/>
      <c r="R30" s="536"/>
      <c r="S30" s="536"/>
      <c r="T30" s="536"/>
      <c r="U30" s="536"/>
      <c r="V30" s="536"/>
      <c r="W30" s="536"/>
      <c r="X30" s="536"/>
      <c r="Y30" s="536"/>
      <c r="Z30" s="536"/>
      <c r="AA30" s="215"/>
      <c r="AB30" s="212"/>
      <c r="AC30" s="212"/>
    </row>
    <row r="31" spans="1:31" ht="13" customHeight="1">
      <c r="A31" s="198"/>
      <c r="B31" s="3" t="str">
        <f>IF('Summary | Sumário'!D$6=Names!B$3,Names!O20,Names!Z20)</f>
        <v>NPL  15-90 days</v>
      </c>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7"/>
      <c r="AC31" s="167"/>
    </row>
    <row r="32" spans="1:31" ht="13" customHeight="1">
      <c r="A32" s="198"/>
      <c r="B32" s="276" t="str">
        <f>IF('Summary | Sumário'!D$6=Names!B$3,Names!O21,Names!Z21)</f>
        <v>NPL 15-90 days</v>
      </c>
      <c r="C32" s="281">
        <v>455624.09169999999</v>
      </c>
      <c r="D32" s="281">
        <v>446506.32032</v>
      </c>
      <c r="E32" s="281">
        <f t="shared" ref="E32:E34" si="46">M32</f>
        <v>746209.03361000016</v>
      </c>
      <c r="F32" s="281">
        <f t="shared" ref="F32:F34" si="47">Q32</f>
        <v>1016878.29273</v>
      </c>
      <c r="G32" s="281">
        <f t="shared" ref="G32:G34" si="48">U32</f>
        <v>1243042.1070000001</v>
      </c>
      <c r="H32" s="281">
        <f>Y32</f>
        <v>1411764.5712600001</v>
      </c>
      <c r="I32" s="202"/>
      <c r="J32" s="281">
        <v>596395.54700000002</v>
      </c>
      <c r="K32" s="281">
        <v>617864.61755000008</v>
      </c>
      <c r="L32" s="281">
        <v>650014.21071999997</v>
      </c>
      <c r="M32" s="281">
        <v>746209.03361000016</v>
      </c>
      <c r="N32" s="281">
        <v>835676.82806999981</v>
      </c>
      <c r="O32" s="281">
        <v>902517.78554999991</v>
      </c>
      <c r="P32" s="281">
        <v>950615.52880999993</v>
      </c>
      <c r="Q32" s="281">
        <v>1016878.29273</v>
      </c>
      <c r="R32" s="281">
        <v>1092071.4350000001</v>
      </c>
      <c r="S32" s="281">
        <v>1110989.1200000001</v>
      </c>
      <c r="T32" s="281">
        <v>1204856.051</v>
      </c>
      <c r="U32" s="281">
        <v>1243042.1070000001</v>
      </c>
      <c r="V32" s="281">
        <v>1417128.55651</v>
      </c>
      <c r="W32" s="281">
        <v>1401631.4272100001</v>
      </c>
      <c r="X32" s="281">
        <v>1370497.84238</v>
      </c>
      <c r="Y32" s="281">
        <v>1411764.5712600001</v>
      </c>
      <c r="Z32" s="281">
        <v>1598972.9341</v>
      </c>
      <c r="AA32" s="202"/>
      <c r="AB32" s="334">
        <f>Z32/Y32-1</f>
        <v>0.13260593632330386</v>
      </c>
      <c r="AC32" s="334">
        <f>Z32/V32-1</f>
        <v>0.12831890004237367</v>
      </c>
    </row>
    <row r="33" spans="1:31" ht="13" customHeight="1">
      <c r="A33" s="198"/>
      <c r="B33" s="50" t="str">
        <f>IF('Summary | Sumário'!D$6=Names!B$3,Names!O22,Names!Z22)</f>
        <v>NPL 15-90 days (%)</v>
      </c>
      <c r="C33" s="209">
        <v>9.5370982442912824E-2</v>
      </c>
      <c r="D33" s="209">
        <v>5.0796743357097301E-2</v>
      </c>
      <c r="E33" s="209">
        <f t="shared" si="46"/>
        <v>4.3343014837280966E-2</v>
      </c>
      <c r="F33" s="209">
        <f t="shared" si="47"/>
        <v>4.4799700344888838E-2</v>
      </c>
      <c r="G33" s="209">
        <f t="shared" si="48"/>
        <v>4.1734808783996644E-2</v>
      </c>
      <c r="H33" s="209">
        <f>Y33</f>
        <v>3.9660437991675145E-2</v>
      </c>
      <c r="I33" s="209"/>
      <c r="J33" s="209">
        <v>5.8225209943099196E-2</v>
      </c>
      <c r="K33" s="209">
        <v>4.9321663959500765E-2</v>
      </c>
      <c r="L33" s="209">
        <v>4.3742300141930562E-2</v>
      </c>
      <c r="M33" s="209">
        <v>4.3343014837280966E-2</v>
      </c>
      <c r="N33" s="209">
        <v>4.5976169196443886E-2</v>
      </c>
      <c r="O33" s="209">
        <v>4.6319433620822595E-2</v>
      </c>
      <c r="P33" s="209">
        <v>4.5256053329574275E-2</v>
      </c>
      <c r="Q33" s="209">
        <v>4.4799700344888838E-2</v>
      </c>
      <c r="R33" s="209">
        <v>4.5822062207017081E-2</v>
      </c>
      <c r="S33" s="209">
        <v>4.4189658142513487E-2</v>
      </c>
      <c r="T33" s="209">
        <v>4.4552352735865317E-2</v>
      </c>
      <c r="U33" s="209">
        <v>4.1734808783996644E-2</v>
      </c>
      <c r="V33" s="209">
        <v>4.5923253875511862E-2</v>
      </c>
      <c r="W33" s="209">
        <v>4.2510326089897139E-2</v>
      </c>
      <c r="X33" s="209">
        <v>4.0660487638836278E-2</v>
      </c>
      <c r="Y33" s="209">
        <v>3.9660437991675145E-2</v>
      </c>
      <c r="Z33" s="209">
        <v>4.27586329804229E-2</v>
      </c>
      <c r="AA33" s="209"/>
      <c r="AB33" s="495">
        <f>(Z33-Y33)*100</f>
        <v>0.30981949887477556</v>
      </c>
      <c r="AC33" s="339">
        <f>(Z33-V33)*100</f>
        <v>-0.31646208950889609</v>
      </c>
    </row>
    <row r="34" spans="1:31" ht="13" customHeight="1">
      <c r="A34" s="198"/>
      <c r="B34" s="52" t="str">
        <f>IF('Summary | Sumário'!D$6=Names!B$3,Names!O23,Names!Z23)</f>
        <v>NPL 15-90 days (including anticipation of credit card receivables, %)</v>
      </c>
      <c r="C34" s="212">
        <v>9.5370982442912824E-2</v>
      </c>
      <c r="D34" s="212">
        <v>5.0796743357097301E-2</v>
      </c>
      <c r="E34" s="212">
        <f t="shared" si="46"/>
        <v>4.2605297450119241E-2</v>
      </c>
      <c r="F34" s="212">
        <f t="shared" si="47"/>
        <v>4.1430841865461747E-2</v>
      </c>
      <c r="G34" s="212">
        <f t="shared" si="48"/>
        <v>4.0071198175600488E-2</v>
      </c>
      <c r="H34" s="212">
        <f>Y34</f>
        <v>3.4280430547543803E-2</v>
      </c>
      <c r="I34" s="209"/>
      <c r="J34" s="212">
        <v>5.7741669034963569E-2</v>
      </c>
      <c r="K34" s="212">
        <v>4.9041696604805549E-2</v>
      </c>
      <c r="L34" s="212">
        <v>4.345700639486462E-2</v>
      </c>
      <c r="M34" s="212">
        <v>4.2605297450119241E-2</v>
      </c>
      <c r="N34" s="212">
        <v>4.5114029137614607E-2</v>
      </c>
      <c r="O34" s="212">
        <v>4.5433557125597483E-2</v>
      </c>
      <c r="P34" s="212">
        <v>4.314105737204002E-2</v>
      </c>
      <c r="Q34" s="212">
        <v>4.1430841865461747E-2</v>
      </c>
      <c r="R34" s="212">
        <v>4.3458095606172524E-2</v>
      </c>
      <c r="S34" s="212">
        <v>4.1964720582480561E-2</v>
      </c>
      <c r="T34" s="212">
        <v>4.2636576262433189E-2</v>
      </c>
      <c r="U34" s="212">
        <v>4.0071198175600488E-2</v>
      </c>
      <c r="V34" s="212">
        <v>4.4087392795071748E-2</v>
      </c>
      <c r="W34" s="212">
        <v>3.9289590020879214E-2</v>
      </c>
      <c r="X34" s="212">
        <v>3.6008983670181932E-2</v>
      </c>
      <c r="Y34" s="212">
        <v>3.4280430547543803E-2</v>
      </c>
      <c r="Z34" s="212">
        <v>3.7539033898415307E-2</v>
      </c>
      <c r="AA34" s="209"/>
      <c r="AB34" s="500">
        <f>(Z34-Y34)*100</f>
        <v>0.3258603350871504</v>
      </c>
      <c r="AC34" s="341">
        <f>(Z34-V34)*100</f>
        <v>-0.6548358896656441</v>
      </c>
    </row>
    <row r="35" spans="1:31" ht="13" customHeight="1">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c r="AA35" s="215"/>
      <c r="AB35" s="209"/>
      <c r="AC35" s="209"/>
    </row>
    <row r="36" spans="1:31" ht="13" customHeight="1">
      <c r="A36" s="198"/>
      <c r="B36" s="23" t="str">
        <f>IF('Summary | Sumário'!D$6=Names!B$3,Names!O24,Names!Z24)</f>
        <v>Credit card loan portfolio</v>
      </c>
      <c r="C36" s="250"/>
      <c r="D36" s="250"/>
      <c r="E36" s="250"/>
      <c r="F36" s="250"/>
      <c r="G36" s="250"/>
      <c r="H36" s="250"/>
      <c r="I36" s="168"/>
      <c r="J36" s="250"/>
      <c r="K36" s="250"/>
      <c r="L36" s="250"/>
      <c r="M36" s="250"/>
      <c r="N36" s="250"/>
      <c r="O36" s="250"/>
      <c r="P36" s="250"/>
      <c r="Q36" s="250"/>
      <c r="R36" s="250"/>
      <c r="S36" s="250"/>
      <c r="T36" s="250"/>
      <c r="U36" s="250"/>
      <c r="V36" s="250"/>
      <c r="W36" s="250"/>
      <c r="X36" s="250"/>
      <c r="Y36" s="250"/>
      <c r="Z36" s="250"/>
      <c r="AA36" s="168"/>
      <c r="AB36" s="310"/>
      <c r="AC36" s="310"/>
    </row>
    <row r="37" spans="1:31" ht="13" customHeight="1">
      <c r="A37" s="198"/>
      <c r="B37" s="279" t="str">
        <f>IF('Summary | Sumário'!D$6=Names!B$3,Names!O47,Names!Z47)</f>
        <v>Non-transactor</v>
      </c>
      <c r="C37" s="287" t="s">
        <v>1182</v>
      </c>
      <c r="D37" s="287">
        <f t="shared" ref="D37:E37" si="49">D39-D38</f>
        <v>230211.82499999995</v>
      </c>
      <c r="E37" s="287">
        <f t="shared" si="49"/>
        <v>676005</v>
      </c>
      <c r="F37" s="287">
        <f t="shared" ref="F37" si="50">F39-F38</f>
        <v>1458767</v>
      </c>
      <c r="G37" s="287">
        <f t="shared" ref="G37" si="51">G39-G38</f>
        <v>1971266.3970000008</v>
      </c>
      <c r="H37" s="287">
        <f>Y37</f>
        <v>2249854.1845399998</v>
      </c>
      <c r="I37" s="202"/>
      <c r="J37" s="287">
        <f t="shared" ref="J37" si="52">J39-J38</f>
        <v>310705.48867999995</v>
      </c>
      <c r="K37" s="287">
        <f t="shared" ref="K37" si="53">K39-K38</f>
        <v>466529</v>
      </c>
      <c r="L37" s="287">
        <f t="shared" ref="L37" si="54">L39-L38</f>
        <v>526729</v>
      </c>
      <c r="M37" s="287">
        <f t="shared" ref="M37" si="55">M39-M38</f>
        <v>676005</v>
      </c>
      <c r="N37" s="287">
        <f t="shared" ref="N37:W37" si="56">N39-N38</f>
        <v>836644</v>
      </c>
      <c r="O37" s="287">
        <f t="shared" si="56"/>
        <v>1084285.4000000004</v>
      </c>
      <c r="P37" s="287">
        <f t="shared" si="56"/>
        <v>1309633</v>
      </c>
      <c r="Q37" s="287">
        <f t="shared" si="56"/>
        <v>1458767</v>
      </c>
      <c r="R37" s="287">
        <f t="shared" si="56"/>
        <v>1592763.3878274746</v>
      </c>
      <c r="S37" s="287">
        <f t="shared" si="56"/>
        <v>1777050.7675745916</v>
      </c>
      <c r="T37" s="287">
        <f t="shared" si="56"/>
        <v>1882205.9550000001</v>
      </c>
      <c r="U37" s="287">
        <f t="shared" si="56"/>
        <v>1971266.3970000008</v>
      </c>
      <c r="V37" s="287">
        <f t="shared" si="56"/>
        <v>2176763.9201100003</v>
      </c>
      <c r="W37" s="287">
        <f t="shared" si="56"/>
        <v>2264113.5148200002</v>
      </c>
      <c r="X37" s="287">
        <f>X39-X38</f>
        <v>2206943.6459299996</v>
      </c>
      <c r="Y37" s="287">
        <f>Y39-Y38</f>
        <v>2249854.1845399998</v>
      </c>
      <c r="Z37" s="287">
        <f>Z39-Z38</f>
        <v>2629254.9510299992</v>
      </c>
      <c r="AA37" s="202"/>
      <c r="AB37" s="507">
        <f>Z37/Y37-1</f>
        <v>0.16863349149339246</v>
      </c>
      <c r="AC37" s="507">
        <f>Z37/V37-1</f>
        <v>0.20787326854311927</v>
      </c>
      <c r="AD37" s="153"/>
      <c r="AE37" s="153"/>
    </row>
    <row r="38" spans="1:31" s="143" customFormat="1" ht="13" customHeight="1">
      <c r="A38" s="142"/>
      <c r="B38" s="60" t="str">
        <f>IF('Summary | Sumário'!D$6=Names!B$3,Names!O29,Names!Z29)</f>
        <v>Transactor</v>
      </c>
      <c r="C38" s="216">
        <v>0</v>
      </c>
      <c r="D38" s="216">
        <v>1674430.175</v>
      </c>
      <c r="E38" s="216">
        <f t="shared" ref="E38:E39" si="57">M38</f>
        <v>4122313</v>
      </c>
      <c r="F38" s="216">
        <f t="shared" ref="F38:F39" si="58">Q38</f>
        <v>5411798</v>
      </c>
      <c r="G38" s="216">
        <f t="shared" ref="G38:G39" si="59">U38</f>
        <v>7490010.6029999992</v>
      </c>
      <c r="H38" s="216">
        <f>Y38</f>
        <v>9550035.8154600002</v>
      </c>
      <c r="I38" s="542"/>
      <c r="J38" s="216">
        <v>2094215</v>
      </c>
      <c r="K38" s="216">
        <v>2650205</v>
      </c>
      <c r="L38" s="216">
        <v>3280955</v>
      </c>
      <c r="M38" s="216">
        <v>4122313</v>
      </c>
      <c r="N38" s="216">
        <v>4479286</v>
      </c>
      <c r="O38" s="216">
        <v>4897121</v>
      </c>
      <c r="P38" s="216">
        <v>5101939</v>
      </c>
      <c r="Q38" s="216">
        <v>5411798</v>
      </c>
      <c r="R38" s="216">
        <v>5680268.6121725254</v>
      </c>
      <c r="S38" s="216">
        <v>5903960.2324254084</v>
      </c>
      <c r="T38" s="216">
        <v>6767933.0449999999</v>
      </c>
      <c r="U38" s="216">
        <v>7490010.6029999992</v>
      </c>
      <c r="V38" s="216">
        <v>7935081.2156800013</v>
      </c>
      <c r="W38" s="216">
        <v>8243968.4851799998</v>
      </c>
      <c r="X38" s="216">
        <v>8562871.3540700004</v>
      </c>
      <c r="Y38" s="216">
        <v>9550035.8154600002</v>
      </c>
      <c r="Z38" s="216">
        <v>9622665.0489700008</v>
      </c>
      <c r="AA38" s="542"/>
      <c r="AB38" s="501">
        <f>Z38/Y38-1</f>
        <v>7.6051268197785404E-3</v>
      </c>
      <c r="AC38" s="501">
        <f>Z38/V38-1</f>
        <v>0.2126737946872268</v>
      </c>
      <c r="AD38" s="314"/>
    </row>
    <row r="39" spans="1:31" s="156" customFormat="1" ht="13" customHeight="1">
      <c r="A39" s="211"/>
      <c r="B39" s="489" t="str">
        <f>IF('Summary | Sumário'!D$6=Names!B$3,Names!O30,Names!Z30)</f>
        <v>Total credit card loan portfolio</v>
      </c>
      <c r="C39" s="490">
        <f>C9</f>
        <v>783544</v>
      </c>
      <c r="D39" s="490">
        <f>D9</f>
        <v>1904642</v>
      </c>
      <c r="E39" s="490">
        <f t="shared" si="57"/>
        <v>4798318</v>
      </c>
      <c r="F39" s="490">
        <f t="shared" si="58"/>
        <v>6870565</v>
      </c>
      <c r="G39" s="490">
        <f t="shared" si="59"/>
        <v>9461277</v>
      </c>
      <c r="H39" s="490">
        <f>Y39</f>
        <v>11799890</v>
      </c>
      <c r="I39" s="505"/>
      <c r="J39" s="490">
        <f t="shared" ref="J39:X39" si="60">J9</f>
        <v>2404920.48868</v>
      </c>
      <c r="K39" s="490">
        <f t="shared" si="60"/>
        <v>3116734</v>
      </c>
      <c r="L39" s="490">
        <f t="shared" si="60"/>
        <v>3807684</v>
      </c>
      <c r="M39" s="490">
        <f t="shared" si="60"/>
        <v>4798318</v>
      </c>
      <c r="N39" s="490">
        <f t="shared" si="60"/>
        <v>5315930</v>
      </c>
      <c r="O39" s="490">
        <f t="shared" si="60"/>
        <v>5981406.4000000004</v>
      </c>
      <c r="P39" s="490">
        <f t="shared" si="60"/>
        <v>6411572</v>
      </c>
      <c r="Q39" s="490">
        <f t="shared" si="60"/>
        <v>6870565</v>
      </c>
      <c r="R39" s="490">
        <f t="shared" si="60"/>
        <v>7273032</v>
      </c>
      <c r="S39" s="490">
        <f t="shared" si="60"/>
        <v>7681011</v>
      </c>
      <c r="T39" s="490">
        <f t="shared" si="60"/>
        <v>8650139</v>
      </c>
      <c r="U39" s="490">
        <f t="shared" si="60"/>
        <v>9461277</v>
      </c>
      <c r="V39" s="490">
        <f t="shared" si="60"/>
        <v>10111845.135790002</v>
      </c>
      <c r="W39" s="490">
        <f t="shared" si="60"/>
        <v>10508082</v>
      </c>
      <c r="X39" s="490">
        <f t="shared" si="60"/>
        <v>10769815</v>
      </c>
      <c r="Y39" s="490">
        <f t="shared" ref="Y39:Z39" si="61">Y9</f>
        <v>11799890</v>
      </c>
      <c r="Z39" s="490">
        <f t="shared" si="61"/>
        <v>12251920</v>
      </c>
      <c r="AA39" s="505"/>
      <c r="AB39" s="285">
        <f>Z39/Y39-1</f>
        <v>3.830798422697157E-2</v>
      </c>
      <c r="AC39" s="285">
        <f>Z39/V39-1</f>
        <v>0.21164039158742542</v>
      </c>
      <c r="AD39" s="314"/>
    </row>
    <row r="40" spans="1:31" ht="13" customHeight="1">
      <c r="B40" s="7"/>
      <c r="C40" s="223"/>
      <c r="D40" s="223"/>
      <c r="E40" s="223"/>
      <c r="F40" s="223"/>
      <c r="G40" s="223"/>
      <c r="H40" s="223"/>
      <c r="I40" s="317"/>
      <c r="J40" s="223"/>
      <c r="K40" s="223"/>
      <c r="L40" s="223"/>
      <c r="M40" s="223"/>
      <c r="N40" s="223"/>
      <c r="O40" s="223"/>
      <c r="P40" s="223"/>
      <c r="Q40" s="223"/>
      <c r="R40" s="223"/>
      <c r="S40" s="223"/>
      <c r="T40" s="223"/>
      <c r="U40" s="223"/>
      <c r="V40" s="223"/>
      <c r="W40" s="223"/>
      <c r="X40" s="223"/>
      <c r="Y40" s="223"/>
      <c r="Z40" s="223"/>
      <c r="AA40" s="154"/>
      <c r="AB40" s="151"/>
      <c r="AC40" s="151"/>
    </row>
    <row r="41" spans="1:31" ht="13" customHeight="1">
      <c r="B41" s="49" t="str">
        <f>IF('Summary | Sumário'!D$6=Names!B$3,Names!O31,Names!Z31)</f>
        <v>Interest income</v>
      </c>
      <c r="J41" s="329"/>
      <c r="K41" s="329"/>
      <c r="L41" s="329"/>
      <c r="M41" s="329"/>
      <c r="N41" s="329"/>
      <c r="O41" s="329"/>
      <c r="P41" s="329"/>
      <c r="Q41" s="329"/>
      <c r="R41" s="329"/>
      <c r="S41" s="329"/>
      <c r="T41" s="329"/>
      <c r="U41" s="329"/>
      <c r="V41" s="329"/>
      <c r="W41" s="329"/>
      <c r="X41" s="329"/>
      <c r="Y41" s="329"/>
      <c r="Z41" s="329"/>
      <c r="AA41" s="329"/>
      <c r="AB41" s="337"/>
      <c r="AC41" s="337"/>
    </row>
    <row r="42" spans="1:31" ht="13" customHeight="1">
      <c r="B42" s="259" t="str">
        <f>IF('Summary | Sumário'!D$6=Names!B$3,Names!O32,Names!Z32)</f>
        <v>Interest income</v>
      </c>
      <c r="C42" s="496">
        <v>775515</v>
      </c>
      <c r="D42" s="496">
        <v>942655.89517999999</v>
      </c>
      <c r="E42" s="496">
        <f>SUM(J42:M42)</f>
        <v>1435427.246</v>
      </c>
      <c r="F42" s="496">
        <f>SUM(N42:Q42)</f>
        <v>2802658.0819999999</v>
      </c>
      <c r="G42" s="496">
        <f>SUM(R42:U42)</f>
        <v>4549827</v>
      </c>
      <c r="H42" s="496">
        <f>SUM(V42:Y42)</f>
        <v>5139213.5399445314</v>
      </c>
      <c r="I42" s="213"/>
      <c r="J42" s="496">
        <v>289003.935</v>
      </c>
      <c r="K42" s="496">
        <v>305659.75100000005</v>
      </c>
      <c r="L42" s="496">
        <v>367405.88</v>
      </c>
      <c r="M42" s="496">
        <v>473357.68</v>
      </c>
      <c r="N42" s="496">
        <v>521159.63199999993</v>
      </c>
      <c r="O42" s="496">
        <v>622312.6370000001</v>
      </c>
      <c r="P42" s="496">
        <v>788342.73100000003</v>
      </c>
      <c r="Q42" s="496">
        <v>870843.08199999994</v>
      </c>
      <c r="R42" s="496">
        <v>1012926.822</v>
      </c>
      <c r="S42" s="496">
        <v>1151105</v>
      </c>
      <c r="T42" s="496">
        <v>1106935.08874</v>
      </c>
      <c r="U42" s="496">
        <v>1278860.08926</v>
      </c>
      <c r="V42" s="496">
        <v>1217530.9999999998</v>
      </c>
      <c r="W42" s="496">
        <v>1172415.139</v>
      </c>
      <c r="X42" s="496">
        <v>1412226.140133633</v>
      </c>
      <c r="Y42" s="496">
        <f>Y43+Y48+Y49+Y50</f>
        <v>1337041.2608108988</v>
      </c>
      <c r="Z42" s="496">
        <f>Z43+Z48+Z49+Z50</f>
        <v>1806870</v>
      </c>
      <c r="AA42" s="213"/>
      <c r="AB42" s="497">
        <f>Z42/Y42-1</f>
        <v>0.35139434582905538</v>
      </c>
      <c r="AC42" s="497">
        <f>Z42/V42-1</f>
        <v>0.48404434876812208</v>
      </c>
    </row>
    <row r="43" spans="1:31" ht="13" customHeight="1">
      <c r="B43" s="16" t="str">
        <f>IF('Summary | Sumário'!D$6=Names!B$3,Names!O33,Names!Z33)</f>
        <v>Loans and advances to customers</v>
      </c>
      <c r="C43" s="213">
        <v>635873</v>
      </c>
      <c r="D43" s="213">
        <v>807878.44012000004</v>
      </c>
      <c r="E43" s="213">
        <f t="shared" ref="E43:E70" si="62">SUM(J43:M43)</f>
        <v>1330194.1980000001</v>
      </c>
      <c r="F43" s="213">
        <f t="shared" ref="F43:F70" si="63">SUM(N43:Q43)</f>
        <v>2465436.4588899999</v>
      </c>
      <c r="G43" s="213">
        <f t="shared" ref="G43:G70" si="64">SUM(R43:U43)</f>
        <v>3811788</v>
      </c>
      <c r="H43" s="213">
        <f t="shared" ref="H43:H70" si="65">SUM(V43:Y43)</f>
        <v>4166337.213918197</v>
      </c>
      <c r="I43" s="213"/>
      <c r="J43" s="213">
        <v>268003.20799999998</v>
      </c>
      <c r="K43" s="213">
        <v>292783.40600000002</v>
      </c>
      <c r="L43" s="213">
        <v>335179.73</v>
      </c>
      <c r="M43" s="213">
        <v>434227.85400000005</v>
      </c>
      <c r="N43" s="213">
        <v>465786.92129999999</v>
      </c>
      <c r="O43" s="213">
        <v>587035.16590000002</v>
      </c>
      <c r="P43" s="213">
        <v>672679.28999000008</v>
      </c>
      <c r="Q43" s="213">
        <v>739935.08169999998</v>
      </c>
      <c r="R43" s="213">
        <v>840890.87786000001</v>
      </c>
      <c r="S43" s="213">
        <v>976319.04593000002</v>
      </c>
      <c r="T43" s="213">
        <v>891716.27035000001</v>
      </c>
      <c r="U43" s="213">
        <v>1102861.8058600002</v>
      </c>
      <c r="V43" s="213">
        <v>1020891.12009</v>
      </c>
      <c r="W43" s="213">
        <v>992213.52389000007</v>
      </c>
      <c r="X43" s="213">
        <v>1161390.4944492984</v>
      </c>
      <c r="Y43" s="213">
        <v>991842.07548889867</v>
      </c>
      <c r="Z43" s="213">
        <v>1447891</v>
      </c>
      <c r="AA43" s="213"/>
      <c r="AB43" s="337">
        <f t="shared" ref="AB43:AB70" si="66">Z43/Y43-1</f>
        <v>0.45979993769300997</v>
      </c>
      <c r="AC43" s="337">
        <f t="shared" ref="AC43:AC70" si="67">Z43/V43-1</f>
        <v>0.41826191991204364</v>
      </c>
    </row>
    <row r="44" spans="1:31" ht="13" customHeight="1">
      <c r="B44" s="98" t="str">
        <f>IF('Summary | Sumário'!D$6=Names!B$3,Names!O34,Names!Z34)</f>
        <v>Real Estate</v>
      </c>
      <c r="C44" s="218">
        <v>0</v>
      </c>
      <c r="D44" s="218">
        <v>435019.64619000006</v>
      </c>
      <c r="E44" s="218">
        <f t="shared" si="62"/>
        <v>579506.26199999999</v>
      </c>
      <c r="F44" s="218">
        <f t="shared" si="63"/>
        <v>714011.42595000006</v>
      </c>
      <c r="G44" s="218">
        <f t="shared" si="64"/>
        <v>925900</v>
      </c>
      <c r="H44" s="218">
        <f t="shared" si="65"/>
        <v>1080760.6800631299</v>
      </c>
      <c r="I44" s="213"/>
      <c r="J44" s="218">
        <v>139297.851</v>
      </c>
      <c r="K44" s="218">
        <v>136320.81899999999</v>
      </c>
      <c r="L44" s="218">
        <v>141281.71</v>
      </c>
      <c r="M44" s="218">
        <v>162605.88200000001</v>
      </c>
      <c r="N44" s="218">
        <v>163483.92470999999</v>
      </c>
      <c r="O44" s="218">
        <v>208572.24767999997</v>
      </c>
      <c r="P44" s="218">
        <v>169001.99365000005</v>
      </c>
      <c r="Q44" s="218">
        <v>172953.25990999999</v>
      </c>
      <c r="R44" s="218">
        <v>220549.84688</v>
      </c>
      <c r="S44" s="218">
        <v>230186.84327000001</v>
      </c>
      <c r="T44" s="218">
        <v>210305.65125</v>
      </c>
      <c r="U44" s="218">
        <v>264857.65859999997</v>
      </c>
      <c r="V44" s="218">
        <v>268726.12008999998</v>
      </c>
      <c r="W44" s="218">
        <v>266162.86888999998</v>
      </c>
      <c r="X44" s="218">
        <v>280656.44909697119</v>
      </c>
      <c r="Y44" s="218">
        <v>265215.24198615877</v>
      </c>
      <c r="Z44" s="218">
        <v>443469</v>
      </c>
      <c r="AA44" s="213"/>
      <c r="AB44" s="336">
        <f t="shared" si="66"/>
        <v>0.6721097802634739</v>
      </c>
      <c r="AC44" s="336">
        <f t="shared" si="67"/>
        <v>0.6502638442868014</v>
      </c>
    </row>
    <row r="45" spans="1:31" ht="13" customHeight="1">
      <c r="B45" s="491" t="str">
        <f>IF('Summary | Sumário'!D$6=Names!B$3,Names!O35,Names!Z35)</f>
        <v>Personal</v>
      </c>
      <c r="C45" s="213">
        <v>0</v>
      </c>
      <c r="D45" s="213">
        <v>194589.16927000001</v>
      </c>
      <c r="E45" s="213">
        <f t="shared" si="62"/>
        <v>319455.67200000002</v>
      </c>
      <c r="F45" s="213">
        <f t="shared" si="63"/>
        <v>583197.69805000001</v>
      </c>
      <c r="G45" s="213">
        <f t="shared" si="64"/>
        <v>1117470</v>
      </c>
      <c r="H45" s="213">
        <f t="shared" si="65"/>
        <v>1040254.5429802999</v>
      </c>
      <c r="I45" s="213"/>
      <c r="J45" s="213">
        <v>63981.644999999997</v>
      </c>
      <c r="K45" s="213">
        <v>73178.934000000008</v>
      </c>
      <c r="L45" s="213">
        <v>85052.814000000013</v>
      </c>
      <c r="M45" s="213">
        <v>97242.27900000001</v>
      </c>
      <c r="N45" s="213">
        <v>108222.83400999999</v>
      </c>
      <c r="O45" s="213">
        <v>133460.16244000001</v>
      </c>
      <c r="P45" s="213">
        <v>159493.41924999998</v>
      </c>
      <c r="Q45" s="213">
        <v>182021.28234999996</v>
      </c>
      <c r="R45" s="213">
        <v>223476.20140999998</v>
      </c>
      <c r="S45" s="213">
        <v>318868.07952999993</v>
      </c>
      <c r="T45" s="213">
        <v>215827.96117000002</v>
      </c>
      <c r="U45" s="213">
        <v>359297.75789000001</v>
      </c>
      <c r="V45" s="213">
        <v>275126</v>
      </c>
      <c r="W45" s="213">
        <v>204785.36600000001</v>
      </c>
      <c r="X45" s="213">
        <v>355360.76014069101</v>
      </c>
      <c r="Y45" s="213">
        <v>204982.41683960881</v>
      </c>
      <c r="Z45" s="213">
        <v>473524</v>
      </c>
      <c r="AA45" s="213"/>
      <c r="AB45" s="337">
        <f t="shared" si="66"/>
        <v>1.3100713090455711</v>
      </c>
      <c r="AC45" s="337">
        <f t="shared" si="67"/>
        <v>0.72111687008861391</v>
      </c>
    </row>
    <row r="46" spans="1:31" ht="13" customHeight="1">
      <c r="B46" s="98" t="str">
        <f>IF('Summary | Sumário'!D$6=Names!B$3,Names!O36,Names!Z36)</f>
        <v>SME</v>
      </c>
      <c r="C46" s="218">
        <v>0</v>
      </c>
      <c r="D46" s="218">
        <v>59990.754910000003</v>
      </c>
      <c r="E46" s="218">
        <f t="shared" si="62"/>
        <v>186131.85699999999</v>
      </c>
      <c r="F46" s="218">
        <f t="shared" si="63"/>
        <v>450650.24199999997</v>
      </c>
      <c r="G46" s="218">
        <f t="shared" si="64"/>
        <v>521929</v>
      </c>
      <c r="H46" s="218">
        <f t="shared" si="65"/>
        <v>567087.72747602698</v>
      </c>
      <c r="I46" s="213"/>
      <c r="J46" s="218">
        <v>20454.21</v>
      </c>
      <c r="K46" s="218">
        <v>37744.78</v>
      </c>
      <c r="L46" s="218">
        <v>42772.136999999988</v>
      </c>
      <c r="M46" s="218">
        <v>85160.73000000001</v>
      </c>
      <c r="N46" s="218">
        <v>84615.255999999994</v>
      </c>
      <c r="O46" s="218">
        <v>107134.802</v>
      </c>
      <c r="P46" s="218">
        <v>112397.92600000002</v>
      </c>
      <c r="Q46" s="218">
        <v>146502.258</v>
      </c>
      <c r="R46" s="218">
        <v>124265.87599999999</v>
      </c>
      <c r="S46" s="218">
        <v>120750</v>
      </c>
      <c r="T46" s="218">
        <v>131787.38165</v>
      </c>
      <c r="U46" s="218">
        <v>145125.74235000001</v>
      </c>
      <c r="V46" s="218">
        <v>124639</v>
      </c>
      <c r="W46" s="218">
        <v>152217.704</v>
      </c>
      <c r="X46" s="218">
        <v>145605.608548077</v>
      </c>
      <c r="Y46" s="218">
        <v>144625.41492794995</v>
      </c>
      <c r="Z46" s="218">
        <v>127223</v>
      </c>
      <c r="AA46" s="213"/>
      <c r="AB46" s="336">
        <f t="shared" si="66"/>
        <v>-0.12032750216564325</v>
      </c>
      <c r="AC46" s="336">
        <f t="shared" si="67"/>
        <v>2.0731873651104404E-2</v>
      </c>
    </row>
    <row r="47" spans="1:31" ht="13" customHeight="1">
      <c r="B47" s="491" t="str">
        <f>IF('Summary | Sumário'!D$6=Names!B$3,Names!O37,Names!Z37)</f>
        <v>Credit Cards</v>
      </c>
      <c r="C47" s="213">
        <v>0</v>
      </c>
      <c r="D47" s="213">
        <v>118278.86974999998</v>
      </c>
      <c r="E47" s="213">
        <f t="shared" si="62"/>
        <v>245100.40700000001</v>
      </c>
      <c r="F47" s="213">
        <f t="shared" si="63"/>
        <v>717577.09288999997</v>
      </c>
      <c r="G47" s="213">
        <f t="shared" si="64"/>
        <v>1246489</v>
      </c>
      <c r="H47" s="213">
        <f t="shared" si="65"/>
        <v>1478234.26339874</v>
      </c>
      <c r="I47" s="213"/>
      <c r="J47" s="213">
        <v>44269.502</v>
      </c>
      <c r="K47" s="213">
        <v>45538.873</v>
      </c>
      <c r="L47" s="213">
        <v>66073.068999999989</v>
      </c>
      <c r="M47" s="213">
        <v>89218.963000000018</v>
      </c>
      <c r="N47" s="213">
        <v>109464.90658000001</v>
      </c>
      <c r="O47" s="213">
        <v>137867.95378000001</v>
      </c>
      <c r="P47" s="213">
        <v>231785.95109000002</v>
      </c>
      <c r="Q47" s="213">
        <v>238458.28143999999</v>
      </c>
      <c r="R47" s="213">
        <v>272598.95357000001</v>
      </c>
      <c r="S47" s="213">
        <v>306514.12313000002</v>
      </c>
      <c r="T47" s="213">
        <v>333795.27627999999</v>
      </c>
      <c r="U47" s="213">
        <v>333580.64701999992</v>
      </c>
      <c r="V47" s="213">
        <v>352400</v>
      </c>
      <c r="W47" s="213">
        <v>369047.58500000002</v>
      </c>
      <c r="X47" s="213">
        <v>379767.67666355905</v>
      </c>
      <c r="Y47" s="213">
        <v>377019.00173518108</v>
      </c>
      <c r="Z47" s="213">
        <v>403675</v>
      </c>
      <c r="AA47" s="213"/>
      <c r="AB47" s="337">
        <f t="shared" si="66"/>
        <v>7.0702002132885022E-2</v>
      </c>
      <c r="AC47" s="337">
        <f t="shared" si="67"/>
        <v>0.14550227014755968</v>
      </c>
    </row>
    <row r="48" spans="1:31" ht="13" customHeight="1">
      <c r="B48" s="99" t="str">
        <f>IF('Summary | Sumário'!D$6=Names!B$3,Names!O45,Names!Z45)</f>
        <v>Prepayment of receivables</v>
      </c>
      <c r="C48" s="218">
        <v>0</v>
      </c>
      <c r="D48" s="218">
        <v>793.77571</v>
      </c>
      <c r="E48" s="218">
        <f t="shared" si="62"/>
        <v>12540.518</v>
      </c>
      <c r="F48" s="218">
        <f t="shared" si="63"/>
        <v>101704.27800000001</v>
      </c>
      <c r="G48" s="218">
        <f t="shared" si="64"/>
        <v>242443</v>
      </c>
      <c r="H48" s="218">
        <f t="shared" si="65"/>
        <v>418724.30605999997</v>
      </c>
      <c r="I48" s="213"/>
      <c r="J48" s="218">
        <v>2554.556</v>
      </c>
      <c r="K48" s="218">
        <v>2758.1950000000002</v>
      </c>
      <c r="L48" s="218">
        <v>1333.1729999999998</v>
      </c>
      <c r="M48" s="218">
        <v>5894.594000000001</v>
      </c>
      <c r="N48" s="218">
        <v>5242.8329999999996</v>
      </c>
      <c r="O48" s="218">
        <v>17718.065000000002</v>
      </c>
      <c r="P48" s="218">
        <v>32903.998999999996</v>
      </c>
      <c r="Q48" s="218">
        <v>45839.381000000008</v>
      </c>
      <c r="R48" s="218">
        <v>64806.196000000004</v>
      </c>
      <c r="S48" s="218">
        <v>59977</v>
      </c>
      <c r="T48" s="218">
        <v>60383</v>
      </c>
      <c r="U48" s="218">
        <v>57276.804000000004</v>
      </c>
      <c r="V48" s="218">
        <v>59662</v>
      </c>
      <c r="W48" s="218">
        <v>53645.453999999998</v>
      </c>
      <c r="X48" s="218">
        <v>136932.53951</v>
      </c>
      <c r="Y48" s="218">
        <v>168484.31254999997</v>
      </c>
      <c r="Z48" s="218">
        <v>240697</v>
      </c>
      <c r="AA48" s="213"/>
      <c r="AB48" s="336">
        <f t="shared" si="66"/>
        <v>0.42860184640970611</v>
      </c>
      <c r="AC48" s="336">
        <f t="shared" si="67"/>
        <v>3.0343434682042174</v>
      </c>
    </row>
    <row r="49" spans="1:32" ht="13" customHeight="1">
      <c r="B49" s="492" t="str">
        <f>IF('Summary | Sumário'!D$6=Names!B$3,Names!O39,Names!Z39)</f>
        <v>Amounts due from financial institutions</v>
      </c>
      <c r="C49" s="213">
        <v>139642</v>
      </c>
      <c r="D49" s="213">
        <v>126619</v>
      </c>
      <c r="E49" s="213">
        <f t="shared" si="62"/>
        <v>71106.437999999995</v>
      </c>
      <c r="F49" s="213">
        <f t="shared" si="63"/>
        <v>221136.43900000001</v>
      </c>
      <c r="G49" s="213">
        <f t="shared" si="64"/>
        <v>497054</v>
      </c>
      <c r="H49" s="213">
        <f t="shared" si="65"/>
        <v>338955.05183999997</v>
      </c>
      <c r="I49" s="213"/>
      <c r="J49" s="213">
        <v>14427.704</v>
      </c>
      <c r="K49" s="213">
        <v>7946.8799999999992</v>
      </c>
      <c r="L49" s="213">
        <v>24631.656000000003</v>
      </c>
      <c r="M49" s="213">
        <v>24100.197999999997</v>
      </c>
      <c r="N49" s="213">
        <v>30138.153999999999</v>
      </c>
      <c r="O49" s="213">
        <v>31814.657000000003</v>
      </c>
      <c r="P49" s="213">
        <v>78399.862000000008</v>
      </c>
      <c r="Q49" s="213">
        <v>80783.765999999989</v>
      </c>
      <c r="R49" s="213">
        <v>97468.479000000007</v>
      </c>
      <c r="S49" s="213">
        <v>114751</v>
      </c>
      <c r="T49" s="213">
        <v>147490</v>
      </c>
      <c r="U49" s="213">
        <v>137344.52100000001</v>
      </c>
      <c r="V49" s="213">
        <v>117428</v>
      </c>
      <c r="W49" s="213">
        <v>99401.437999999995</v>
      </c>
      <c r="X49" s="213">
        <v>71615.8989899999</v>
      </c>
      <c r="Y49" s="213">
        <v>50509.714850000106</v>
      </c>
      <c r="Z49" s="213">
        <v>31738</v>
      </c>
      <c r="AA49" s="213"/>
      <c r="AB49" s="337">
        <f t="shared" si="66"/>
        <v>-0.37164563105824122</v>
      </c>
      <c r="AC49" s="337">
        <f t="shared" si="67"/>
        <v>-0.72972374561433395</v>
      </c>
      <c r="AD49" s="147"/>
      <c r="AE49" s="147"/>
    </row>
    <row r="50" spans="1:32" ht="13" customHeight="1">
      <c r="A50" s="198"/>
      <c r="B50" s="99" t="str">
        <f>IF('Summary | Sumário'!D$6=Names!B$3,Names!O41,Names!Z41)</f>
        <v xml:space="preserve">Others </v>
      </c>
      <c r="C50" s="218">
        <v>0</v>
      </c>
      <c r="D50" s="218">
        <v>7364.6793500000003</v>
      </c>
      <c r="E50" s="218">
        <f t="shared" si="62"/>
        <v>21586.092000000001</v>
      </c>
      <c r="F50" s="218">
        <f t="shared" si="63"/>
        <v>14380.906110000018</v>
      </c>
      <c r="G50" s="218">
        <f t="shared" si="64"/>
        <v>-1458</v>
      </c>
      <c r="H50" s="218">
        <f t="shared" si="65"/>
        <v>215195.96812633501</v>
      </c>
      <c r="I50" s="213"/>
      <c r="J50" s="218">
        <v>4018.4669999999996</v>
      </c>
      <c r="K50" s="218">
        <v>2171.27</v>
      </c>
      <c r="L50" s="218">
        <v>6261.3210000000008</v>
      </c>
      <c r="M50" s="218">
        <v>9135.0339999999997</v>
      </c>
      <c r="N50" s="218">
        <v>19991.723699999999</v>
      </c>
      <c r="O50" s="218">
        <v>-14255.250899999999</v>
      </c>
      <c r="P50" s="218">
        <v>4359.5800100000197</v>
      </c>
      <c r="Q50" s="218">
        <v>4284.8532999999998</v>
      </c>
      <c r="R50" s="218">
        <v>9761.2691400000203</v>
      </c>
      <c r="S50" s="218">
        <v>57.954070000036197</v>
      </c>
      <c r="T50" s="218">
        <v>7345.8183899999603</v>
      </c>
      <c r="U50" s="218">
        <v>-18623.041600000019</v>
      </c>
      <c r="V50" s="218">
        <v>19548.879910000003</v>
      </c>
      <c r="W50" s="218">
        <v>27154.723109999999</v>
      </c>
      <c r="X50" s="218">
        <v>42287.207184334788</v>
      </c>
      <c r="Y50" s="218">
        <v>126205.15792200022</v>
      </c>
      <c r="Z50" s="218">
        <v>86544</v>
      </c>
      <c r="AA50" s="213"/>
      <c r="AB50" s="336">
        <f t="shared" si="66"/>
        <v>-0.31425940567747934</v>
      </c>
      <c r="AC50" s="336">
        <f t="shared" si="67"/>
        <v>3.4270567110972641</v>
      </c>
      <c r="AD50" s="147"/>
      <c r="AE50" s="147"/>
      <c r="AF50" s="195"/>
    </row>
    <row r="51" spans="1:32" ht="13" customHeight="1">
      <c r="B51" s="15" t="str">
        <f>IF('Summary | Sumário'!D$6=Names!B$3,Names!O42,Names!Z42)</f>
        <v>Interest expenses</v>
      </c>
      <c r="C51" s="213">
        <v>-256717</v>
      </c>
      <c r="D51" s="213">
        <v>-184335</v>
      </c>
      <c r="E51" s="213">
        <f t="shared" si="62"/>
        <v>-543242</v>
      </c>
      <c r="F51" s="213">
        <f t="shared" si="63"/>
        <v>-1972850</v>
      </c>
      <c r="G51" s="213">
        <f t="shared" si="64"/>
        <v>-2887573.0049999999</v>
      </c>
      <c r="H51" s="213">
        <f t="shared" si="65"/>
        <v>-3311638.4190579997</v>
      </c>
      <c r="I51" s="213"/>
      <c r="J51" s="213">
        <v>-65559</v>
      </c>
      <c r="K51" s="213">
        <v>-86261</v>
      </c>
      <c r="L51" s="213">
        <v>-138587</v>
      </c>
      <c r="M51" s="213">
        <v>-252835</v>
      </c>
      <c r="N51" s="213">
        <v>-336771</v>
      </c>
      <c r="O51" s="213">
        <v>-465041</v>
      </c>
      <c r="P51" s="213">
        <v>-579678</v>
      </c>
      <c r="Q51" s="213">
        <v>-591360</v>
      </c>
      <c r="R51" s="213">
        <v>-672771</v>
      </c>
      <c r="S51" s="213">
        <v>-692206</v>
      </c>
      <c r="T51" s="213">
        <v>-770398</v>
      </c>
      <c r="U51" s="213">
        <v>-752198.00500000012</v>
      </c>
      <c r="V51" s="213">
        <v>-762246.89030000009</v>
      </c>
      <c r="W51" s="213">
        <v>-772642.60900000005</v>
      </c>
      <c r="X51" s="213">
        <v>-835616.71799999999</v>
      </c>
      <c r="Y51" s="213">
        <v>-941132.20175799984</v>
      </c>
      <c r="Z51" s="213">
        <v>-1179020</v>
      </c>
      <c r="AA51" s="213"/>
      <c r="AB51" s="337">
        <f t="shared" si="66"/>
        <v>0.25276767471948647</v>
      </c>
      <c r="AC51" s="337">
        <f t="shared" si="67"/>
        <v>0.54676918332322622</v>
      </c>
      <c r="AD51" s="147"/>
      <c r="AE51" s="147"/>
    </row>
    <row r="52" spans="1:32" ht="13" customHeight="1">
      <c r="B52" s="99" t="str">
        <f>IF('Summary | Sumário'!D$6=Names!B$3,Names!O51,Names!Z51)</f>
        <v>Term deposits</v>
      </c>
      <c r="C52" s="218">
        <v>0</v>
      </c>
      <c r="D52" s="218">
        <v>-93319</v>
      </c>
      <c r="E52" s="218">
        <f t="shared" si="62"/>
        <v>-274240.897</v>
      </c>
      <c r="F52" s="218">
        <f t="shared" si="63"/>
        <v>-1028816.8320000001</v>
      </c>
      <c r="G52" s="218">
        <f t="shared" si="64"/>
        <v>-1631470</v>
      </c>
      <c r="H52" s="218">
        <f t="shared" si="65"/>
        <v>-1994190.6705399998</v>
      </c>
      <c r="I52" s="213"/>
      <c r="J52" s="218">
        <v>-25065.286</v>
      </c>
      <c r="K52" s="218">
        <v>-45288.006000000001</v>
      </c>
      <c r="L52" s="218">
        <v>-78002.811000000016</v>
      </c>
      <c r="M52" s="218">
        <v>-125884.79399999999</v>
      </c>
      <c r="N52" s="218">
        <v>-177604.02900000001</v>
      </c>
      <c r="O52" s="218">
        <v>-239713.47799999997</v>
      </c>
      <c r="P52" s="218">
        <v>-301469.19900000002</v>
      </c>
      <c r="Q52" s="218">
        <v>-310030.12600000005</v>
      </c>
      <c r="R52" s="218">
        <v>-354160.50099999999</v>
      </c>
      <c r="S52" s="218">
        <v>-382393</v>
      </c>
      <c r="T52" s="218">
        <v>-448514</v>
      </c>
      <c r="U52" s="218">
        <v>-446402.49900000007</v>
      </c>
      <c r="V52" s="218">
        <v>-432672.71377999999</v>
      </c>
      <c r="W52" s="218">
        <v>-447290.62900000002</v>
      </c>
      <c r="X52" s="218">
        <v>-523227.49734</v>
      </c>
      <c r="Y52" s="218">
        <v>-590999.83041999978</v>
      </c>
      <c r="Z52" s="218">
        <v>-697806</v>
      </c>
      <c r="AA52" s="213"/>
      <c r="AB52" s="336">
        <f t="shared" si="66"/>
        <v>0.180721150975792</v>
      </c>
      <c r="AC52" s="336">
        <f t="shared" si="67"/>
        <v>0.61278023266984127</v>
      </c>
      <c r="AD52" s="147"/>
      <c r="AE52" s="147"/>
    </row>
    <row r="53" spans="1:32" ht="13" customHeight="1">
      <c r="B53" s="492" t="str">
        <f>IF('Summary | Sumário'!D$6=Names!B$3,Names!O52,Names!Z52)</f>
        <v>Funding in the open market</v>
      </c>
      <c r="C53" s="213" t="e">
        <v>#N/A</v>
      </c>
      <c r="D53" s="213" t="e">
        <v>#N/A</v>
      </c>
      <c r="E53" s="213" t="e">
        <f t="shared" si="62"/>
        <v>#N/A</v>
      </c>
      <c r="F53" s="213" t="e">
        <f t="shared" si="63"/>
        <v>#N/A</v>
      </c>
      <c r="G53" s="213" t="e">
        <f t="shared" si="64"/>
        <v>#N/A</v>
      </c>
      <c r="H53" s="213" t="e">
        <f t="shared" si="65"/>
        <v>#N/A</v>
      </c>
      <c r="I53" s="213"/>
      <c r="J53" s="213" t="e">
        <v>#N/A</v>
      </c>
      <c r="K53" s="213" t="e">
        <v>#N/A</v>
      </c>
      <c r="L53" s="213" t="e">
        <v>#N/A</v>
      </c>
      <c r="M53" s="213" t="e">
        <v>#N/A</v>
      </c>
      <c r="N53" s="213" t="e">
        <v>#N/A</v>
      </c>
      <c r="O53" s="213" t="e">
        <v>#N/A</v>
      </c>
      <c r="P53" s="213" t="e">
        <v>#N/A</v>
      </c>
      <c r="Q53" s="213" t="e">
        <v>#N/A</v>
      </c>
      <c r="R53" s="213" t="e">
        <v>#N/A</v>
      </c>
      <c r="S53" s="213" t="e">
        <v>#N/A</v>
      </c>
      <c r="T53" s="213" t="e">
        <v>#N/A</v>
      </c>
      <c r="U53" s="213" t="e">
        <v>#N/A</v>
      </c>
      <c r="V53" s="213" t="e">
        <v>#N/A</v>
      </c>
      <c r="W53" s="213" t="e">
        <v>#N/A</v>
      </c>
      <c r="X53" s="213" t="e">
        <v>#N/A</v>
      </c>
      <c r="Y53" s="213" t="e">
        <v>#N/A</v>
      </c>
      <c r="Z53" s="213" t="e">
        <v>#N/A</v>
      </c>
      <c r="AA53" s="213"/>
      <c r="AB53" s="337" t="e">
        <f t="shared" si="66"/>
        <v>#N/A</v>
      </c>
      <c r="AC53" s="337" t="e">
        <f t="shared" si="67"/>
        <v>#N/A</v>
      </c>
      <c r="AD53" s="147"/>
      <c r="AE53" s="147"/>
    </row>
    <row r="54" spans="1:32" ht="13" customHeight="1">
      <c r="B54" s="99" t="str">
        <f>IF('Summary | Sumário'!D$6=Names!B$3,Names!O53,Names!Z53)</f>
        <v>Financial institutions deposits</v>
      </c>
      <c r="C54" s="218">
        <v>0</v>
      </c>
      <c r="D54" s="218">
        <v>-5056</v>
      </c>
      <c r="E54" s="218">
        <f t="shared" si="62"/>
        <v>-8022.165</v>
      </c>
      <c r="F54" s="218">
        <f t="shared" si="63"/>
        <v>-35469.398000000001</v>
      </c>
      <c r="G54" s="218">
        <f t="shared" si="64"/>
        <v>-131020</v>
      </c>
      <c r="H54" s="218">
        <f t="shared" si="65"/>
        <v>-98169.822</v>
      </c>
      <c r="I54" s="213"/>
      <c r="J54" s="218">
        <v>-217.92599999999999</v>
      </c>
      <c r="K54" s="218">
        <v>-795.05899999999997</v>
      </c>
      <c r="L54" s="218">
        <v>-2778.3970000000004</v>
      </c>
      <c r="M54" s="218">
        <v>-4230.7829999999994</v>
      </c>
      <c r="N54" s="218">
        <v>-3835.453</v>
      </c>
      <c r="O54" s="218">
        <v>-3359.3799999999997</v>
      </c>
      <c r="P54" s="218">
        <v>-7428.7410000000018</v>
      </c>
      <c r="Q54" s="218">
        <v>-20845.823999999997</v>
      </c>
      <c r="R54" s="218">
        <v>-22276.928</v>
      </c>
      <c r="S54" s="218">
        <v>-24105</v>
      </c>
      <c r="T54" s="218">
        <v>-42409</v>
      </c>
      <c r="U54" s="218">
        <v>-42229.072</v>
      </c>
      <c r="V54" s="218">
        <v>-42891.585159999995</v>
      </c>
      <c r="W54" s="218">
        <v>-42552.305</v>
      </c>
      <c r="X54" s="218">
        <v>-4549.9069599999893</v>
      </c>
      <c r="Y54" s="218">
        <v>-8176.0248800000118</v>
      </c>
      <c r="Z54" s="218">
        <v>-15239</v>
      </c>
      <c r="AA54" s="213"/>
      <c r="AB54" s="336">
        <f t="shared" si="66"/>
        <v>0.86386419117648017</v>
      </c>
      <c r="AC54" s="336">
        <f t="shared" si="67"/>
        <v>-0.64470886438089381</v>
      </c>
      <c r="AD54" s="147"/>
      <c r="AE54" s="147"/>
    </row>
    <row r="55" spans="1:32" ht="13" customHeight="1">
      <c r="B55" s="492" t="str">
        <f>IF('Summary | Sumário'!D$6=Names!B$3,Names!O54,Names!Z54)</f>
        <v>Savings</v>
      </c>
      <c r="C55" s="213">
        <v>0</v>
      </c>
      <c r="D55" s="213">
        <v>-8745</v>
      </c>
      <c r="E55" s="213">
        <f t="shared" si="62"/>
        <v>-25639.774000000001</v>
      </c>
      <c r="F55" s="213">
        <f t="shared" si="63"/>
        <v>-80993.372000000003</v>
      </c>
      <c r="G55" s="213">
        <f t="shared" si="64"/>
        <v>-91926</v>
      </c>
      <c r="H55" s="213">
        <f t="shared" si="65"/>
        <v>-102935.47100000001</v>
      </c>
      <c r="I55" s="213"/>
      <c r="J55" s="213">
        <v>-2737.674</v>
      </c>
      <c r="K55" s="213">
        <v>-4166.7550000000001</v>
      </c>
      <c r="L55" s="213">
        <v>-7301.5100000000011</v>
      </c>
      <c r="M55" s="213">
        <v>-11433.834999999999</v>
      </c>
      <c r="N55" s="213">
        <v>-17702.957999999999</v>
      </c>
      <c r="O55" s="213">
        <v>-19864.777000000002</v>
      </c>
      <c r="P55" s="213">
        <v>-21620.343000000001</v>
      </c>
      <c r="Q55" s="213">
        <v>-21805.294000000002</v>
      </c>
      <c r="R55" s="213">
        <v>-22812.173999999999</v>
      </c>
      <c r="S55" s="213">
        <v>-22937</v>
      </c>
      <c r="T55" s="213">
        <v>-24012</v>
      </c>
      <c r="U55" s="213">
        <v>-22164.826000000001</v>
      </c>
      <c r="V55" s="213">
        <v>-23452.67596</v>
      </c>
      <c r="W55" s="213">
        <v>-24598.885999999999</v>
      </c>
      <c r="X55" s="213">
        <v>-26986.819460000002</v>
      </c>
      <c r="Y55" s="213">
        <v>-27897.08958</v>
      </c>
      <c r="Z55" s="213">
        <v>-30306</v>
      </c>
      <c r="AA55" s="213"/>
      <c r="AB55" s="337">
        <f t="shared" si="66"/>
        <v>8.6349882954349422E-2</v>
      </c>
      <c r="AC55" s="337">
        <f t="shared" si="67"/>
        <v>0.29221927816206428</v>
      </c>
      <c r="AD55" s="147"/>
      <c r="AE55" s="147"/>
    </row>
    <row r="56" spans="1:32" ht="13" customHeight="1">
      <c r="B56" s="99" t="str">
        <f>IF('Summary | Sumário'!D$6=Names!B$3,Names!O55,Names!Z55)</f>
        <v xml:space="preserve">Others </v>
      </c>
      <c r="C56" s="218">
        <v>0</v>
      </c>
      <c r="D56" s="218">
        <v>7364.6793500000003</v>
      </c>
      <c r="E56" s="218">
        <f t="shared" si="62"/>
        <v>21586.092000000001</v>
      </c>
      <c r="F56" s="218">
        <f t="shared" si="63"/>
        <v>14380.906110000018</v>
      </c>
      <c r="G56" s="218">
        <f t="shared" si="64"/>
        <v>-1458</v>
      </c>
      <c r="H56" s="218">
        <f t="shared" si="65"/>
        <v>215195.96812633501</v>
      </c>
      <c r="I56" s="213"/>
      <c r="J56" s="218">
        <v>4018.4669999999996</v>
      </c>
      <c r="K56" s="218">
        <v>2171.27</v>
      </c>
      <c r="L56" s="218">
        <v>6261.3210000000008</v>
      </c>
      <c r="M56" s="218">
        <v>9135.0339999999997</v>
      </c>
      <c r="N56" s="218">
        <v>19991.723699999999</v>
      </c>
      <c r="O56" s="218">
        <v>-14255.250899999999</v>
      </c>
      <c r="P56" s="218">
        <v>4359.5800100000197</v>
      </c>
      <c r="Q56" s="218">
        <v>4284.8532999999998</v>
      </c>
      <c r="R56" s="218">
        <v>9761.2691400000203</v>
      </c>
      <c r="S56" s="218">
        <v>57.954070000036197</v>
      </c>
      <c r="T56" s="218">
        <v>7345.8183899999603</v>
      </c>
      <c r="U56" s="218">
        <v>-18623.041600000019</v>
      </c>
      <c r="V56" s="218">
        <v>19548.879910000003</v>
      </c>
      <c r="W56" s="218">
        <v>27154.723109999999</v>
      </c>
      <c r="X56" s="218">
        <v>42287.207184334788</v>
      </c>
      <c r="Y56" s="218">
        <v>126205.15792200022</v>
      </c>
      <c r="Z56" s="218">
        <v>86544</v>
      </c>
      <c r="AA56" s="213"/>
      <c r="AB56" s="336">
        <f t="shared" si="66"/>
        <v>-0.31425940567747934</v>
      </c>
      <c r="AC56" s="336">
        <f t="shared" si="67"/>
        <v>3.4270567110972641</v>
      </c>
      <c r="AD56" s="147"/>
      <c r="AE56" s="147"/>
    </row>
    <row r="57" spans="1:32" ht="13" customHeight="1">
      <c r="B57" s="15" t="str">
        <f>IF('Summary | Sumário'!D$6=Names!B$3,Names!O56,Names!Z56)</f>
        <v>Income from securities, derivatives and foreign exchange</v>
      </c>
      <c r="C57" s="213">
        <v>72729</v>
      </c>
      <c r="D57" s="213">
        <v>-25040</v>
      </c>
      <c r="E57" s="213">
        <f t="shared" si="62"/>
        <v>721949.66599999997</v>
      </c>
      <c r="F57" s="213">
        <f t="shared" si="63"/>
        <v>1605401.1030000001</v>
      </c>
      <c r="G57" s="213">
        <f t="shared" si="64"/>
        <v>1634543</v>
      </c>
      <c r="H57" s="213">
        <f t="shared" si="65"/>
        <v>2629169.8130000001</v>
      </c>
      <c r="I57" s="213"/>
      <c r="J57" s="213">
        <v>74012.403999999995</v>
      </c>
      <c r="K57" s="213">
        <v>89585.596000000005</v>
      </c>
      <c r="L57" s="213">
        <v>224342</v>
      </c>
      <c r="M57" s="213">
        <v>334009.66600000003</v>
      </c>
      <c r="N57" s="213">
        <v>376055.38299999997</v>
      </c>
      <c r="O57" s="213">
        <v>429378.674</v>
      </c>
      <c r="P57" s="213">
        <v>378059.73599999998</v>
      </c>
      <c r="Q57" s="213">
        <v>421907.31</v>
      </c>
      <c r="R57" s="213">
        <v>386325.30200000003</v>
      </c>
      <c r="S57" s="213">
        <v>369367</v>
      </c>
      <c r="T57" s="213">
        <v>508679.01922000002</v>
      </c>
      <c r="U57" s="213">
        <v>370171.67877999996</v>
      </c>
      <c r="V57" s="213">
        <v>537136.61082000006</v>
      </c>
      <c r="W57" s="213">
        <v>642093.19580384996</v>
      </c>
      <c r="X57" s="213">
        <v>587740.70944000012</v>
      </c>
      <c r="Y57" s="213">
        <v>862199.29693614994</v>
      </c>
      <c r="Z57" s="213">
        <v>734744.3</v>
      </c>
      <c r="AA57" s="213"/>
      <c r="AB57" s="337">
        <f t="shared" si="66"/>
        <v>-0.147825447537553</v>
      </c>
      <c r="AC57" s="337">
        <f t="shared" si="67"/>
        <v>0.36789093351564595</v>
      </c>
      <c r="AD57" s="147"/>
      <c r="AE57" s="147"/>
    </row>
    <row r="58" spans="1:32" ht="13" customHeight="1">
      <c r="B58" s="99" t="str">
        <f>IF('Summary | Sumário'!D$6=Names!B$3,Names!O57,Names!Z57)</f>
        <v>Income from securities</v>
      </c>
      <c r="C58" s="218">
        <v>62518</v>
      </c>
      <c r="D58" s="218">
        <v>12060</v>
      </c>
      <c r="E58" s="218">
        <f t="shared" si="62"/>
        <v>745613</v>
      </c>
      <c r="F58" s="218">
        <f t="shared" si="63"/>
        <v>1471737</v>
      </c>
      <c r="G58" s="218">
        <f t="shared" si="64"/>
        <v>1615108</v>
      </c>
      <c r="H58" s="218">
        <f t="shared" si="65"/>
        <v>2007869.4701800002</v>
      </c>
      <c r="I58" s="213"/>
      <c r="J58" s="218">
        <v>88068</v>
      </c>
      <c r="K58" s="218">
        <v>106662</v>
      </c>
      <c r="L58" s="218">
        <v>228420</v>
      </c>
      <c r="M58" s="218">
        <v>322463</v>
      </c>
      <c r="N58" s="218">
        <v>348013</v>
      </c>
      <c r="O58" s="218">
        <v>406846</v>
      </c>
      <c r="P58" s="218">
        <v>340982</v>
      </c>
      <c r="Q58" s="218">
        <v>375896</v>
      </c>
      <c r="R58" s="218">
        <v>370924</v>
      </c>
      <c r="S58" s="218">
        <v>402038</v>
      </c>
      <c r="T58" s="218">
        <v>417887</v>
      </c>
      <c r="U58" s="218">
        <v>424259</v>
      </c>
      <c r="V58" s="218">
        <v>446719</v>
      </c>
      <c r="W58" s="218">
        <v>456585.37339384999</v>
      </c>
      <c r="X58" s="218">
        <v>513731</v>
      </c>
      <c r="Y58" s="218">
        <v>590834.09678615024</v>
      </c>
      <c r="Z58" s="218">
        <v>737446</v>
      </c>
      <c r="AA58" s="213"/>
      <c r="AB58" s="336">
        <f t="shared" si="66"/>
        <v>0.24814394431761322</v>
      </c>
      <c r="AC58" s="336">
        <f t="shared" si="67"/>
        <v>0.65080509223919281</v>
      </c>
      <c r="AD58" s="147"/>
      <c r="AE58" s="147"/>
    </row>
    <row r="59" spans="1:32" ht="13" customHeight="1">
      <c r="B59" s="491" t="str">
        <f>IF('Summary | Sumário'!D$6=Names!B$3,Names!O58,Names!Z58)</f>
        <v>Fair value throught other comprehensive income</v>
      </c>
      <c r="C59" s="213">
        <v>49230</v>
      </c>
      <c r="D59" s="213">
        <v>-7110</v>
      </c>
      <c r="E59" s="213">
        <f t="shared" si="62"/>
        <v>660584</v>
      </c>
      <c r="F59" s="213">
        <f t="shared" si="63"/>
        <v>1100970</v>
      </c>
      <c r="G59" s="213">
        <f t="shared" si="64"/>
        <v>1284794</v>
      </c>
      <c r="H59" s="213">
        <f t="shared" si="65"/>
        <v>1671055.76951</v>
      </c>
      <c r="I59" s="213"/>
      <c r="J59" s="213">
        <v>82568</v>
      </c>
      <c r="K59" s="213">
        <v>86703</v>
      </c>
      <c r="L59" s="213">
        <v>221395</v>
      </c>
      <c r="M59" s="213">
        <v>269918</v>
      </c>
      <c r="N59" s="213">
        <v>272383</v>
      </c>
      <c r="O59" s="213">
        <v>328769</v>
      </c>
      <c r="P59" s="213">
        <v>217653</v>
      </c>
      <c r="Q59" s="213">
        <v>282165</v>
      </c>
      <c r="R59" s="213">
        <v>288695</v>
      </c>
      <c r="S59" s="213">
        <v>295458</v>
      </c>
      <c r="T59" s="213">
        <v>333051</v>
      </c>
      <c r="U59" s="213">
        <v>367590</v>
      </c>
      <c r="V59" s="213">
        <v>380391.57521807228</v>
      </c>
      <c r="W59" s="213">
        <v>381322.39837999997</v>
      </c>
      <c r="X59" s="213">
        <v>406807.95432000002</v>
      </c>
      <c r="Y59" s="213">
        <v>502533.84159192769</v>
      </c>
      <c r="Z59" s="213">
        <v>611742</v>
      </c>
      <c r="AA59" s="213"/>
      <c r="AB59" s="337">
        <f t="shared" si="66"/>
        <v>0.21731503307741917</v>
      </c>
      <c r="AC59" s="337">
        <f t="shared" si="67"/>
        <v>0.60819019098753246</v>
      </c>
      <c r="AD59" s="147"/>
      <c r="AE59" s="147"/>
    </row>
    <row r="60" spans="1:32" ht="13" customHeight="1">
      <c r="B60" s="98" t="str">
        <f>IF('Summary | Sumário'!D$6=Names!B$3,Names!O59,Names!Z59)</f>
        <v>Fair value through proft or loss</v>
      </c>
      <c r="C60" s="218">
        <v>10422</v>
      </c>
      <c r="D60" s="218">
        <v>2021</v>
      </c>
      <c r="E60" s="218">
        <f t="shared" si="62"/>
        <v>-58754</v>
      </c>
      <c r="F60" s="218">
        <f t="shared" si="63"/>
        <v>209400</v>
      </c>
      <c r="G60" s="218">
        <f t="shared" si="64"/>
        <v>194250</v>
      </c>
      <c r="H60" s="218">
        <f t="shared" si="65"/>
        <v>298831.75513000001</v>
      </c>
      <c r="I60" s="213"/>
      <c r="J60" s="218">
        <v>-320</v>
      </c>
      <c r="K60" s="218">
        <v>8357</v>
      </c>
      <c r="L60" s="218">
        <v>4751</v>
      </c>
      <c r="M60" s="218">
        <v>-71542</v>
      </c>
      <c r="N60" s="218">
        <v>47341</v>
      </c>
      <c r="O60" s="218">
        <v>35635</v>
      </c>
      <c r="P60" s="218">
        <v>45470</v>
      </c>
      <c r="Q60" s="218">
        <v>80954</v>
      </c>
      <c r="R60" s="218">
        <v>39277</v>
      </c>
      <c r="S60" s="218">
        <v>55362</v>
      </c>
      <c r="T60" s="218">
        <v>52227</v>
      </c>
      <c r="U60" s="218">
        <v>47384</v>
      </c>
      <c r="V60" s="218">
        <v>49225.531450000009</v>
      </c>
      <c r="W60" s="218">
        <v>63157.945570000011</v>
      </c>
      <c r="X60" s="218">
        <v>102108.89573</v>
      </c>
      <c r="Y60" s="218">
        <v>84339.382379999966</v>
      </c>
      <c r="Z60" s="218">
        <v>122243</v>
      </c>
      <c r="AA60" s="213"/>
      <c r="AB60" s="336">
        <f t="shared" si="66"/>
        <v>0.44941777554430384</v>
      </c>
      <c r="AC60" s="336">
        <f t="shared" si="67"/>
        <v>1.4833251444764235</v>
      </c>
      <c r="AD60" s="147"/>
      <c r="AE60" s="147"/>
    </row>
    <row r="61" spans="1:32" ht="13" customHeight="1">
      <c r="B61" s="491" t="str">
        <f>IF('Summary | Sumário'!D$6=Names!B$3,Names!O60,Names!Z60)</f>
        <v>Amortized cost</v>
      </c>
      <c r="C61" s="213">
        <v>2866</v>
      </c>
      <c r="D61" s="213">
        <v>17149</v>
      </c>
      <c r="E61" s="213">
        <f t="shared" si="62"/>
        <v>143783</v>
      </c>
      <c r="F61" s="213">
        <f t="shared" si="63"/>
        <v>161367</v>
      </c>
      <c r="G61" s="213">
        <f t="shared" si="64"/>
        <v>136064</v>
      </c>
      <c r="H61" s="213">
        <f t="shared" si="65"/>
        <v>37980.945540000001</v>
      </c>
      <c r="I61" s="213"/>
      <c r="J61" s="213">
        <v>5820</v>
      </c>
      <c r="K61" s="213">
        <v>11602</v>
      </c>
      <c r="L61" s="213">
        <v>2274</v>
      </c>
      <c r="M61" s="213">
        <v>124087</v>
      </c>
      <c r="N61" s="213">
        <v>28289</v>
      </c>
      <c r="O61" s="213">
        <v>42442</v>
      </c>
      <c r="P61" s="213">
        <v>77859</v>
      </c>
      <c r="Q61" s="213">
        <v>12777</v>
      </c>
      <c r="R61" s="213">
        <v>42952</v>
      </c>
      <c r="S61" s="213">
        <v>51218</v>
      </c>
      <c r="T61" s="213">
        <v>32609</v>
      </c>
      <c r="U61" s="213">
        <v>9285</v>
      </c>
      <c r="V61" s="213">
        <v>17100.697370000002</v>
      </c>
      <c r="W61" s="213">
        <v>12105.029443849995</v>
      </c>
      <c r="X61" s="213">
        <v>4814.1276680228402</v>
      </c>
      <c r="Y61" s="213">
        <v>3961.0910581271601</v>
      </c>
      <c r="Z61" s="213">
        <v>3461</v>
      </c>
      <c r="AA61" s="213"/>
      <c r="AB61" s="337">
        <f t="shared" si="66"/>
        <v>-0.12625083614301147</v>
      </c>
      <c r="AC61" s="337">
        <f t="shared" si="67"/>
        <v>-0.79761059300004444</v>
      </c>
      <c r="AD61" s="147"/>
      <c r="AE61" s="147"/>
    </row>
    <row r="62" spans="1:32" ht="13" customHeight="1">
      <c r="B62" s="99" t="str">
        <f>IF('Summary | Sumário'!D$6=Names!B$3,Names!O61,Names!Z61)</f>
        <v>Income from derivatives</v>
      </c>
      <c r="C62" s="218">
        <v>4235</v>
      </c>
      <c r="D62" s="218">
        <v>-54418</v>
      </c>
      <c r="E62" s="218">
        <f t="shared" si="62"/>
        <v>-48330.334000000003</v>
      </c>
      <c r="F62" s="218">
        <f t="shared" si="63"/>
        <v>33884.103000000003</v>
      </c>
      <c r="G62" s="218">
        <f t="shared" si="64"/>
        <v>-69273</v>
      </c>
      <c r="H62" s="218">
        <f t="shared" si="65"/>
        <v>546712.54295000003</v>
      </c>
      <c r="I62" s="213"/>
      <c r="J62" s="218">
        <v>-19931.596000000001</v>
      </c>
      <c r="K62" s="218">
        <v>-23765.403999999999</v>
      </c>
      <c r="L62" s="218">
        <v>-9869</v>
      </c>
      <c r="M62" s="218">
        <v>5235.6660000000011</v>
      </c>
      <c r="N62" s="218">
        <v>11009.383</v>
      </c>
      <c r="O62" s="218">
        <v>-3030.3259999999982</v>
      </c>
      <c r="P62" s="218">
        <v>5940.735999999999</v>
      </c>
      <c r="Q62" s="218">
        <v>19964.310000000001</v>
      </c>
      <c r="R62" s="218">
        <v>482.30199999999877</v>
      </c>
      <c r="S62" s="218">
        <v>-58862</v>
      </c>
      <c r="T62" s="218">
        <v>64133.019220000024</v>
      </c>
      <c r="U62" s="218">
        <v>-75026.321220000013</v>
      </c>
      <c r="V62" s="218">
        <v>68661.610820000031</v>
      </c>
      <c r="W62" s="218">
        <v>173310.82241000002</v>
      </c>
      <c r="X62" s="218">
        <v>44424.709440000101</v>
      </c>
      <c r="Y62" s="218">
        <v>260315.40027999989</v>
      </c>
      <c r="Z62" s="218">
        <v>-19187</v>
      </c>
      <c r="AA62" s="213"/>
      <c r="AB62" s="336">
        <f t="shared" si="66"/>
        <v>-1.0737067418192012</v>
      </c>
      <c r="AC62" s="336">
        <f t="shared" si="67"/>
        <v>-1.279442905152629</v>
      </c>
      <c r="AD62" s="147"/>
      <c r="AE62" s="147"/>
    </row>
    <row r="63" spans="1:32" ht="13" customHeight="1">
      <c r="B63" s="491" t="str">
        <f>IF('Summary | Sumário'!D$6=Names!B$3,Names!O62,Names!Z62)</f>
        <v>Future contracts dolar</v>
      </c>
      <c r="C63" s="213">
        <v>0</v>
      </c>
      <c r="D63" s="213">
        <v>80</v>
      </c>
      <c r="E63" s="213">
        <f t="shared" si="62"/>
        <v>2839.3969999999999</v>
      </c>
      <c r="F63" s="213">
        <f t="shared" si="63"/>
        <v>34984.461000000003</v>
      </c>
      <c r="G63" s="213">
        <f t="shared" si="64"/>
        <v>33250</v>
      </c>
      <c r="H63" s="213">
        <f t="shared" si="65"/>
        <v>-48015.81912</v>
      </c>
      <c r="I63" s="213"/>
      <c r="J63" s="213">
        <v>47</v>
      </c>
      <c r="K63" s="213">
        <v>-27</v>
      </c>
      <c r="L63" s="213">
        <v>-486</v>
      </c>
      <c r="M63" s="213">
        <v>3305.3969999999999</v>
      </c>
      <c r="N63" s="213">
        <v>26420.572</v>
      </c>
      <c r="O63" s="213">
        <v>431.68600000000151</v>
      </c>
      <c r="P63" s="213">
        <v>3805.4429999999993</v>
      </c>
      <c r="Q63" s="213">
        <v>4326.760000000002</v>
      </c>
      <c r="R63" s="213">
        <v>13826.72</v>
      </c>
      <c r="S63" s="213">
        <v>7133</v>
      </c>
      <c r="T63" s="213">
        <v>-2828.2197999999735</v>
      </c>
      <c r="U63" s="213">
        <v>15118.499799999972</v>
      </c>
      <c r="V63" s="213">
        <v>3594.1129100000003</v>
      </c>
      <c r="W63" s="213">
        <v>-22517.600689999996</v>
      </c>
      <c r="X63" s="213">
        <v>22983.882399999999</v>
      </c>
      <c r="Y63" s="213">
        <v>-52076.213740000007</v>
      </c>
      <c r="Z63" s="213">
        <v>75736</v>
      </c>
      <c r="AA63" s="213"/>
      <c r="AB63" s="337">
        <f t="shared" si="66"/>
        <v>-2.4543300013730986</v>
      </c>
      <c r="AC63" s="337">
        <f t="shared" si="67"/>
        <v>20.072237265912715</v>
      </c>
      <c r="AD63" s="147"/>
      <c r="AE63" s="147"/>
    </row>
    <row r="64" spans="1:32" ht="13" customHeight="1">
      <c r="B64" s="98" t="str">
        <f>IF('Summary | Sumário'!D$6=Names!B$3,Names!O63,Names!Z63)</f>
        <v>Fixed-term contracts</v>
      </c>
      <c r="C64" s="218">
        <v>4337</v>
      </c>
      <c r="D64" s="218">
        <v>305</v>
      </c>
      <c r="E64" s="218">
        <f t="shared" si="62"/>
        <v>8987.2690000000002</v>
      </c>
      <c r="F64" s="218">
        <f t="shared" si="63"/>
        <v>4475.3869999999997</v>
      </c>
      <c r="G64" s="218">
        <f t="shared" si="64"/>
        <v>-2445</v>
      </c>
      <c r="H64" s="218">
        <f t="shared" si="65"/>
        <v>40987.29176</v>
      </c>
      <c r="I64" s="213"/>
      <c r="J64" s="218">
        <v>239.404</v>
      </c>
      <c r="K64" s="218">
        <v>259.596</v>
      </c>
      <c r="L64" s="218">
        <v>165</v>
      </c>
      <c r="M64" s="218">
        <v>8323.2690000000002</v>
      </c>
      <c r="N64" s="218">
        <v>444.61500000000001</v>
      </c>
      <c r="O64" s="218">
        <v>647.42100000000005</v>
      </c>
      <c r="P64" s="218">
        <v>47.963999999999942</v>
      </c>
      <c r="Q64" s="218">
        <v>3335.3869999999997</v>
      </c>
      <c r="R64" s="218">
        <v>3045.3519999999999</v>
      </c>
      <c r="S64" s="218">
        <v>-5487</v>
      </c>
      <c r="T64" s="218">
        <v>-824.76097999999956</v>
      </c>
      <c r="U64" s="218">
        <v>821.4089799999997</v>
      </c>
      <c r="V64" s="218">
        <v>-1212.2091199999995</v>
      </c>
      <c r="W64" s="218">
        <v>15228.915119999998</v>
      </c>
      <c r="X64" s="218">
        <v>6567.74514</v>
      </c>
      <c r="Y64" s="218">
        <v>20402.840620000003</v>
      </c>
      <c r="Z64" s="218">
        <v>-27091</v>
      </c>
      <c r="AA64" s="213"/>
      <c r="AB64" s="336">
        <f t="shared" si="66"/>
        <v>-2.3278053043968736</v>
      </c>
      <c r="AC64" s="336">
        <f t="shared" si="67"/>
        <v>21.348454200707558</v>
      </c>
      <c r="AD64" s="147"/>
      <c r="AE64" s="147"/>
    </row>
    <row r="65" spans="1:32" ht="13" customHeight="1">
      <c r="B65" s="491" t="str">
        <f>IF('Summary | Sumário'!D$6=Names!B$3,Names!O64,Names!Z64)</f>
        <v>Futures contrats and swaps</v>
      </c>
      <c r="C65" s="213">
        <v>-102</v>
      </c>
      <c r="D65" s="213">
        <v>-54723</v>
      </c>
      <c r="E65" s="213">
        <f t="shared" si="62"/>
        <v>-57317.603000000003</v>
      </c>
      <c r="F65" s="213">
        <f t="shared" si="63"/>
        <v>29408.716000000004</v>
      </c>
      <c r="G65" s="213">
        <f t="shared" si="64"/>
        <v>-66828</v>
      </c>
      <c r="H65" s="213">
        <f t="shared" si="65"/>
        <v>553741.07030999998</v>
      </c>
      <c r="I65" s="213"/>
      <c r="J65" s="213">
        <v>-20171</v>
      </c>
      <c r="K65" s="213">
        <v>-24025</v>
      </c>
      <c r="L65" s="213">
        <v>-10034</v>
      </c>
      <c r="M65" s="213">
        <v>-3087.6030000000001</v>
      </c>
      <c r="N65" s="213">
        <v>10564.768</v>
      </c>
      <c r="O65" s="213">
        <v>-3677.7469999999985</v>
      </c>
      <c r="P65" s="213">
        <v>5892.771999999999</v>
      </c>
      <c r="Q65" s="213">
        <v>16628.923000000003</v>
      </c>
      <c r="R65" s="213">
        <v>-2563.0500000000011</v>
      </c>
      <c r="S65" s="213">
        <v>-53375</v>
      </c>
      <c r="T65" s="213">
        <v>64957.780200000023</v>
      </c>
      <c r="U65" s="213">
        <v>-75847.73020000002</v>
      </c>
      <c r="V65" s="213">
        <v>69873.819940000001</v>
      </c>
      <c r="W65" s="213">
        <v>158081.90729</v>
      </c>
      <c r="X65" s="213">
        <v>37856.964300000094</v>
      </c>
      <c r="Y65" s="213">
        <v>287928.37877999985</v>
      </c>
      <c r="Z65" s="213">
        <v>7904</v>
      </c>
      <c r="AA65" s="213"/>
      <c r="AB65" s="337">
        <f t="shared" si="66"/>
        <v>-0.97254872884190657</v>
      </c>
      <c r="AC65" s="337">
        <f t="shared" si="67"/>
        <v>-0.88688181057244198</v>
      </c>
      <c r="AD65" s="147"/>
      <c r="AE65" s="147"/>
    </row>
    <row r="66" spans="1:32" ht="13" customHeight="1">
      <c r="B66" s="116" t="str">
        <f>IF('Summary | Sumário'!D$6=Names!B$3,Names!O65,Names!Z65)</f>
        <v>Hedge accounting real estate loans</v>
      </c>
      <c r="C66" s="220">
        <v>0</v>
      </c>
      <c r="D66" s="218">
        <v>-70972.398829336977</v>
      </c>
      <c r="E66" s="218">
        <f t="shared" si="62"/>
        <v>-73354.239000000001</v>
      </c>
      <c r="F66" s="218">
        <f t="shared" si="63"/>
        <v>-27585.400999999998</v>
      </c>
      <c r="G66" s="218">
        <f t="shared" si="64"/>
        <v>-9439.8214100000023</v>
      </c>
      <c r="H66" s="218">
        <f t="shared" si="65"/>
        <v>208310.60479145829</v>
      </c>
      <c r="I66" s="213"/>
      <c r="J66" s="218">
        <v>-16468.116999999998</v>
      </c>
      <c r="K66" s="218">
        <v>-36410.913999999997</v>
      </c>
      <c r="L66" s="218">
        <v>-2915.415</v>
      </c>
      <c r="M66" s="218">
        <v>-17559.793000000001</v>
      </c>
      <c r="N66" s="218">
        <v>-8323.277</v>
      </c>
      <c r="O66" s="218">
        <v>-14497.851000000001</v>
      </c>
      <c r="P66" s="218">
        <v>-8870.1569999999992</v>
      </c>
      <c r="Q66" s="218">
        <v>4105.884</v>
      </c>
      <c r="R66" s="218">
        <v>-5114.3909999999996</v>
      </c>
      <c r="S66" s="218">
        <v>6039.93</v>
      </c>
      <c r="T66" s="218">
        <v>6136.5408399999997</v>
      </c>
      <c r="U66" s="218">
        <v>-16501.901250000003</v>
      </c>
      <c r="V66" s="218">
        <v>26412.795423179959</v>
      </c>
      <c r="W66" s="218">
        <v>67242.322886524373</v>
      </c>
      <c r="X66" s="218">
        <v>10952.83</v>
      </c>
      <c r="Y66" s="218">
        <v>103702.65648175398</v>
      </c>
      <c r="Z66" s="218">
        <v>-15169.155000000001</v>
      </c>
      <c r="AA66" s="213"/>
      <c r="AB66" s="336">
        <f t="shared" si="66"/>
        <v>-1.1462754717635315</v>
      </c>
      <c r="AC66" s="336">
        <f t="shared" si="67"/>
        <v>-1.5743108503648764</v>
      </c>
      <c r="AD66" s="147"/>
      <c r="AE66" s="147"/>
    </row>
    <row r="67" spans="1:32" ht="13" customHeight="1">
      <c r="B67" s="493" t="str">
        <f>IF('Summary | Sumário'!D$6=Names!B$3,Names!O66,Names!Z66)</f>
        <v>Hedge accounting from personal loans</v>
      </c>
      <c r="C67" s="219">
        <v>0</v>
      </c>
      <c r="D67" s="213">
        <v>0</v>
      </c>
      <c r="E67" s="213">
        <f t="shared" si="62"/>
        <v>0</v>
      </c>
      <c r="F67" s="213">
        <f t="shared" si="63"/>
        <v>0</v>
      </c>
      <c r="G67" s="213">
        <f t="shared" si="64"/>
        <v>-104805.87383</v>
      </c>
      <c r="H67" s="213">
        <f t="shared" si="65"/>
        <v>343477.48167000001</v>
      </c>
      <c r="I67" s="213"/>
      <c r="J67" s="213">
        <v>0</v>
      </c>
      <c r="K67" s="213">
        <v>0</v>
      </c>
      <c r="L67" s="213">
        <v>0</v>
      </c>
      <c r="M67" s="213">
        <v>0</v>
      </c>
      <c r="N67" s="213">
        <v>0</v>
      </c>
      <c r="O67" s="213">
        <v>0</v>
      </c>
      <c r="P67" s="213">
        <v>0</v>
      </c>
      <c r="Q67" s="213">
        <v>0</v>
      </c>
      <c r="R67" s="213">
        <v>-14277.970720000001</v>
      </c>
      <c r="S67" s="213">
        <v>-65034.58827</v>
      </c>
      <c r="T67" s="213">
        <v>45457.766470000002</v>
      </c>
      <c r="U67" s="213">
        <v>-70951.081309999994</v>
      </c>
      <c r="V67" s="213">
        <v>42486.294860000002</v>
      </c>
      <c r="W67" s="213">
        <v>120316.48633000001</v>
      </c>
      <c r="X67" s="213">
        <v>10504.47</v>
      </c>
      <c r="Y67" s="213">
        <v>170170.23048</v>
      </c>
      <c r="Z67" s="213">
        <v>-52954.925000000003</v>
      </c>
      <c r="AA67" s="213"/>
      <c r="AB67" s="337">
        <f t="shared" si="66"/>
        <v>-1.3111879489769143</v>
      </c>
      <c r="AC67" s="337">
        <f t="shared" si="67"/>
        <v>-2.2464001667948694</v>
      </c>
      <c r="AD67" s="147"/>
      <c r="AE67" s="147"/>
    </row>
    <row r="68" spans="1:32" ht="13" customHeight="1">
      <c r="B68" s="116" t="str">
        <f>IF('Summary | Sumário'!D$6=Names!B$3,Names!O67,Names!Z67)</f>
        <v>Other results</v>
      </c>
      <c r="C68" s="220">
        <v>0</v>
      </c>
      <c r="D68" s="218">
        <v>16169.398829336977</v>
      </c>
      <c r="E68" s="218">
        <f t="shared" si="62"/>
        <v>13197.238999999998</v>
      </c>
      <c r="F68" s="218">
        <f t="shared" si="63"/>
        <v>56994.117000000006</v>
      </c>
      <c r="G68" s="218">
        <f t="shared" si="64"/>
        <v>47417.695240000001</v>
      </c>
      <c r="H68" s="218">
        <f t="shared" si="65"/>
        <v>1952.9838485416585</v>
      </c>
      <c r="I68" s="213"/>
      <c r="J68" s="218">
        <v>-3749.8830000000016</v>
      </c>
      <c r="K68" s="218">
        <v>12412.913999999997</v>
      </c>
      <c r="L68" s="218">
        <v>-6632.585</v>
      </c>
      <c r="M68" s="218">
        <v>11166.793000000001</v>
      </c>
      <c r="N68" s="218">
        <v>18888.044999999998</v>
      </c>
      <c r="O68" s="218">
        <v>10820.104000000003</v>
      </c>
      <c r="P68" s="218">
        <v>14762.928999999998</v>
      </c>
      <c r="Q68" s="218">
        <v>12523.039000000002</v>
      </c>
      <c r="R68" s="218">
        <v>16829.311719999998</v>
      </c>
      <c r="S68" s="218">
        <v>5619.6582699999999</v>
      </c>
      <c r="T68" s="218">
        <v>13363.472890000019</v>
      </c>
      <c r="U68" s="218">
        <v>11605.252359999984</v>
      </c>
      <c r="V68" s="218">
        <v>974.72965682003996</v>
      </c>
      <c r="W68" s="218">
        <v>-29476.901926524384</v>
      </c>
      <c r="X68" s="218">
        <v>16399.664300000095</v>
      </c>
      <c r="Y68" s="218">
        <v>14055.491818245908</v>
      </c>
      <c r="Z68" s="218">
        <v>76028.08</v>
      </c>
      <c r="AA68" s="213"/>
      <c r="AB68" s="336">
        <f t="shared" si="66"/>
        <v>4.409136939719561</v>
      </c>
      <c r="AC68" s="336">
        <f t="shared" si="67"/>
        <v>76.999145166090628</v>
      </c>
      <c r="AD68" s="147"/>
      <c r="AE68" s="147"/>
    </row>
    <row r="69" spans="1:32" ht="13" customHeight="1">
      <c r="B69" s="492" t="str">
        <f>IF('Summary | Sumário'!D$6=Names!B$3,Names!O68,Names!Z68)</f>
        <v>Revenue foreign exchange</v>
      </c>
      <c r="C69" s="219">
        <v>5976</v>
      </c>
      <c r="D69" s="213">
        <v>17318</v>
      </c>
      <c r="E69" s="213">
        <v>24667</v>
      </c>
      <c r="F69" s="213">
        <v>99780</v>
      </c>
      <c r="G69" s="213">
        <v>88708</v>
      </c>
      <c r="H69" s="213">
        <f t="shared" si="65"/>
        <v>74587.800272134002</v>
      </c>
      <c r="I69" s="213"/>
      <c r="J69" s="213">
        <v>5876</v>
      </c>
      <c r="K69" s="213">
        <v>6689</v>
      </c>
      <c r="L69" s="213">
        <v>5791</v>
      </c>
      <c r="M69" s="213">
        <v>6311</v>
      </c>
      <c r="N69" s="213">
        <v>17033</v>
      </c>
      <c r="O69" s="213">
        <v>25563</v>
      </c>
      <c r="P69" s="213">
        <v>31137</v>
      </c>
      <c r="Q69" s="213">
        <v>26047</v>
      </c>
      <c r="R69" s="213">
        <v>14919</v>
      </c>
      <c r="S69" s="213">
        <v>26191</v>
      </c>
      <c r="T69" s="213">
        <v>26659</v>
      </c>
      <c r="U69" s="213">
        <v>20939</v>
      </c>
      <c r="V69" s="213">
        <v>21756</v>
      </c>
      <c r="W69" s="213">
        <v>12197</v>
      </c>
      <c r="X69" s="213">
        <v>29585</v>
      </c>
      <c r="Y69" s="213">
        <v>11049.800272134002</v>
      </c>
      <c r="Z69" s="213">
        <v>16485.3</v>
      </c>
      <c r="AA69" s="213"/>
      <c r="AB69" s="506">
        <f t="shared" si="66"/>
        <v>0.49190931908276592</v>
      </c>
      <c r="AC69" s="506">
        <f t="shared" si="67"/>
        <v>-0.24226420297848872</v>
      </c>
      <c r="AD69" s="147"/>
      <c r="AE69" s="147"/>
    </row>
    <row r="70" spans="1:32" ht="13" customHeight="1">
      <c r="A70" s="198"/>
      <c r="B70" s="515" t="str">
        <f>IF('Summary | Sumário'!D$6=Names!B$3,Names!O44,Names!Z44)</f>
        <v>Net interest income and income from securities, derivatives and foreing exchange</v>
      </c>
      <c r="C70" s="516">
        <v>591527</v>
      </c>
      <c r="D70" s="516">
        <v>733280.89517999999</v>
      </c>
      <c r="E70" s="516">
        <f t="shared" si="62"/>
        <v>1614134.912</v>
      </c>
      <c r="F70" s="516">
        <f t="shared" si="63"/>
        <v>2435209.1849999996</v>
      </c>
      <c r="G70" s="516">
        <f t="shared" si="64"/>
        <v>3296796.9950000001</v>
      </c>
      <c r="H70" s="516">
        <f t="shared" si="65"/>
        <v>4456744.3939420003</v>
      </c>
      <c r="I70" s="505"/>
      <c r="J70" s="516">
        <v>297457.33899999998</v>
      </c>
      <c r="K70" s="516">
        <v>308984.34700000007</v>
      </c>
      <c r="L70" s="516">
        <v>453160.88</v>
      </c>
      <c r="M70" s="516">
        <v>554532.34600000002</v>
      </c>
      <c r="N70" s="516">
        <v>560444.0149999999</v>
      </c>
      <c r="O70" s="516">
        <v>586650.3110000001</v>
      </c>
      <c r="P70" s="516">
        <v>586724.46699999995</v>
      </c>
      <c r="Q70" s="516">
        <v>701390.39199999999</v>
      </c>
      <c r="R70" s="516">
        <v>726481.12400000007</v>
      </c>
      <c r="S70" s="516">
        <v>828266</v>
      </c>
      <c r="T70" s="516">
        <v>845216.10796000005</v>
      </c>
      <c r="U70" s="516">
        <v>896833.76303999987</v>
      </c>
      <c r="V70" s="516">
        <v>992420.72051999974</v>
      </c>
      <c r="W70" s="516">
        <v>1041865.7258038499</v>
      </c>
      <c r="X70" s="516">
        <v>1164350.1315736333</v>
      </c>
      <c r="Y70" s="516">
        <v>1258107.8160445173</v>
      </c>
      <c r="Z70" s="516">
        <v>1362594.3</v>
      </c>
      <c r="AA70" s="505"/>
      <c r="AB70" s="518">
        <f t="shared" si="66"/>
        <v>8.305050061924546E-2</v>
      </c>
      <c r="AC70" s="518">
        <f t="shared" si="67"/>
        <v>0.3730006556957417</v>
      </c>
      <c r="AD70" s="147"/>
      <c r="AE70" s="147"/>
      <c r="AF70" s="195"/>
    </row>
    <row r="71" spans="1:32" ht="13" customHeight="1">
      <c r="A71" s="198"/>
      <c r="B71" s="514"/>
      <c r="C71" s="505"/>
      <c r="D71" s="505"/>
      <c r="E71" s="505"/>
      <c r="F71" s="505"/>
      <c r="G71" s="505"/>
      <c r="H71" s="505"/>
      <c r="I71" s="505"/>
      <c r="J71" s="505"/>
      <c r="K71" s="505"/>
      <c r="L71" s="505"/>
      <c r="M71" s="505"/>
      <c r="N71" s="505"/>
      <c r="O71" s="505"/>
      <c r="P71" s="505"/>
      <c r="Q71" s="505"/>
      <c r="R71" s="505"/>
      <c r="S71" s="505"/>
      <c r="T71" s="505"/>
      <c r="U71" s="505"/>
      <c r="V71" s="505"/>
      <c r="W71" s="505"/>
      <c r="X71" s="505"/>
      <c r="Y71" s="505"/>
      <c r="Z71" s="505"/>
      <c r="AA71" s="505"/>
      <c r="AB71" s="318"/>
      <c r="AC71" s="318"/>
      <c r="AD71" s="147"/>
      <c r="AE71" s="147"/>
      <c r="AF71" s="195"/>
    </row>
    <row r="72" spans="1:32" ht="13" customHeight="1">
      <c r="A72" s="198"/>
      <c r="B72" s="51" t="str">
        <f>IF('Summary | Sumário'!D$6=Names!B$3,Names!AC31,Names!AD31)</f>
        <v>NII</v>
      </c>
      <c r="C72" s="517"/>
      <c r="D72" s="517"/>
      <c r="E72" s="517"/>
      <c r="F72" s="517"/>
      <c r="G72" s="517"/>
      <c r="H72" s="517"/>
      <c r="I72" s="505"/>
      <c r="J72" s="517"/>
      <c r="K72" s="517"/>
      <c r="L72" s="517"/>
      <c r="M72" s="517"/>
      <c r="N72" s="517"/>
      <c r="O72" s="517"/>
      <c r="P72" s="517"/>
      <c r="Q72" s="517"/>
      <c r="R72" s="517"/>
      <c r="S72" s="517"/>
      <c r="T72" s="517"/>
      <c r="U72" s="517"/>
      <c r="V72" s="517"/>
      <c r="W72" s="517"/>
      <c r="X72" s="517"/>
      <c r="Y72" s="517"/>
      <c r="Z72" s="517"/>
      <c r="AA72" s="505"/>
      <c r="AB72" s="518"/>
      <c r="AC72" s="518"/>
      <c r="AD72" s="147"/>
      <c r="AE72" s="147"/>
      <c r="AF72" s="195"/>
    </row>
    <row r="73" spans="1:32" ht="13" customHeight="1">
      <c r="A73" s="198"/>
      <c r="B73" s="264" t="str">
        <f>IF('Summary | Sumário'!D$6=Names!B$3,Names!O32,Names!Z32)</f>
        <v>Interest income</v>
      </c>
      <c r="C73" s="520">
        <f t="shared" ref="C73:H73" si="68">C42</f>
        <v>775515</v>
      </c>
      <c r="D73" s="520">
        <f t="shared" si="68"/>
        <v>942655.89517999999</v>
      </c>
      <c r="E73" s="520">
        <f t="shared" si="68"/>
        <v>1435427.246</v>
      </c>
      <c r="F73" s="520">
        <f t="shared" si="68"/>
        <v>2802658.0819999999</v>
      </c>
      <c r="G73" s="520">
        <f t="shared" si="68"/>
        <v>4549827</v>
      </c>
      <c r="H73" s="520">
        <f t="shared" si="68"/>
        <v>5139213.5399445314</v>
      </c>
      <c r="I73" s="505"/>
      <c r="J73" s="520">
        <f t="shared" ref="J73:X73" si="69">J42</f>
        <v>289003.935</v>
      </c>
      <c r="K73" s="520">
        <f t="shared" si="69"/>
        <v>305659.75100000005</v>
      </c>
      <c r="L73" s="520">
        <f t="shared" si="69"/>
        <v>367405.88</v>
      </c>
      <c r="M73" s="520">
        <f t="shared" si="69"/>
        <v>473357.68</v>
      </c>
      <c r="N73" s="520">
        <f t="shared" si="69"/>
        <v>521159.63199999993</v>
      </c>
      <c r="O73" s="520">
        <f t="shared" si="69"/>
        <v>622312.6370000001</v>
      </c>
      <c r="P73" s="520">
        <f t="shared" si="69"/>
        <v>788342.73100000003</v>
      </c>
      <c r="Q73" s="520">
        <f t="shared" si="69"/>
        <v>870843.08199999994</v>
      </c>
      <c r="R73" s="520">
        <f t="shared" si="69"/>
        <v>1012926.822</v>
      </c>
      <c r="S73" s="520">
        <f t="shared" si="69"/>
        <v>1151105</v>
      </c>
      <c r="T73" s="520">
        <f t="shared" si="69"/>
        <v>1106935.08874</v>
      </c>
      <c r="U73" s="520">
        <f t="shared" si="69"/>
        <v>1278860.08926</v>
      </c>
      <c r="V73" s="520">
        <f t="shared" si="69"/>
        <v>1217530.9999999998</v>
      </c>
      <c r="W73" s="520">
        <f t="shared" si="69"/>
        <v>1172415.139</v>
      </c>
      <c r="X73" s="520">
        <f t="shared" si="69"/>
        <v>1412226.140133633</v>
      </c>
      <c r="Y73" s="520">
        <f>Y42</f>
        <v>1337041.2608108988</v>
      </c>
      <c r="Z73" s="520">
        <f>Z42</f>
        <v>1806870</v>
      </c>
      <c r="AA73" s="505"/>
      <c r="AB73" s="523">
        <f t="shared" ref="AB73:AB77" si="70">Z73/Y73-1</f>
        <v>0.35139434582905538</v>
      </c>
      <c r="AC73" s="523">
        <f t="shared" ref="AC73:AC77" si="71">Z73/V73-1</f>
        <v>0.48404434876812208</v>
      </c>
      <c r="AD73" s="147"/>
      <c r="AE73" s="147"/>
      <c r="AF73" s="195"/>
    </row>
    <row r="74" spans="1:32" ht="13" customHeight="1">
      <c r="A74" s="198"/>
      <c r="B74" s="21" t="str">
        <f>IF('Summary | Sumário'!D$6=Names!B$3,Names!O42,Names!Z42)</f>
        <v>Interest expenses</v>
      </c>
      <c r="C74" s="521">
        <f t="shared" ref="C74:H74" si="72">C51</f>
        <v>-256717</v>
      </c>
      <c r="D74" s="521">
        <f t="shared" si="72"/>
        <v>-184335</v>
      </c>
      <c r="E74" s="521">
        <f t="shared" si="72"/>
        <v>-543242</v>
      </c>
      <c r="F74" s="521">
        <f t="shared" si="72"/>
        <v>-1972850</v>
      </c>
      <c r="G74" s="521">
        <f t="shared" si="72"/>
        <v>-2887573.0049999999</v>
      </c>
      <c r="H74" s="521">
        <f t="shared" si="72"/>
        <v>-3311638.4190579997</v>
      </c>
      <c r="I74" s="505"/>
      <c r="J74" s="521">
        <f t="shared" ref="J74:X74" si="73">J51</f>
        <v>-65559</v>
      </c>
      <c r="K74" s="521">
        <f t="shared" si="73"/>
        <v>-86261</v>
      </c>
      <c r="L74" s="521">
        <f t="shared" si="73"/>
        <v>-138587</v>
      </c>
      <c r="M74" s="521">
        <f t="shared" si="73"/>
        <v>-252835</v>
      </c>
      <c r="N74" s="521">
        <f t="shared" si="73"/>
        <v>-336771</v>
      </c>
      <c r="O74" s="521">
        <f t="shared" si="73"/>
        <v>-465041</v>
      </c>
      <c r="P74" s="521">
        <f t="shared" si="73"/>
        <v>-579678</v>
      </c>
      <c r="Q74" s="521">
        <f t="shared" si="73"/>
        <v>-591360</v>
      </c>
      <c r="R74" s="521">
        <f t="shared" si="73"/>
        <v>-672771</v>
      </c>
      <c r="S74" s="521">
        <f t="shared" si="73"/>
        <v>-692206</v>
      </c>
      <c r="T74" s="521">
        <f t="shared" si="73"/>
        <v>-770398</v>
      </c>
      <c r="U74" s="521">
        <f t="shared" si="73"/>
        <v>-752198.00500000012</v>
      </c>
      <c r="V74" s="521">
        <f t="shared" si="73"/>
        <v>-762246.89030000009</v>
      </c>
      <c r="W74" s="521">
        <f t="shared" si="73"/>
        <v>-772642.60900000005</v>
      </c>
      <c r="X74" s="521">
        <f t="shared" si="73"/>
        <v>-835616.71799999999</v>
      </c>
      <c r="Y74" s="521">
        <f>Y51</f>
        <v>-941132.20175799984</v>
      </c>
      <c r="Z74" s="521">
        <f>Z51</f>
        <v>-1179020</v>
      </c>
      <c r="AA74" s="505"/>
      <c r="AB74" s="332">
        <f t="shared" si="70"/>
        <v>0.25276767471948647</v>
      </c>
      <c r="AC74" s="332">
        <f t="shared" si="71"/>
        <v>0.54676918332322622</v>
      </c>
      <c r="AD74" s="147"/>
      <c r="AE74" s="147"/>
      <c r="AF74" s="195"/>
    </row>
    <row r="75" spans="1:32" ht="13" customHeight="1">
      <c r="A75" s="198"/>
      <c r="B75" s="15" t="str">
        <f>IF('Summary | Sumário'!D$6=Names!B$3,Names!O57,Names!Z57)</f>
        <v>Income from securities</v>
      </c>
      <c r="C75" s="522">
        <f t="shared" ref="C75:H75" si="74">C58</f>
        <v>62518</v>
      </c>
      <c r="D75" s="522">
        <f t="shared" si="74"/>
        <v>12060</v>
      </c>
      <c r="E75" s="522">
        <f t="shared" si="74"/>
        <v>745613</v>
      </c>
      <c r="F75" s="522">
        <f t="shared" si="74"/>
        <v>1471737</v>
      </c>
      <c r="G75" s="522">
        <f t="shared" si="74"/>
        <v>1615108</v>
      </c>
      <c r="H75" s="522">
        <f t="shared" si="74"/>
        <v>2007869.4701800002</v>
      </c>
      <c r="I75" s="505"/>
      <c r="J75" s="522">
        <f t="shared" ref="J75:X75" si="75">J58</f>
        <v>88068</v>
      </c>
      <c r="K75" s="522">
        <f t="shared" si="75"/>
        <v>106662</v>
      </c>
      <c r="L75" s="522">
        <f t="shared" si="75"/>
        <v>228420</v>
      </c>
      <c r="M75" s="522">
        <f t="shared" si="75"/>
        <v>322463</v>
      </c>
      <c r="N75" s="522">
        <f t="shared" si="75"/>
        <v>348013</v>
      </c>
      <c r="O75" s="522">
        <f t="shared" si="75"/>
        <v>406846</v>
      </c>
      <c r="P75" s="522">
        <f t="shared" si="75"/>
        <v>340982</v>
      </c>
      <c r="Q75" s="522">
        <f t="shared" si="75"/>
        <v>375896</v>
      </c>
      <c r="R75" s="522">
        <f t="shared" si="75"/>
        <v>370924</v>
      </c>
      <c r="S75" s="522">
        <f t="shared" si="75"/>
        <v>402038</v>
      </c>
      <c r="T75" s="522">
        <f t="shared" si="75"/>
        <v>417887</v>
      </c>
      <c r="U75" s="522">
        <f t="shared" si="75"/>
        <v>424259</v>
      </c>
      <c r="V75" s="522">
        <f t="shared" si="75"/>
        <v>446719</v>
      </c>
      <c r="W75" s="522">
        <f t="shared" si="75"/>
        <v>456585.37339384999</v>
      </c>
      <c r="X75" s="522">
        <f t="shared" si="75"/>
        <v>513731</v>
      </c>
      <c r="Y75" s="522">
        <f>Y58</f>
        <v>590834.09678615024</v>
      </c>
      <c r="Z75" s="522">
        <f>Z58</f>
        <v>737446</v>
      </c>
      <c r="AA75" s="505"/>
      <c r="AB75" s="308">
        <f t="shared" si="70"/>
        <v>0.24814394431761322</v>
      </c>
      <c r="AC75" s="308">
        <f t="shared" si="71"/>
        <v>0.65080509223919281</v>
      </c>
      <c r="AD75" s="147"/>
      <c r="AE75" s="147"/>
      <c r="AF75" s="195"/>
    </row>
    <row r="76" spans="1:32" ht="13" customHeight="1">
      <c r="A76" s="198"/>
      <c r="B76" s="21" t="str">
        <f>IF('Summary | Sumário'!D$6=Names!B$3,Names!O61,Names!Z61)</f>
        <v>Income from derivatives</v>
      </c>
      <c r="C76" s="521">
        <f t="shared" ref="C76:H76" si="76">C62</f>
        <v>4235</v>
      </c>
      <c r="D76" s="521">
        <f t="shared" si="76"/>
        <v>-54418</v>
      </c>
      <c r="E76" s="521">
        <f t="shared" si="76"/>
        <v>-48330.334000000003</v>
      </c>
      <c r="F76" s="521">
        <f t="shared" si="76"/>
        <v>33884.103000000003</v>
      </c>
      <c r="G76" s="521">
        <f t="shared" si="76"/>
        <v>-69273</v>
      </c>
      <c r="H76" s="521">
        <f t="shared" si="76"/>
        <v>546712.54295000003</v>
      </c>
      <c r="I76" s="505"/>
      <c r="J76" s="521">
        <f t="shared" ref="J76:X76" si="77">J62</f>
        <v>-19931.596000000001</v>
      </c>
      <c r="K76" s="521">
        <f t="shared" si="77"/>
        <v>-23765.403999999999</v>
      </c>
      <c r="L76" s="521">
        <f t="shared" si="77"/>
        <v>-9869</v>
      </c>
      <c r="M76" s="521">
        <f t="shared" si="77"/>
        <v>5235.6660000000011</v>
      </c>
      <c r="N76" s="521">
        <f t="shared" si="77"/>
        <v>11009.383</v>
      </c>
      <c r="O76" s="521">
        <f t="shared" si="77"/>
        <v>-3030.3259999999982</v>
      </c>
      <c r="P76" s="521">
        <f t="shared" si="77"/>
        <v>5940.735999999999</v>
      </c>
      <c r="Q76" s="521">
        <f t="shared" si="77"/>
        <v>19964.310000000001</v>
      </c>
      <c r="R76" s="521">
        <f t="shared" si="77"/>
        <v>482.30199999999877</v>
      </c>
      <c r="S76" s="521">
        <f t="shared" si="77"/>
        <v>-58862</v>
      </c>
      <c r="T76" s="521">
        <f t="shared" si="77"/>
        <v>64133.019220000024</v>
      </c>
      <c r="U76" s="521">
        <f t="shared" si="77"/>
        <v>-75026.321220000013</v>
      </c>
      <c r="V76" s="521">
        <f t="shared" si="77"/>
        <v>68661.610820000031</v>
      </c>
      <c r="W76" s="521">
        <f t="shared" si="77"/>
        <v>173310.82241000002</v>
      </c>
      <c r="X76" s="521">
        <f t="shared" si="77"/>
        <v>44424.709440000101</v>
      </c>
      <c r="Y76" s="521">
        <f>Y62</f>
        <v>260315.40027999989</v>
      </c>
      <c r="Z76" s="521">
        <f>Z62</f>
        <v>-19187</v>
      </c>
      <c r="AA76" s="505"/>
      <c r="AB76" s="332">
        <f t="shared" si="70"/>
        <v>-1.0737067418192012</v>
      </c>
      <c r="AC76" s="332">
        <f t="shared" si="71"/>
        <v>-1.279442905152629</v>
      </c>
      <c r="AD76" s="147"/>
      <c r="AE76" s="147"/>
      <c r="AF76" s="195"/>
    </row>
    <row r="77" spans="1:32" ht="13" customHeight="1">
      <c r="A77" s="198"/>
      <c r="B77" s="489" t="str">
        <f>IF('Summary | Sumário'!D$6=Names!B$3,Names!AC31,Names!AD31)</f>
        <v>NII</v>
      </c>
      <c r="C77" s="490">
        <f t="shared" ref="C77:H77" si="78">SUM(C73:C76)</f>
        <v>585551</v>
      </c>
      <c r="D77" s="490">
        <f t="shared" si="78"/>
        <v>715962.89517999999</v>
      </c>
      <c r="E77" s="490">
        <f t="shared" si="78"/>
        <v>1589467.912</v>
      </c>
      <c r="F77" s="490">
        <f t="shared" si="78"/>
        <v>2335429.1850000001</v>
      </c>
      <c r="G77" s="490">
        <f t="shared" si="78"/>
        <v>3208088.9950000001</v>
      </c>
      <c r="H77" s="490">
        <f t="shared" si="78"/>
        <v>4382157.1340165315</v>
      </c>
      <c r="I77" s="505"/>
      <c r="J77" s="490">
        <f t="shared" ref="J77:X77" si="79">SUM(J73:J76)</f>
        <v>291581.33899999998</v>
      </c>
      <c r="K77" s="490">
        <f t="shared" si="79"/>
        <v>302295.34700000007</v>
      </c>
      <c r="L77" s="490">
        <f t="shared" si="79"/>
        <v>447369.88</v>
      </c>
      <c r="M77" s="490">
        <f t="shared" si="79"/>
        <v>548221.3459999999</v>
      </c>
      <c r="N77" s="490">
        <f t="shared" si="79"/>
        <v>543411.01500000001</v>
      </c>
      <c r="O77" s="490">
        <f t="shared" si="79"/>
        <v>561087.3110000001</v>
      </c>
      <c r="P77" s="490">
        <f t="shared" si="79"/>
        <v>555587.46700000006</v>
      </c>
      <c r="Q77" s="490">
        <f t="shared" si="79"/>
        <v>675343.39199999999</v>
      </c>
      <c r="R77" s="490">
        <f t="shared" si="79"/>
        <v>711562.12400000007</v>
      </c>
      <c r="S77" s="490">
        <f t="shared" si="79"/>
        <v>802075</v>
      </c>
      <c r="T77" s="490">
        <f t="shared" si="79"/>
        <v>818557.10796000005</v>
      </c>
      <c r="U77" s="490">
        <f t="shared" si="79"/>
        <v>875894.76303999987</v>
      </c>
      <c r="V77" s="490">
        <f t="shared" si="79"/>
        <v>970664.72051999974</v>
      </c>
      <c r="W77" s="490">
        <f t="shared" si="79"/>
        <v>1029668.72580385</v>
      </c>
      <c r="X77" s="490">
        <f t="shared" si="79"/>
        <v>1134765.1315736331</v>
      </c>
      <c r="Y77" s="490">
        <f>SUM(Y73:Y76)</f>
        <v>1247058.5561190492</v>
      </c>
      <c r="Z77" s="490">
        <f>SUM(Z73:Z76)</f>
        <v>1346109</v>
      </c>
      <c r="AA77" s="505"/>
      <c r="AB77" s="519">
        <f t="shared" si="70"/>
        <v>7.9427259766537306E-2</v>
      </c>
      <c r="AC77" s="519">
        <f t="shared" si="71"/>
        <v>0.38679089859047222</v>
      </c>
      <c r="AD77" s="147"/>
      <c r="AE77" s="147"/>
      <c r="AF77" s="195"/>
    </row>
    <row r="78" spans="1:32" s="156" customFormat="1" ht="13" customHeight="1">
      <c r="A78" s="211"/>
      <c r="B78" s="113"/>
      <c r="C78" s="221"/>
      <c r="D78" s="221"/>
      <c r="E78" s="221"/>
      <c r="F78" s="221"/>
      <c r="G78" s="221"/>
      <c r="H78" s="221"/>
      <c r="J78" s="221"/>
      <c r="K78" s="221"/>
      <c r="L78" s="221"/>
      <c r="M78" s="221"/>
      <c r="N78" s="221"/>
      <c r="O78" s="221"/>
      <c r="P78" s="221"/>
      <c r="Q78" s="221"/>
      <c r="R78" s="221"/>
      <c r="S78" s="221"/>
      <c r="T78" s="221"/>
      <c r="U78" s="221"/>
      <c r="V78" s="221"/>
      <c r="W78" s="221"/>
      <c r="X78" s="221"/>
      <c r="Y78" s="221"/>
      <c r="Z78" s="221"/>
      <c r="AB78" s="338"/>
      <c r="AC78" s="338"/>
    </row>
    <row r="79" spans="1:32" s="156" customFormat="1" ht="13" customHeight="1">
      <c r="A79" s="211"/>
      <c r="B79" s="49" t="str">
        <f>IF('Summary | Sumário'!D$6=Names!B$3,Names!O92,Names!Z92)</f>
        <v>Interest earning credit portfolio</v>
      </c>
      <c r="AB79" s="494"/>
      <c r="AC79" s="494"/>
    </row>
    <row r="80" spans="1:32" s="156" customFormat="1" ht="13" customHeight="1">
      <c r="A80" s="211"/>
      <c r="B80" s="259" t="str">
        <f>IF('Summary | Sumário'!D$6=Names!B$3,Names!O92,Names!Z92)</f>
        <v>Interest earning credit portfolio</v>
      </c>
      <c r="C80" s="283">
        <f t="shared" ref="C80:T80" si="80">C81+C82+C84+C83+C87+C88</f>
        <v>0</v>
      </c>
      <c r="D80" s="283">
        <f t="shared" si="80"/>
        <v>7115627.8250000002</v>
      </c>
      <c r="E80" s="283">
        <f t="shared" ref="E80:E88" si="81">M80</f>
        <v>13392153</v>
      </c>
      <c r="F80" s="283">
        <f t="shared" ref="F80:F88" si="82">Q80</f>
        <v>19132195</v>
      </c>
      <c r="G80" s="283">
        <f t="shared" ref="G80:G88" si="83">U80</f>
        <v>23530826.397</v>
      </c>
      <c r="H80" s="283">
        <f>Y80</f>
        <v>31632777.489700001</v>
      </c>
      <c r="I80" s="330"/>
      <c r="J80" s="283">
        <f t="shared" si="80"/>
        <v>8234470.6262999987</v>
      </c>
      <c r="K80" s="283">
        <f t="shared" si="80"/>
        <v>9948556.0610000007</v>
      </c>
      <c r="L80" s="283">
        <f t="shared" si="80"/>
        <v>11676683.932</v>
      </c>
      <c r="M80" s="283">
        <f t="shared" si="80"/>
        <v>13392153</v>
      </c>
      <c r="N80" s="283">
        <f t="shared" si="80"/>
        <v>14044371.585999999</v>
      </c>
      <c r="O80" s="283">
        <f t="shared" si="80"/>
        <v>14967442.610000001</v>
      </c>
      <c r="P80" s="283">
        <f t="shared" si="80"/>
        <v>16933115</v>
      </c>
      <c r="Q80" s="283">
        <f t="shared" si="80"/>
        <v>19132195</v>
      </c>
      <c r="R80" s="283">
        <f t="shared" si="80"/>
        <v>19449029.387827475</v>
      </c>
      <c r="S80" s="283">
        <f t="shared" si="80"/>
        <v>20570399.767574593</v>
      </c>
      <c r="T80" s="283">
        <f t="shared" si="80"/>
        <v>21490809.954999998</v>
      </c>
      <c r="U80" s="283">
        <f t="shared" ref="U80:V80" si="84">U81+U82+U84+U83+U87+U88</f>
        <v>23530826.397</v>
      </c>
      <c r="V80" s="283">
        <f t="shared" si="84"/>
        <v>24208542.316270199</v>
      </c>
      <c r="W80" s="283">
        <f t="shared" ref="W80:X80" si="85">W81+W82+W84+W83+W87+W88</f>
        <v>27430402.931400001</v>
      </c>
      <c r="X80" s="283">
        <f t="shared" si="85"/>
        <v>29497015.44898</v>
      </c>
      <c r="Y80" s="283">
        <f t="shared" ref="Y80:Z80" si="86">Y81+Y82+Y84+Y83+Y87+Y88</f>
        <v>31632777.489700001</v>
      </c>
      <c r="Z80" s="283">
        <f t="shared" si="86"/>
        <v>32972275.951030001</v>
      </c>
      <c r="AA80" s="330"/>
      <c r="AB80" s="309">
        <f t="shared" ref="AB80:AB88" si="87">Z80/Y80-1</f>
        <v>4.2345268662107083E-2</v>
      </c>
      <c r="AC80" s="309">
        <f t="shared" ref="AC80:AC88" si="88">Z80/V80-1</f>
        <v>0.36200996822802622</v>
      </c>
    </row>
    <row r="81" spans="1:32" s="156" customFormat="1" ht="13" customHeight="1">
      <c r="A81" s="211"/>
      <c r="B81" s="492" t="str">
        <f>IF('Summary | Sumário'!D$6=Names!B$3,Names!O93,Names!Z93)</f>
        <v>Real estate</v>
      </c>
      <c r="C81" s="175">
        <v>0</v>
      </c>
      <c r="D81" s="175">
        <f>D6</f>
        <v>3471356</v>
      </c>
      <c r="E81" s="175">
        <f t="shared" si="81"/>
        <v>5121411</v>
      </c>
      <c r="F81" s="175">
        <f t="shared" si="82"/>
        <v>6251813</v>
      </c>
      <c r="G81" s="175">
        <f t="shared" si="83"/>
        <v>8583568</v>
      </c>
      <c r="H81" s="175">
        <f t="shared" ref="H81:H88" si="89">Y81</f>
        <v>11250187</v>
      </c>
      <c r="I81" s="175"/>
      <c r="J81" s="175">
        <f t="shared" ref="J81:Y81" si="90">J6</f>
        <v>3925594.9876600001</v>
      </c>
      <c r="K81" s="175">
        <f t="shared" si="90"/>
        <v>4211173</v>
      </c>
      <c r="L81" s="175">
        <f t="shared" si="90"/>
        <v>4703223</v>
      </c>
      <c r="M81" s="175">
        <f t="shared" si="90"/>
        <v>5121411</v>
      </c>
      <c r="N81" s="175">
        <f t="shared" si="90"/>
        <v>5350879</v>
      </c>
      <c r="O81" s="175">
        <f t="shared" si="90"/>
        <v>5647720</v>
      </c>
      <c r="P81" s="175">
        <f t="shared" si="90"/>
        <v>5930070</v>
      </c>
      <c r="Q81" s="175">
        <f t="shared" si="90"/>
        <v>6251813</v>
      </c>
      <c r="R81" s="175">
        <f t="shared" si="90"/>
        <v>6616802</v>
      </c>
      <c r="S81" s="175">
        <f t="shared" si="90"/>
        <v>7020433</v>
      </c>
      <c r="T81" s="175">
        <f t="shared" si="90"/>
        <v>7527810</v>
      </c>
      <c r="U81" s="175">
        <f t="shared" si="90"/>
        <v>8583568</v>
      </c>
      <c r="V81" s="175">
        <f t="shared" si="90"/>
        <v>9124375.4985301998</v>
      </c>
      <c r="W81" s="175">
        <f t="shared" si="90"/>
        <v>9703768</v>
      </c>
      <c r="X81" s="175">
        <f t="shared" si="90"/>
        <v>10266209</v>
      </c>
      <c r="Y81" s="175">
        <f t="shared" si="90"/>
        <v>11250187</v>
      </c>
      <c r="Z81" s="175">
        <f t="shared" ref="Z81" si="91">Z6</f>
        <v>12200387</v>
      </c>
      <c r="AA81" s="175"/>
      <c r="AB81" s="337">
        <f t="shared" si="87"/>
        <v>8.4460818295731377E-2</v>
      </c>
      <c r="AC81" s="337">
        <f t="shared" si="88"/>
        <v>0.33712022285418874</v>
      </c>
    </row>
    <row r="82" spans="1:32" s="156" customFormat="1" ht="13" customHeight="1">
      <c r="A82" s="211"/>
      <c r="B82" s="99" t="str">
        <f>IF('Summary | Sumário'!D$6=Names!B$3,Names!O94,Names!Z94)</f>
        <v>Personal</v>
      </c>
      <c r="C82" s="203">
        <v>0</v>
      </c>
      <c r="D82" s="203">
        <f>D7</f>
        <v>1653554</v>
      </c>
      <c r="E82" s="203">
        <f t="shared" si="81"/>
        <v>3579283</v>
      </c>
      <c r="F82" s="203">
        <f t="shared" si="82"/>
        <v>5463781</v>
      </c>
      <c r="G82" s="203">
        <f t="shared" si="83"/>
        <v>7138744</v>
      </c>
      <c r="H82" s="203">
        <f t="shared" si="89"/>
        <v>8236791</v>
      </c>
      <c r="I82" s="175"/>
      <c r="J82" s="203">
        <f t="shared" ref="J82:Y82" si="92">J7</f>
        <v>2123654.0038399999</v>
      </c>
      <c r="K82" s="203">
        <f t="shared" si="92"/>
        <v>2620848</v>
      </c>
      <c r="L82" s="203">
        <f t="shared" si="92"/>
        <v>3100640</v>
      </c>
      <c r="M82" s="203">
        <f t="shared" si="92"/>
        <v>3579283</v>
      </c>
      <c r="N82" s="203">
        <f t="shared" si="92"/>
        <v>3936755</v>
      </c>
      <c r="O82" s="203">
        <f t="shared" si="92"/>
        <v>4460508.5</v>
      </c>
      <c r="P82" s="203">
        <f t="shared" si="92"/>
        <v>5057444</v>
      </c>
      <c r="Q82" s="203">
        <f t="shared" si="92"/>
        <v>5463781</v>
      </c>
      <c r="R82" s="203">
        <f t="shared" si="92"/>
        <v>6081266</v>
      </c>
      <c r="S82" s="203">
        <f t="shared" si="92"/>
        <v>6500480</v>
      </c>
      <c r="T82" s="203">
        <f t="shared" si="92"/>
        <v>6663058</v>
      </c>
      <c r="U82" s="203">
        <f t="shared" si="92"/>
        <v>7138744</v>
      </c>
      <c r="V82" s="203">
        <f t="shared" si="92"/>
        <v>7437794.5190500002</v>
      </c>
      <c r="W82" s="203">
        <f t="shared" si="92"/>
        <v>7555457</v>
      </c>
      <c r="X82" s="203">
        <f t="shared" si="92"/>
        <v>8003536</v>
      </c>
      <c r="Y82" s="203">
        <f t="shared" si="92"/>
        <v>8236791</v>
      </c>
      <c r="Z82" s="203">
        <f t="shared" ref="Z82" si="93">Z7</f>
        <v>8909592</v>
      </c>
      <c r="AA82" s="175"/>
      <c r="AB82" s="336">
        <f t="shared" si="87"/>
        <v>8.1682417339471236E-2</v>
      </c>
      <c r="AC82" s="336">
        <f t="shared" si="88"/>
        <v>0.19788090100907851</v>
      </c>
    </row>
    <row r="83" spans="1:32" s="156" customFormat="1" ht="13" customHeight="1">
      <c r="A83" s="211"/>
      <c r="B83" s="492" t="str">
        <f>IF('Summary | Sumário'!D$6=Names!B$3,Names!O95,Names!Z95)</f>
        <v>SME</v>
      </c>
      <c r="C83" s="175">
        <v>0</v>
      </c>
      <c r="D83" s="175">
        <f>D8</f>
        <v>1582869</v>
      </c>
      <c r="E83" s="175">
        <f t="shared" si="81"/>
        <v>3017159</v>
      </c>
      <c r="F83" s="175">
        <f t="shared" si="82"/>
        <v>3392500</v>
      </c>
      <c r="G83" s="175">
        <f t="shared" si="83"/>
        <v>3855754</v>
      </c>
      <c r="H83" s="175">
        <f t="shared" si="89"/>
        <v>3968591</v>
      </c>
      <c r="I83" s="175"/>
      <c r="J83" s="175">
        <f t="shared" ref="J83:Y83" si="94">J8</f>
        <v>1572378.93881</v>
      </c>
      <c r="K83" s="175">
        <f t="shared" si="94"/>
        <v>2153921</v>
      </c>
      <c r="L83" s="175">
        <f t="shared" si="94"/>
        <v>2703302</v>
      </c>
      <c r="M83" s="175">
        <f t="shared" si="94"/>
        <v>3017159</v>
      </c>
      <c r="N83" s="175">
        <f t="shared" si="94"/>
        <v>2929546</v>
      </c>
      <c r="O83" s="175">
        <f t="shared" si="94"/>
        <v>2905002.5</v>
      </c>
      <c r="P83" s="175">
        <f t="shared" si="94"/>
        <v>2978792</v>
      </c>
      <c r="Q83" s="175">
        <f t="shared" si="94"/>
        <v>3392500</v>
      </c>
      <c r="R83" s="175">
        <f t="shared" si="94"/>
        <v>3110840</v>
      </c>
      <c r="S83" s="175">
        <f t="shared" si="94"/>
        <v>3215316</v>
      </c>
      <c r="T83" s="175">
        <f t="shared" si="94"/>
        <v>3438526</v>
      </c>
      <c r="U83" s="175">
        <f t="shared" si="94"/>
        <v>3855754</v>
      </c>
      <c r="V83" s="175">
        <f t="shared" si="94"/>
        <v>3376688</v>
      </c>
      <c r="W83" s="175">
        <f t="shared" si="94"/>
        <v>4359140</v>
      </c>
      <c r="X83" s="175">
        <f t="shared" si="94"/>
        <v>4149476</v>
      </c>
      <c r="Y83" s="175">
        <f t="shared" si="94"/>
        <v>3968591</v>
      </c>
      <c r="Z83" s="175">
        <f t="shared" ref="Z83" si="95">Z8</f>
        <v>3747963</v>
      </c>
      <c r="AA83" s="175"/>
      <c r="AB83" s="337">
        <f t="shared" si="87"/>
        <v>-5.5593534329942296E-2</v>
      </c>
      <c r="AC83" s="337">
        <f t="shared" si="88"/>
        <v>0.1099524149107054</v>
      </c>
    </row>
    <row r="84" spans="1:32" s="156" customFormat="1" ht="13" customHeight="1">
      <c r="A84" s="211"/>
      <c r="B84" s="99" t="str">
        <f>IF('Summary | Sumário'!D$6=Names!B$3,Names!O96,Names!Z96)</f>
        <v>Interest earning credit card portfolio</v>
      </c>
      <c r="C84" s="203">
        <v>0</v>
      </c>
      <c r="D84" s="203">
        <f>D85-D86</f>
        <v>230211.82499999995</v>
      </c>
      <c r="E84" s="203">
        <f t="shared" si="81"/>
        <v>676005</v>
      </c>
      <c r="F84" s="203">
        <f t="shared" si="82"/>
        <v>1458767</v>
      </c>
      <c r="G84" s="203">
        <f t="shared" si="83"/>
        <v>1971266.3970000008</v>
      </c>
      <c r="H84" s="203">
        <f t="shared" si="89"/>
        <v>2249854.1845399998</v>
      </c>
      <c r="I84" s="175"/>
      <c r="J84" s="203">
        <f t="shared" ref="J84:T84" si="96">J85-J86</f>
        <v>310705.48867999995</v>
      </c>
      <c r="K84" s="203">
        <f t="shared" si="96"/>
        <v>466529</v>
      </c>
      <c r="L84" s="203">
        <f t="shared" si="96"/>
        <v>526729</v>
      </c>
      <c r="M84" s="203">
        <f t="shared" si="96"/>
        <v>676005</v>
      </c>
      <c r="N84" s="203">
        <f t="shared" si="96"/>
        <v>836644</v>
      </c>
      <c r="O84" s="203">
        <f t="shared" si="96"/>
        <v>1084285.4000000004</v>
      </c>
      <c r="P84" s="203">
        <f t="shared" si="96"/>
        <v>1309633</v>
      </c>
      <c r="Q84" s="203">
        <f t="shared" si="96"/>
        <v>1458767</v>
      </c>
      <c r="R84" s="203">
        <f t="shared" si="96"/>
        <v>1592763.3878274746</v>
      </c>
      <c r="S84" s="203">
        <f t="shared" si="96"/>
        <v>1777050.7675745916</v>
      </c>
      <c r="T84" s="203">
        <f t="shared" si="96"/>
        <v>1882205.9550000001</v>
      </c>
      <c r="U84" s="203">
        <f>U85-U86</f>
        <v>1971266.3970000008</v>
      </c>
      <c r="V84" s="203">
        <f t="shared" ref="V84" si="97">V85-V86</f>
        <v>2176763.9201100003</v>
      </c>
      <c r="W84" s="203">
        <f t="shared" ref="W84:X84" si="98">W85-W86</f>
        <v>2264113.5148200002</v>
      </c>
      <c r="X84" s="203">
        <f t="shared" si="98"/>
        <v>2206943.6459299996</v>
      </c>
      <c r="Y84" s="203">
        <f t="shared" ref="Y84:Z84" si="99">Y85-Y86</f>
        <v>2249854.1845399998</v>
      </c>
      <c r="Z84" s="203">
        <f t="shared" si="99"/>
        <v>2629254.9510299992</v>
      </c>
      <c r="AA84" s="175"/>
      <c r="AB84" s="336">
        <f t="shared" si="87"/>
        <v>0.16863349149339246</v>
      </c>
      <c r="AC84" s="336">
        <f t="shared" si="88"/>
        <v>0.20787326854311927</v>
      </c>
      <c r="AF84" s="303"/>
    </row>
    <row r="85" spans="1:32" s="156" customFormat="1" ht="13" customHeight="1">
      <c r="A85" s="211"/>
      <c r="B85" s="56" t="str">
        <f>IF('Summary | Sumário'!D$6=Names!B$3,Names!O97,Names!Z97)</f>
        <v>Credit cards</v>
      </c>
      <c r="C85" s="175">
        <v>0</v>
      </c>
      <c r="D85" s="175">
        <f>D9</f>
        <v>1904642</v>
      </c>
      <c r="E85" s="175">
        <f t="shared" si="81"/>
        <v>4798318</v>
      </c>
      <c r="F85" s="175">
        <f t="shared" si="82"/>
        <v>6870565</v>
      </c>
      <c r="G85" s="175">
        <f t="shared" si="83"/>
        <v>9461277</v>
      </c>
      <c r="H85" s="175">
        <f t="shared" si="89"/>
        <v>11799890</v>
      </c>
      <c r="I85" s="175"/>
      <c r="J85" s="175">
        <f t="shared" ref="J85:Y85" si="100">J9</f>
        <v>2404920.48868</v>
      </c>
      <c r="K85" s="175">
        <f t="shared" si="100"/>
        <v>3116734</v>
      </c>
      <c r="L85" s="175">
        <f t="shared" si="100"/>
        <v>3807684</v>
      </c>
      <c r="M85" s="175">
        <f t="shared" si="100"/>
        <v>4798318</v>
      </c>
      <c r="N85" s="175">
        <f t="shared" si="100"/>
        <v>5315930</v>
      </c>
      <c r="O85" s="175">
        <f t="shared" si="100"/>
        <v>5981406.4000000004</v>
      </c>
      <c r="P85" s="175">
        <f t="shared" si="100"/>
        <v>6411572</v>
      </c>
      <c r="Q85" s="175">
        <f t="shared" si="100"/>
        <v>6870565</v>
      </c>
      <c r="R85" s="175">
        <f t="shared" si="100"/>
        <v>7273032</v>
      </c>
      <c r="S85" s="175">
        <f t="shared" si="100"/>
        <v>7681011</v>
      </c>
      <c r="T85" s="175">
        <f t="shared" si="100"/>
        <v>8650139</v>
      </c>
      <c r="U85" s="175">
        <f t="shared" si="100"/>
        <v>9461277</v>
      </c>
      <c r="V85" s="175">
        <f t="shared" si="100"/>
        <v>10111845.135790002</v>
      </c>
      <c r="W85" s="175">
        <f t="shared" si="100"/>
        <v>10508082</v>
      </c>
      <c r="X85" s="175">
        <f t="shared" si="100"/>
        <v>10769815</v>
      </c>
      <c r="Y85" s="175">
        <f t="shared" si="100"/>
        <v>11799890</v>
      </c>
      <c r="Z85" s="175">
        <f t="shared" ref="Z85" si="101">Z9</f>
        <v>12251920</v>
      </c>
      <c r="AA85" s="175"/>
      <c r="AB85" s="337">
        <f t="shared" si="87"/>
        <v>3.830798422697157E-2</v>
      </c>
      <c r="AC85" s="337">
        <f t="shared" si="88"/>
        <v>0.21164039158742542</v>
      </c>
    </row>
    <row r="86" spans="1:32" s="156" customFormat="1" ht="13" customHeight="1">
      <c r="A86" s="211"/>
      <c r="B86" s="117" t="str">
        <f>IF('Summary | Sumário'!D$6=Names!B$3,Names!O98,Names!Z98)</f>
        <v>(-) Transactor</v>
      </c>
      <c r="C86" s="203">
        <f>C38</f>
        <v>0</v>
      </c>
      <c r="D86" s="203">
        <f>D38</f>
        <v>1674430.175</v>
      </c>
      <c r="E86" s="203">
        <f t="shared" si="81"/>
        <v>4122313</v>
      </c>
      <c r="F86" s="203">
        <f t="shared" si="82"/>
        <v>5411798</v>
      </c>
      <c r="G86" s="203">
        <f t="shared" si="83"/>
        <v>7490010.6029999992</v>
      </c>
      <c r="H86" s="203">
        <f t="shared" si="89"/>
        <v>9550035.8154600002</v>
      </c>
      <c r="I86" s="175"/>
      <c r="J86" s="203">
        <f t="shared" ref="J86:Y86" si="102">J38</f>
        <v>2094215</v>
      </c>
      <c r="K86" s="203">
        <f t="shared" si="102"/>
        <v>2650205</v>
      </c>
      <c r="L86" s="203">
        <f t="shared" si="102"/>
        <v>3280955</v>
      </c>
      <c r="M86" s="203">
        <f t="shared" si="102"/>
        <v>4122313</v>
      </c>
      <c r="N86" s="203">
        <f t="shared" si="102"/>
        <v>4479286</v>
      </c>
      <c r="O86" s="203">
        <f t="shared" si="102"/>
        <v>4897121</v>
      </c>
      <c r="P86" s="203">
        <f t="shared" si="102"/>
        <v>5101939</v>
      </c>
      <c r="Q86" s="203">
        <f t="shared" si="102"/>
        <v>5411798</v>
      </c>
      <c r="R86" s="203">
        <f t="shared" si="102"/>
        <v>5680268.6121725254</v>
      </c>
      <c r="S86" s="203">
        <f t="shared" si="102"/>
        <v>5903960.2324254084</v>
      </c>
      <c r="T86" s="203">
        <f t="shared" si="102"/>
        <v>6767933.0449999999</v>
      </c>
      <c r="U86" s="203">
        <f t="shared" si="102"/>
        <v>7490010.6029999992</v>
      </c>
      <c r="V86" s="203">
        <f t="shared" si="102"/>
        <v>7935081.2156800013</v>
      </c>
      <c r="W86" s="203">
        <f t="shared" si="102"/>
        <v>8243968.4851799998</v>
      </c>
      <c r="X86" s="203">
        <f t="shared" si="102"/>
        <v>8562871.3540700004</v>
      </c>
      <c r="Y86" s="203">
        <f t="shared" si="102"/>
        <v>9550035.8154600002</v>
      </c>
      <c r="Z86" s="203">
        <f t="shared" ref="Z86" si="103">Z38</f>
        <v>9622665.0489700008</v>
      </c>
      <c r="AA86" s="175"/>
      <c r="AB86" s="336">
        <f t="shared" si="87"/>
        <v>7.6051268197785404E-3</v>
      </c>
      <c r="AC86" s="336">
        <f t="shared" si="88"/>
        <v>0.2126737946872268</v>
      </c>
    </row>
    <row r="87" spans="1:32" s="156" customFormat="1" ht="13" customHeight="1">
      <c r="A87" s="211"/>
      <c r="B87" s="492" t="str">
        <f>IF('Summary | Sumário'!D$6=Names!B$3,Names!O99,Names!Z99)</f>
        <v>Agribusiness</v>
      </c>
      <c r="C87" s="175">
        <f>C10</f>
        <v>0</v>
      </c>
      <c r="D87" s="175">
        <f>D10</f>
        <v>177637</v>
      </c>
      <c r="E87" s="175">
        <f t="shared" si="81"/>
        <v>700191</v>
      </c>
      <c r="F87" s="175">
        <f t="shared" si="82"/>
        <v>719669</v>
      </c>
      <c r="G87" s="175">
        <f t="shared" si="83"/>
        <v>744958</v>
      </c>
      <c r="H87" s="175">
        <f t="shared" si="89"/>
        <v>340834</v>
      </c>
      <c r="I87" s="175"/>
      <c r="J87" s="175">
        <f t="shared" ref="J87:Y87" si="104">J10</f>
        <v>216360.92530999999</v>
      </c>
      <c r="K87" s="175">
        <f t="shared" si="104"/>
        <v>424570</v>
      </c>
      <c r="L87" s="175">
        <f t="shared" si="104"/>
        <v>545234</v>
      </c>
      <c r="M87" s="175">
        <f t="shared" si="104"/>
        <v>700191</v>
      </c>
      <c r="N87" s="175">
        <f t="shared" si="104"/>
        <v>643194</v>
      </c>
      <c r="O87" s="175">
        <f t="shared" si="104"/>
        <v>490009</v>
      </c>
      <c r="P87" s="175">
        <f t="shared" si="104"/>
        <v>627390</v>
      </c>
      <c r="Q87" s="175">
        <f t="shared" si="104"/>
        <v>719669</v>
      </c>
      <c r="R87" s="175">
        <f t="shared" si="104"/>
        <v>750934</v>
      </c>
      <c r="S87" s="175">
        <f t="shared" si="104"/>
        <v>724143</v>
      </c>
      <c r="T87" s="175">
        <f t="shared" si="104"/>
        <v>764068</v>
      </c>
      <c r="U87" s="175">
        <f t="shared" si="104"/>
        <v>744958</v>
      </c>
      <c r="V87" s="175">
        <f t="shared" si="104"/>
        <v>807923.72771999997</v>
      </c>
      <c r="W87" s="175">
        <f t="shared" si="104"/>
        <v>845105</v>
      </c>
      <c r="X87" s="175">
        <f t="shared" si="104"/>
        <v>516852</v>
      </c>
      <c r="Y87" s="175">
        <f t="shared" si="104"/>
        <v>340834</v>
      </c>
      <c r="Z87" s="175">
        <f t="shared" ref="Z87" si="105">Z10</f>
        <v>285462</v>
      </c>
      <c r="AA87" s="175"/>
      <c r="AB87" s="337">
        <f t="shared" si="87"/>
        <v>-0.16246031792602855</v>
      </c>
      <c r="AC87" s="337">
        <f t="shared" si="88"/>
        <v>-0.64667209266698022</v>
      </c>
    </row>
    <row r="88" spans="1:32" s="156" customFormat="1" ht="13" customHeight="1">
      <c r="A88" s="211"/>
      <c r="B88" s="99" t="str">
        <f>IF('Summary | Sumário'!D$6=Names!B$3,Names!O100,Names!Z100)</f>
        <v>Prepayment of receivables</v>
      </c>
      <c r="C88" s="203">
        <f>C11</f>
        <v>0</v>
      </c>
      <c r="D88" s="203">
        <f>D11</f>
        <v>0</v>
      </c>
      <c r="E88" s="203">
        <f t="shared" si="81"/>
        <v>298104</v>
      </c>
      <c r="F88" s="203">
        <f t="shared" si="82"/>
        <v>1845665</v>
      </c>
      <c r="G88" s="203">
        <f t="shared" si="83"/>
        <v>1236536</v>
      </c>
      <c r="H88" s="203">
        <f t="shared" si="89"/>
        <v>5586520.30516</v>
      </c>
      <c r="I88" s="175"/>
      <c r="J88" s="203">
        <f t="shared" ref="J88:Y88" si="106">J11</f>
        <v>85776.282000000007</v>
      </c>
      <c r="K88" s="203">
        <f t="shared" si="106"/>
        <v>71515.061000000002</v>
      </c>
      <c r="L88" s="203">
        <f t="shared" si="106"/>
        <v>97555.932000000001</v>
      </c>
      <c r="M88" s="203">
        <f t="shared" si="106"/>
        <v>298104</v>
      </c>
      <c r="N88" s="203">
        <f t="shared" si="106"/>
        <v>347353.58600000001</v>
      </c>
      <c r="O88" s="203">
        <f t="shared" si="106"/>
        <v>379917.21</v>
      </c>
      <c r="P88" s="203">
        <f t="shared" si="106"/>
        <v>1029786.0000000001</v>
      </c>
      <c r="Q88" s="203">
        <f t="shared" si="106"/>
        <v>1845665</v>
      </c>
      <c r="R88" s="203">
        <f t="shared" si="106"/>
        <v>1296424</v>
      </c>
      <c r="S88" s="203">
        <f t="shared" si="106"/>
        <v>1332977</v>
      </c>
      <c r="T88" s="203">
        <f t="shared" si="106"/>
        <v>1215142</v>
      </c>
      <c r="U88" s="203">
        <f t="shared" si="106"/>
        <v>1236536</v>
      </c>
      <c r="V88" s="203">
        <f t="shared" si="106"/>
        <v>1284996.6508599999</v>
      </c>
      <c r="W88" s="203">
        <f t="shared" si="106"/>
        <v>2702819.41658</v>
      </c>
      <c r="X88" s="203">
        <f t="shared" si="106"/>
        <v>4353998.8030500002</v>
      </c>
      <c r="Y88" s="203">
        <f t="shared" si="106"/>
        <v>5586520.30516</v>
      </c>
      <c r="Z88" s="203">
        <f t="shared" ref="Z88" si="107">Z11</f>
        <v>5199617</v>
      </c>
      <c r="AA88" s="175"/>
      <c r="AB88" s="336">
        <f t="shared" si="87"/>
        <v>-6.9256582635641051E-2</v>
      </c>
      <c r="AC88" s="336">
        <f t="shared" si="88"/>
        <v>3.0464050988149207</v>
      </c>
    </row>
    <row r="89" spans="1:32" s="156" customFormat="1" ht="13" customHeight="1">
      <c r="A89" s="211"/>
      <c r="B89" s="25"/>
      <c r="AB89" s="494"/>
      <c r="AC89" s="494"/>
      <c r="AD89" s="304"/>
      <c r="AE89" s="304"/>
    </row>
    <row r="90" spans="1:32" ht="13" customHeight="1">
      <c r="A90" s="198"/>
      <c r="B90" s="51" t="str">
        <f>IF('Summary | Sumário'!D$6=Names!B$3,Names!O112,Names!Z112)</f>
        <v>Securities balance</v>
      </c>
      <c r="C90" s="162"/>
      <c r="D90" s="162"/>
      <c r="E90" s="162"/>
      <c r="F90" s="162"/>
      <c r="G90" s="162"/>
      <c r="H90" s="162"/>
      <c r="J90" s="162"/>
      <c r="K90" s="162"/>
      <c r="L90" s="162"/>
      <c r="M90" s="162"/>
      <c r="N90" s="162"/>
      <c r="O90" s="162"/>
      <c r="P90" s="162"/>
      <c r="Q90" s="162"/>
      <c r="R90" s="162"/>
      <c r="S90" s="162"/>
      <c r="T90" s="162"/>
      <c r="U90" s="162"/>
      <c r="V90" s="162"/>
      <c r="W90" s="162"/>
      <c r="X90" s="162"/>
      <c r="Y90" s="162"/>
      <c r="Z90" s="162"/>
      <c r="AB90" s="151"/>
      <c r="AC90" s="151"/>
      <c r="AD90" s="147"/>
      <c r="AE90" s="147"/>
    </row>
    <row r="91" spans="1:32" ht="13" customHeight="1">
      <c r="B91" s="279" t="str">
        <f>IF('Summary | Sumário'!D$6=Names!B$3,Names!O113,Names!Z113)</f>
        <v>Securities</v>
      </c>
      <c r="C91" s="280">
        <f>'2. BS | BP'!C8</f>
        <v>1155094</v>
      </c>
      <c r="D91" s="280">
        <f>'2. BS | BP'!D8</f>
        <v>5812622</v>
      </c>
      <c r="E91" s="280">
        <f>'2. BS | BP'!E8</f>
        <v>12757687</v>
      </c>
      <c r="F91" s="280">
        <f>'2. BS | BP'!F8</f>
        <v>12448565</v>
      </c>
      <c r="G91" s="280">
        <f>'2. BS | BP'!G8</f>
        <v>16868112</v>
      </c>
      <c r="H91" s="280">
        <f>'2. BS | BP'!H8</f>
        <v>23899551.020405103</v>
      </c>
      <c r="I91" s="164"/>
      <c r="J91" s="280">
        <f>'2. BS | BP'!K8</f>
        <v>6619726</v>
      </c>
      <c r="K91" s="280">
        <f>'2. BS | BP'!L8</f>
        <v>8230481</v>
      </c>
      <c r="L91" s="280">
        <f>'2. BS | BP'!M8</f>
        <v>13241180</v>
      </c>
      <c r="M91" s="280">
        <f>'2. BS | BP'!N8</f>
        <v>12757687</v>
      </c>
      <c r="N91" s="280">
        <f>'2. BS | BP'!O8</f>
        <v>12335401</v>
      </c>
      <c r="O91" s="280">
        <f>'2. BS | BP'!P8</f>
        <v>12710051</v>
      </c>
      <c r="P91" s="280">
        <f>'2. BS | BP'!Q8</f>
        <v>13373465</v>
      </c>
      <c r="Q91" s="280">
        <f>'2. BS | BP'!R8</f>
        <v>12448565</v>
      </c>
      <c r="R91" s="280">
        <f>'2. BS | BP'!S8</f>
        <v>12535351</v>
      </c>
      <c r="S91" s="280">
        <f>'2. BS | BP'!T8</f>
        <v>14169684</v>
      </c>
      <c r="T91" s="280">
        <f>'2. BS | BP'!U8</f>
        <v>14908297</v>
      </c>
      <c r="U91" s="280">
        <f>'2. BS | BP'!V8</f>
        <v>16868112</v>
      </c>
      <c r="V91" s="280">
        <f>'2. BS | BP'!W8</f>
        <v>18167251</v>
      </c>
      <c r="W91" s="280">
        <f>'2. BS | BP'!X8</f>
        <v>18276425.519000001</v>
      </c>
      <c r="X91" s="280">
        <f>'2. BS | BP'!Y8</f>
        <v>20586354.700983003</v>
      </c>
      <c r="Y91" s="280">
        <f>'2. BS | BP'!Z8</f>
        <v>23899551.020405103</v>
      </c>
      <c r="Z91" s="280">
        <f>'2. BS | BP'!AA8</f>
        <v>24703003</v>
      </c>
      <c r="AA91" s="164"/>
      <c r="AB91" s="289">
        <f t="shared" ref="AB91" si="108">Z91/Y91-1</f>
        <v>3.3617869177078763E-2</v>
      </c>
      <c r="AC91" s="289">
        <f t="shared" ref="AC91" si="109">Z91/V91-1</f>
        <v>0.35975459358160466</v>
      </c>
      <c r="AD91" s="153"/>
      <c r="AE91" s="153"/>
      <c r="AF91" s="175"/>
    </row>
    <row r="92" spans="1:32" s="156" customFormat="1" ht="13" customHeight="1">
      <c r="A92" s="211"/>
      <c r="B92" s="113"/>
      <c r="C92" s="221"/>
      <c r="D92" s="221"/>
      <c r="E92" s="221"/>
      <c r="F92" s="221"/>
      <c r="G92" s="221"/>
      <c r="H92" s="221"/>
      <c r="J92" s="221"/>
      <c r="K92" s="221"/>
      <c r="L92" s="221"/>
      <c r="M92" s="221"/>
      <c r="N92" s="221"/>
      <c r="O92" s="221"/>
      <c r="P92" s="221"/>
      <c r="Q92" s="221"/>
      <c r="R92" s="221"/>
      <c r="S92" s="221"/>
      <c r="T92" s="221"/>
      <c r="U92" s="221"/>
      <c r="V92" s="221"/>
      <c r="W92" s="221"/>
      <c r="X92" s="221"/>
      <c r="Y92" s="221"/>
      <c r="Z92" s="221"/>
      <c r="AB92" s="338"/>
      <c r="AC92" s="338"/>
      <c r="AD92" s="304"/>
      <c r="AE92" s="304"/>
    </row>
    <row r="93" spans="1:32" ht="13" customHeight="1">
      <c r="A93" s="198"/>
      <c r="B93" s="49" t="str">
        <f>IF('Summary | Sumário'!D$6=Names!B$3,Names!O69,Names!Z69)</f>
        <v>Loan interest income including hedge accounting results</v>
      </c>
      <c r="AB93" s="150"/>
      <c r="AC93" s="150"/>
      <c r="AD93" s="147"/>
      <c r="AE93" s="147"/>
    </row>
    <row r="94" spans="1:32" ht="13" customHeight="1">
      <c r="B94" s="276" t="str">
        <f>IF('Summary | Sumário'!D$6=Names!B$3,Names!O70,Names!Z70)</f>
        <v>Loan interest income including hedge accounting results</v>
      </c>
      <c r="C94" s="277">
        <f t="shared" ref="C94:S94" si="110">C95+C98+C101+C102+C103+C104</f>
        <v>0</v>
      </c>
      <c r="D94" s="277">
        <f t="shared" si="110"/>
        <v>745064.49635066302</v>
      </c>
      <c r="E94" s="277">
        <f t="shared" ref="E94:E104" si="111">SUM(J94:M94)</f>
        <v>1290966.5689999999</v>
      </c>
      <c r="F94" s="277">
        <f t="shared" ref="F94:F104" si="112">SUM(N94:Q94)</f>
        <v>2553936.2420000001</v>
      </c>
      <c r="G94" s="277">
        <f t="shared" ref="G94:G104" si="113">SUM(R94:U94)</f>
        <v>3938727.3047599997</v>
      </c>
      <c r="H94" s="277">
        <f>SUM(V94:Y94)</f>
        <v>5352245.5745659899</v>
      </c>
      <c r="I94" s="164"/>
      <c r="J94" s="277">
        <f t="shared" si="110"/>
        <v>258108.114</v>
      </c>
      <c r="K94" s="277">
        <f t="shared" si="110"/>
        <v>261301.95699999999</v>
      </c>
      <c r="L94" s="277">
        <f t="shared" si="110"/>
        <v>339858.80899999995</v>
      </c>
      <c r="M94" s="277">
        <f t="shared" si="110"/>
        <v>431697.68899999995</v>
      </c>
      <c r="N94" s="277">
        <f t="shared" si="110"/>
        <v>482698.20099999994</v>
      </c>
      <c r="O94" s="277">
        <f t="shared" si="110"/>
        <v>576000.12900000007</v>
      </c>
      <c r="P94" s="277">
        <f t="shared" si="110"/>
        <v>701072.71200000006</v>
      </c>
      <c r="Q94" s="277">
        <f t="shared" si="110"/>
        <v>794165.20000000007</v>
      </c>
      <c r="R94" s="277">
        <f t="shared" si="110"/>
        <v>896065.98127999995</v>
      </c>
      <c r="S94" s="277">
        <f t="shared" si="110"/>
        <v>977359.3417300001</v>
      </c>
      <c r="T94" s="277">
        <f t="shared" ref="T94:Y94" si="114">T95+T98+T101+T102+T103+T104</f>
        <v>1011039.39605</v>
      </c>
      <c r="U94" s="277">
        <f t="shared" si="114"/>
        <v>1054262.5856999997</v>
      </c>
      <c r="V94" s="277">
        <f t="shared" si="114"/>
        <v>1169201.0902831799</v>
      </c>
      <c r="W94" s="277">
        <f t="shared" si="114"/>
        <v>1260572.5102165244</v>
      </c>
      <c r="X94" s="277">
        <f t="shared" si="114"/>
        <v>1362067.541143633</v>
      </c>
      <c r="Y94" s="277">
        <f t="shared" si="114"/>
        <v>1560404.4329226527</v>
      </c>
      <c r="Z94" s="277">
        <f t="shared" ref="Z94" si="115">Z95+Z98+Z101+Z102+Z103+Z104</f>
        <v>1707007.92</v>
      </c>
      <c r="AA94" s="164"/>
      <c r="AB94" s="331">
        <f t="shared" ref="AB94:AB104" si="116">Z94/Y94-1</f>
        <v>9.3952236986892812E-2</v>
      </c>
      <c r="AC94" s="331">
        <f t="shared" ref="AC94:AC104" si="117">Z94/V94-1</f>
        <v>0.45997804328643199</v>
      </c>
      <c r="AD94" s="153"/>
      <c r="AE94" s="153"/>
      <c r="AF94" s="175"/>
    </row>
    <row r="95" spans="1:32" ht="13" customHeight="1">
      <c r="B95" s="492" t="str">
        <f>IF('Summary | Sumário'!D$6=Names!B$3,Names!O71,Names!Z71)</f>
        <v>Real estate net of hedge accounting</v>
      </c>
      <c r="C95" s="213">
        <f>C96+C97</f>
        <v>0</v>
      </c>
      <c r="D95" s="213">
        <f t="shared" ref="D95:T95" si="118">D96+D97</f>
        <v>364047.24736066308</v>
      </c>
      <c r="E95" s="213">
        <f t="shared" si="111"/>
        <v>506152.02300000004</v>
      </c>
      <c r="F95" s="213">
        <f t="shared" si="112"/>
        <v>686426.02494999999</v>
      </c>
      <c r="G95" s="213">
        <f t="shared" si="113"/>
        <v>916460.17859000002</v>
      </c>
      <c r="H95" s="213">
        <f t="shared" ref="H95:H104" si="119">SUM(V95:Y95)</f>
        <v>1289071.2848545883</v>
      </c>
      <c r="I95" s="213"/>
      <c r="J95" s="213">
        <f t="shared" si="118"/>
        <v>122829.734</v>
      </c>
      <c r="K95" s="213">
        <f t="shared" si="118"/>
        <v>99909.904999999999</v>
      </c>
      <c r="L95" s="213">
        <f t="shared" si="118"/>
        <v>138366.29499999998</v>
      </c>
      <c r="M95" s="213">
        <f t="shared" si="118"/>
        <v>145046.08900000001</v>
      </c>
      <c r="N95" s="213">
        <f t="shared" si="118"/>
        <v>155160.64770999999</v>
      </c>
      <c r="O95" s="213">
        <f t="shared" si="118"/>
        <v>194074.39667999998</v>
      </c>
      <c r="P95" s="213">
        <f t="shared" si="118"/>
        <v>160131.83665000004</v>
      </c>
      <c r="Q95" s="213">
        <f t="shared" si="118"/>
        <v>177059.14390999998</v>
      </c>
      <c r="R95" s="213">
        <f t="shared" si="118"/>
        <v>215435.45587999999</v>
      </c>
      <c r="S95" s="213">
        <f t="shared" si="118"/>
        <v>236226.77327000001</v>
      </c>
      <c r="T95" s="213">
        <f t="shared" si="118"/>
        <v>216442.19209</v>
      </c>
      <c r="U95" s="213">
        <f t="shared" ref="U95:V95" si="120">U96+U97</f>
        <v>248355.75734999997</v>
      </c>
      <c r="V95" s="213">
        <f t="shared" si="120"/>
        <v>295138.91551317996</v>
      </c>
      <c r="W95" s="213">
        <f t="shared" ref="W95:X95" si="121">W96+W97</f>
        <v>333405.19177652436</v>
      </c>
      <c r="X95" s="213">
        <f t="shared" si="121"/>
        <v>291609.27909697121</v>
      </c>
      <c r="Y95" s="213">
        <f t="shared" ref="Y95:Z95" si="122">Y96+Y97</f>
        <v>368917.89846791275</v>
      </c>
      <c r="Z95" s="213">
        <f t="shared" si="122"/>
        <v>428299.84499999997</v>
      </c>
      <c r="AA95" s="213"/>
      <c r="AB95" s="191">
        <f t="shared" si="116"/>
        <v>0.16096249810241203</v>
      </c>
      <c r="AC95" s="191">
        <f t="shared" si="117"/>
        <v>0.45118052038404755</v>
      </c>
    </row>
    <row r="96" spans="1:32" ht="13" customHeight="1">
      <c r="B96" s="117" t="str">
        <f>IF('Summary | Sumário'!D$6=Names!B$3,Names!O72,Names!Z72)</f>
        <v>Real estate</v>
      </c>
      <c r="C96" s="218">
        <f>C44</f>
        <v>0</v>
      </c>
      <c r="D96" s="218">
        <f>D44</f>
        <v>435019.64619000006</v>
      </c>
      <c r="E96" s="218">
        <f t="shared" si="111"/>
        <v>579506.26199999999</v>
      </c>
      <c r="F96" s="218">
        <f t="shared" si="112"/>
        <v>714011.42595000006</v>
      </c>
      <c r="G96" s="218">
        <f t="shared" si="113"/>
        <v>925900</v>
      </c>
      <c r="H96" s="218">
        <f t="shared" si="119"/>
        <v>1080760.6800631299</v>
      </c>
      <c r="I96" s="213"/>
      <c r="J96" s="218">
        <f t="shared" ref="J96:Y96" si="123">J44</f>
        <v>139297.851</v>
      </c>
      <c r="K96" s="218">
        <f t="shared" si="123"/>
        <v>136320.81899999999</v>
      </c>
      <c r="L96" s="218">
        <f t="shared" si="123"/>
        <v>141281.71</v>
      </c>
      <c r="M96" s="218">
        <f t="shared" si="123"/>
        <v>162605.88200000001</v>
      </c>
      <c r="N96" s="218">
        <f t="shared" si="123"/>
        <v>163483.92470999999</v>
      </c>
      <c r="O96" s="218">
        <f t="shared" si="123"/>
        <v>208572.24767999997</v>
      </c>
      <c r="P96" s="218">
        <f t="shared" si="123"/>
        <v>169001.99365000005</v>
      </c>
      <c r="Q96" s="218">
        <f t="shared" si="123"/>
        <v>172953.25990999999</v>
      </c>
      <c r="R96" s="218">
        <f t="shared" si="123"/>
        <v>220549.84688</v>
      </c>
      <c r="S96" s="218">
        <f t="shared" si="123"/>
        <v>230186.84327000001</v>
      </c>
      <c r="T96" s="218">
        <f t="shared" si="123"/>
        <v>210305.65125</v>
      </c>
      <c r="U96" s="218">
        <f t="shared" si="123"/>
        <v>264857.65859999997</v>
      </c>
      <c r="V96" s="218">
        <f t="shared" si="123"/>
        <v>268726.12008999998</v>
      </c>
      <c r="W96" s="218">
        <f t="shared" si="123"/>
        <v>266162.86888999998</v>
      </c>
      <c r="X96" s="218">
        <f t="shared" si="123"/>
        <v>280656.44909697119</v>
      </c>
      <c r="Y96" s="218">
        <f t="shared" si="123"/>
        <v>265215.24198615877</v>
      </c>
      <c r="Z96" s="218">
        <f t="shared" ref="Z96" si="124">Z44</f>
        <v>443469</v>
      </c>
      <c r="AA96" s="213"/>
      <c r="AB96" s="190">
        <f t="shared" si="116"/>
        <v>0.6721097802634739</v>
      </c>
      <c r="AC96" s="190">
        <f t="shared" si="117"/>
        <v>0.6502638442868014</v>
      </c>
      <c r="AE96" s="175"/>
    </row>
    <row r="97" spans="2:29" ht="13" customHeight="1">
      <c r="B97" s="56" t="str">
        <f>IF('Summary | Sumário'!D$6=Names!B$3,Names!O73,Names!Z73)</f>
        <v>(+) Hedge accounting from real estate loans</v>
      </c>
      <c r="C97" s="213">
        <f>C66</f>
        <v>0</v>
      </c>
      <c r="D97" s="213">
        <f>D66</f>
        <v>-70972.398829336977</v>
      </c>
      <c r="E97" s="213">
        <f t="shared" si="111"/>
        <v>-73354.239000000001</v>
      </c>
      <c r="F97" s="213">
        <f t="shared" si="112"/>
        <v>-27585.400999999998</v>
      </c>
      <c r="G97" s="213">
        <f t="shared" si="113"/>
        <v>-9439.8214100000023</v>
      </c>
      <c r="H97" s="213">
        <f t="shared" si="119"/>
        <v>208310.60479145829</v>
      </c>
      <c r="I97" s="213"/>
      <c r="J97" s="213">
        <f t="shared" ref="J97:Y97" si="125">J66</f>
        <v>-16468.116999999998</v>
      </c>
      <c r="K97" s="213">
        <f t="shared" si="125"/>
        <v>-36410.913999999997</v>
      </c>
      <c r="L97" s="213">
        <f t="shared" si="125"/>
        <v>-2915.415</v>
      </c>
      <c r="M97" s="213">
        <f t="shared" si="125"/>
        <v>-17559.793000000001</v>
      </c>
      <c r="N97" s="213">
        <f t="shared" si="125"/>
        <v>-8323.277</v>
      </c>
      <c r="O97" s="213">
        <f t="shared" si="125"/>
        <v>-14497.851000000001</v>
      </c>
      <c r="P97" s="213">
        <f t="shared" si="125"/>
        <v>-8870.1569999999992</v>
      </c>
      <c r="Q97" s="213">
        <f t="shared" si="125"/>
        <v>4105.884</v>
      </c>
      <c r="R97" s="213">
        <f t="shared" si="125"/>
        <v>-5114.3909999999996</v>
      </c>
      <c r="S97" s="213">
        <f t="shared" si="125"/>
        <v>6039.93</v>
      </c>
      <c r="T97" s="213">
        <f t="shared" si="125"/>
        <v>6136.5408399999997</v>
      </c>
      <c r="U97" s="213">
        <f t="shared" si="125"/>
        <v>-16501.901250000003</v>
      </c>
      <c r="V97" s="213">
        <f t="shared" si="125"/>
        <v>26412.795423179959</v>
      </c>
      <c r="W97" s="213">
        <f t="shared" si="125"/>
        <v>67242.322886524373</v>
      </c>
      <c r="X97" s="213">
        <f t="shared" si="125"/>
        <v>10952.83</v>
      </c>
      <c r="Y97" s="213">
        <f t="shared" si="125"/>
        <v>103702.65648175398</v>
      </c>
      <c r="Z97" s="213">
        <f t="shared" ref="Z97" si="126">Z66</f>
        <v>-15169.155000000001</v>
      </c>
      <c r="AA97" s="213"/>
      <c r="AB97" s="191">
        <f t="shared" si="116"/>
        <v>-1.1462754717635315</v>
      </c>
      <c r="AC97" s="191">
        <f t="shared" si="117"/>
        <v>-1.5743108503648764</v>
      </c>
    </row>
    <row r="98" spans="2:29" ht="13" customHeight="1">
      <c r="B98" s="99" t="str">
        <f>IF('Summary | Sumário'!D$6=Names!B$3,Names!O74,Names!Z74)</f>
        <v>Personal net of hedge accounting</v>
      </c>
      <c r="C98" s="218">
        <f>C99+C100</f>
        <v>0</v>
      </c>
      <c r="D98" s="218">
        <f t="shared" ref="D98:T98" si="127">D99+D100</f>
        <v>194589.16927000001</v>
      </c>
      <c r="E98" s="218">
        <f t="shared" si="111"/>
        <v>319455.67200000002</v>
      </c>
      <c r="F98" s="218">
        <f t="shared" si="112"/>
        <v>583197.69805000001</v>
      </c>
      <c r="G98" s="218">
        <f t="shared" si="113"/>
        <v>1012664.1261700001</v>
      </c>
      <c r="H98" s="218">
        <f t="shared" si="119"/>
        <v>1383732.0246502999</v>
      </c>
      <c r="I98" s="213"/>
      <c r="J98" s="218">
        <f t="shared" si="127"/>
        <v>63981.644999999997</v>
      </c>
      <c r="K98" s="218">
        <f t="shared" si="127"/>
        <v>73178.934000000008</v>
      </c>
      <c r="L98" s="218">
        <f t="shared" si="127"/>
        <v>85052.814000000013</v>
      </c>
      <c r="M98" s="218">
        <f t="shared" si="127"/>
        <v>97242.27900000001</v>
      </c>
      <c r="N98" s="218">
        <f t="shared" si="127"/>
        <v>108222.83400999999</v>
      </c>
      <c r="O98" s="218">
        <f t="shared" si="127"/>
        <v>133460.16244000001</v>
      </c>
      <c r="P98" s="218">
        <f t="shared" si="127"/>
        <v>159493.41924999998</v>
      </c>
      <c r="Q98" s="218">
        <f t="shared" si="127"/>
        <v>182021.28234999996</v>
      </c>
      <c r="R98" s="218">
        <f t="shared" si="127"/>
        <v>209198.23068999997</v>
      </c>
      <c r="S98" s="218">
        <f t="shared" si="127"/>
        <v>253833.49125999992</v>
      </c>
      <c r="T98" s="218">
        <f t="shared" si="127"/>
        <v>261285.72764000003</v>
      </c>
      <c r="U98" s="218">
        <f t="shared" ref="U98:V98" si="128">U99+U100</f>
        <v>288346.67658000003</v>
      </c>
      <c r="V98" s="218">
        <f t="shared" si="128"/>
        <v>317612.29486000002</v>
      </c>
      <c r="W98" s="218">
        <f t="shared" ref="W98:X98" si="129">W99+W100</f>
        <v>325101.85233000002</v>
      </c>
      <c r="X98" s="218">
        <f t="shared" si="129"/>
        <v>365865.23014069098</v>
      </c>
      <c r="Y98" s="218">
        <f t="shared" ref="Y98:Z98" si="130">Y99+Y100</f>
        <v>375152.64731960883</v>
      </c>
      <c r="Z98" s="218">
        <f t="shared" si="130"/>
        <v>420569.07500000001</v>
      </c>
      <c r="AA98" s="213"/>
      <c r="AB98" s="190">
        <f t="shared" si="116"/>
        <v>0.1210611947026965</v>
      </c>
      <c r="AC98" s="190">
        <f t="shared" si="117"/>
        <v>0.32415867334538229</v>
      </c>
    </row>
    <row r="99" spans="2:29" ht="13" customHeight="1">
      <c r="B99" s="56" t="str">
        <f>IF('Summary | Sumário'!D$6=Names!B$3,Names!O75,Names!Z75)</f>
        <v>Personal</v>
      </c>
      <c r="C99" s="213">
        <f>C45</f>
        <v>0</v>
      </c>
      <c r="D99" s="213">
        <f>D45</f>
        <v>194589.16927000001</v>
      </c>
      <c r="E99" s="213">
        <f t="shared" si="111"/>
        <v>319455.67200000002</v>
      </c>
      <c r="F99" s="213">
        <f t="shared" si="112"/>
        <v>583197.69805000001</v>
      </c>
      <c r="G99" s="213">
        <f t="shared" si="113"/>
        <v>1117470</v>
      </c>
      <c r="H99" s="213">
        <f t="shared" si="119"/>
        <v>1040254.5429802999</v>
      </c>
      <c r="I99" s="213"/>
      <c r="J99" s="213">
        <f t="shared" ref="J99:Y99" si="131">J45</f>
        <v>63981.644999999997</v>
      </c>
      <c r="K99" s="213">
        <f t="shared" si="131"/>
        <v>73178.934000000008</v>
      </c>
      <c r="L99" s="213">
        <f t="shared" si="131"/>
        <v>85052.814000000013</v>
      </c>
      <c r="M99" s="213">
        <f t="shared" si="131"/>
        <v>97242.27900000001</v>
      </c>
      <c r="N99" s="213">
        <f t="shared" si="131"/>
        <v>108222.83400999999</v>
      </c>
      <c r="O99" s="213">
        <f t="shared" si="131"/>
        <v>133460.16244000001</v>
      </c>
      <c r="P99" s="213">
        <f t="shared" si="131"/>
        <v>159493.41924999998</v>
      </c>
      <c r="Q99" s="213">
        <f t="shared" si="131"/>
        <v>182021.28234999996</v>
      </c>
      <c r="R99" s="213">
        <f t="shared" si="131"/>
        <v>223476.20140999998</v>
      </c>
      <c r="S99" s="213">
        <f t="shared" si="131"/>
        <v>318868.07952999993</v>
      </c>
      <c r="T99" s="213">
        <f t="shared" si="131"/>
        <v>215827.96117000002</v>
      </c>
      <c r="U99" s="213">
        <f t="shared" si="131"/>
        <v>359297.75789000001</v>
      </c>
      <c r="V99" s="213">
        <f t="shared" si="131"/>
        <v>275126</v>
      </c>
      <c r="W99" s="213">
        <f t="shared" si="131"/>
        <v>204785.36600000001</v>
      </c>
      <c r="X99" s="213">
        <f t="shared" si="131"/>
        <v>355360.76014069101</v>
      </c>
      <c r="Y99" s="213">
        <f t="shared" si="131"/>
        <v>204982.41683960881</v>
      </c>
      <c r="Z99" s="213">
        <f t="shared" ref="Z99" si="132">Z45</f>
        <v>473524</v>
      </c>
      <c r="AA99" s="213"/>
      <c r="AB99" s="191">
        <f t="shared" si="116"/>
        <v>1.3100713090455711</v>
      </c>
      <c r="AC99" s="191">
        <f t="shared" si="117"/>
        <v>0.72111687008861391</v>
      </c>
    </row>
    <row r="100" spans="2:29" ht="13" customHeight="1">
      <c r="B100" s="117" t="str">
        <f>IF('Summary | Sumário'!D$6=Names!B$3,Names!O76,Names!Z76)</f>
        <v>(+) Hedge accounting from personal loans</v>
      </c>
      <c r="C100" s="218">
        <f>C67</f>
        <v>0</v>
      </c>
      <c r="D100" s="218">
        <f>D67</f>
        <v>0</v>
      </c>
      <c r="E100" s="218">
        <f t="shared" si="111"/>
        <v>0</v>
      </c>
      <c r="F100" s="218">
        <f t="shared" si="112"/>
        <v>0</v>
      </c>
      <c r="G100" s="218">
        <f t="shared" si="113"/>
        <v>-104805.87383</v>
      </c>
      <c r="H100" s="218">
        <f t="shared" si="119"/>
        <v>343477.48167000001</v>
      </c>
      <c r="I100" s="213"/>
      <c r="J100" s="218">
        <f t="shared" ref="J100:Y100" si="133">J67</f>
        <v>0</v>
      </c>
      <c r="K100" s="218">
        <f t="shared" si="133"/>
        <v>0</v>
      </c>
      <c r="L100" s="218">
        <f t="shared" si="133"/>
        <v>0</v>
      </c>
      <c r="M100" s="218">
        <f t="shared" si="133"/>
        <v>0</v>
      </c>
      <c r="N100" s="218">
        <f t="shared" si="133"/>
        <v>0</v>
      </c>
      <c r="O100" s="218">
        <f t="shared" si="133"/>
        <v>0</v>
      </c>
      <c r="P100" s="218">
        <f t="shared" si="133"/>
        <v>0</v>
      </c>
      <c r="Q100" s="218">
        <f t="shared" si="133"/>
        <v>0</v>
      </c>
      <c r="R100" s="218">
        <f t="shared" si="133"/>
        <v>-14277.970720000001</v>
      </c>
      <c r="S100" s="218">
        <f t="shared" si="133"/>
        <v>-65034.58827</v>
      </c>
      <c r="T100" s="218">
        <f t="shared" si="133"/>
        <v>45457.766470000002</v>
      </c>
      <c r="U100" s="218">
        <f t="shared" si="133"/>
        <v>-70951.081309999994</v>
      </c>
      <c r="V100" s="218">
        <f t="shared" si="133"/>
        <v>42486.294860000002</v>
      </c>
      <c r="W100" s="218">
        <f t="shared" si="133"/>
        <v>120316.48633000001</v>
      </c>
      <c r="X100" s="218">
        <f t="shared" si="133"/>
        <v>10504.47</v>
      </c>
      <c r="Y100" s="218">
        <f t="shared" si="133"/>
        <v>170170.23048</v>
      </c>
      <c r="Z100" s="218">
        <f t="shared" ref="Z100" si="134">Z67</f>
        <v>-52954.925000000003</v>
      </c>
      <c r="AA100" s="213"/>
      <c r="AB100" s="190">
        <f t="shared" si="116"/>
        <v>-1.3111879489769143</v>
      </c>
      <c r="AC100" s="190">
        <f t="shared" si="117"/>
        <v>-2.2464001667948694</v>
      </c>
    </row>
    <row r="101" spans="2:29" ht="13" customHeight="1">
      <c r="B101" s="492" t="str">
        <f>IF('Summary | Sumário'!D$6=Names!B$3,Names!O77,Names!Z77)</f>
        <v>SME</v>
      </c>
      <c r="C101" s="213">
        <f t="shared" ref="C101:D103" si="135">C46</f>
        <v>0</v>
      </c>
      <c r="D101" s="213">
        <f t="shared" si="135"/>
        <v>59990.754910000003</v>
      </c>
      <c r="E101" s="213">
        <f t="shared" si="111"/>
        <v>186131.85699999999</v>
      </c>
      <c r="F101" s="213">
        <f t="shared" si="112"/>
        <v>450650.24199999997</v>
      </c>
      <c r="G101" s="213">
        <f t="shared" si="113"/>
        <v>522129</v>
      </c>
      <c r="H101" s="213">
        <f t="shared" si="119"/>
        <v>567287.72747602698</v>
      </c>
      <c r="I101" s="213"/>
      <c r="J101" s="213">
        <f t="shared" ref="J101:T101" si="136">J46</f>
        <v>20454.21</v>
      </c>
      <c r="K101" s="213">
        <f t="shared" si="136"/>
        <v>37744.78</v>
      </c>
      <c r="L101" s="213">
        <f t="shared" si="136"/>
        <v>42772.136999999988</v>
      </c>
      <c r="M101" s="213">
        <f t="shared" si="136"/>
        <v>85160.73000000001</v>
      </c>
      <c r="N101" s="213">
        <f t="shared" si="136"/>
        <v>84615.255999999994</v>
      </c>
      <c r="O101" s="213">
        <f t="shared" si="136"/>
        <v>107134.802</v>
      </c>
      <c r="P101" s="213">
        <f t="shared" si="136"/>
        <v>112397.92600000002</v>
      </c>
      <c r="Q101" s="213">
        <f t="shared" si="136"/>
        <v>146502.258</v>
      </c>
      <c r="R101" s="213">
        <f t="shared" si="136"/>
        <v>124265.87599999999</v>
      </c>
      <c r="S101" s="213">
        <f t="shared" si="136"/>
        <v>120750</v>
      </c>
      <c r="T101" s="213">
        <f t="shared" si="136"/>
        <v>131787.38165</v>
      </c>
      <c r="U101" s="213">
        <f>U46+200</f>
        <v>145325.74235000001</v>
      </c>
      <c r="V101" s="213">
        <f>V46+200</f>
        <v>124839</v>
      </c>
      <c r="W101" s="213">
        <f t="shared" ref="W101:Y103" si="137">W46</f>
        <v>152217.704</v>
      </c>
      <c r="X101" s="213">
        <f t="shared" si="137"/>
        <v>145605.608548077</v>
      </c>
      <c r="Y101" s="213">
        <f t="shared" si="137"/>
        <v>144625.41492794995</v>
      </c>
      <c r="Z101" s="213">
        <f t="shared" ref="Z101" si="138">Z46</f>
        <v>127223</v>
      </c>
      <c r="AA101" s="213"/>
      <c r="AB101" s="191">
        <f t="shared" si="116"/>
        <v>-0.12032750216564325</v>
      </c>
      <c r="AC101" s="191">
        <f t="shared" si="117"/>
        <v>1.9096596416183997E-2</v>
      </c>
    </row>
    <row r="102" spans="2:29" ht="13" customHeight="1">
      <c r="B102" s="99" t="str">
        <f>IF('Summary | Sumário'!D$6=Names!B$3,Names!O78,Names!Z78)</f>
        <v>Credit Cards</v>
      </c>
      <c r="C102" s="218">
        <f t="shared" si="135"/>
        <v>0</v>
      </c>
      <c r="D102" s="218">
        <f t="shared" si="135"/>
        <v>118278.86974999998</v>
      </c>
      <c r="E102" s="218">
        <f t="shared" si="111"/>
        <v>245100.40700000001</v>
      </c>
      <c r="F102" s="218">
        <f t="shared" si="112"/>
        <v>717577.09288999997</v>
      </c>
      <c r="G102" s="218">
        <f t="shared" si="113"/>
        <v>1246489</v>
      </c>
      <c r="H102" s="218">
        <f t="shared" si="119"/>
        <v>1478234.26339874</v>
      </c>
      <c r="I102" s="213"/>
      <c r="J102" s="218">
        <f t="shared" ref="J102:T102" si="139">J47</f>
        <v>44269.502</v>
      </c>
      <c r="K102" s="218">
        <f t="shared" si="139"/>
        <v>45538.873</v>
      </c>
      <c r="L102" s="218">
        <f t="shared" si="139"/>
        <v>66073.068999999989</v>
      </c>
      <c r="M102" s="218">
        <f t="shared" si="139"/>
        <v>89218.963000000018</v>
      </c>
      <c r="N102" s="218">
        <f t="shared" si="139"/>
        <v>109464.90658000001</v>
      </c>
      <c r="O102" s="218">
        <f t="shared" si="139"/>
        <v>137867.95378000001</v>
      </c>
      <c r="P102" s="218">
        <f t="shared" si="139"/>
        <v>231785.95109000002</v>
      </c>
      <c r="Q102" s="218">
        <f t="shared" si="139"/>
        <v>238458.28143999999</v>
      </c>
      <c r="R102" s="218">
        <f t="shared" si="139"/>
        <v>272598.95357000001</v>
      </c>
      <c r="S102" s="218">
        <f t="shared" si="139"/>
        <v>306514.12313000002</v>
      </c>
      <c r="T102" s="218">
        <f t="shared" si="139"/>
        <v>333795.27627999999</v>
      </c>
      <c r="U102" s="218">
        <f>U47</f>
        <v>333580.64701999992</v>
      </c>
      <c r="V102" s="218">
        <f>V47</f>
        <v>352400</v>
      </c>
      <c r="W102" s="218">
        <f t="shared" si="137"/>
        <v>369047.58500000002</v>
      </c>
      <c r="X102" s="218">
        <f t="shared" si="137"/>
        <v>379767.67666355905</v>
      </c>
      <c r="Y102" s="218">
        <f t="shared" si="137"/>
        <v>377019.00173518108</v>
      </c>
      <c r="Z102" s="218">
        <f t="shared" ref="Z102" si="140">Z47</f>
        <v>403675</v>
      </c>
      <c r="AA102" s="213"/>
      <c r="AB102" s="190">
        <f t="shared" si="116"/>
        <v>7.0702002132885022E-2</v>
      </c>
      <c r="AC102" s="190">
        <f t="shared" si="117"/>
        <v>0.14550227014755968</v>
      </c>
    </row>
    <row r="103" spans="2:29" ht="13" customHeight="1">
      <c r="B103" s="492" t="str">
        <f>IF('Summary | Sumário'!D$6=Names!B$3,Names!O80,Names!Z80)</f>
        <v>Prepayment of receivables</v>
      </c>
      <c r="C103" s="213">
        <f t="shared" si="135"/>
        <v>0</v>
      </c>
      <c r="D103" s="213">
        <f t="shared" si="135"/>
        <v>793.77571</v>
      </c>
      <c r="E103" s="213">
        <f t="shared" si="111"/>
        <v>12540.518</v>
      </c>
      <c r="F103" s="213">
        <f t="shared" si="112"/>
        <v>101704.27800000001</v>
      </c>
      <c r="G103" s="213">
        <f t="shared" si="113"/>
        <v>242443</v>
      </c>
      <c r="H103" s="213">
        <f t="shared" si="119"/>
        <v>418724.30605999997</v>
      </c>
      <c r="I103" s="213"/>
      <c r="J103" s="213">
        <f t="shared" ref="J103:T103" si="141">J48</f>
        <v>2554.556</v>
      </c>
      <c r="K103" s="213">
        <f t="shared" si="141"/>
        <v>2758.1950000000002</v>
      </c>
      <c r="L103" s="213">
        <f t="shared" si="141"/>
        <v>1333.1729999999998</v>
      </c>
      <c r="M103" s="213">
        <f t="shared" si="141"/>
        <v>5894.594000000001</v>
      </c>
      <c r="N103" s="213">
        <f t="shared" si="141"/>
        <v>5242.8329999999996</v>
      </c>
      <c r="O103" s="213">
        <f t="shared" si="141"/>
        <v>17718.065000000002</v>
      </c>
      <c r="P103" s="213">
        <f t="shared" si="141"/>
        <v>32903.998999999996</v>
      </c>
      <c r="Q103" s="213">
        <f t="shared" si="141"/>
        <v>45839.381000000008</v>
      </c>
      <c r="R103" s="213">
        <f t="shared" si="141"/>
        <v>64806.196000000004</v>
      </c>
      <c r="S103" s="213">
        <f t="shared" si="141"/>
        <v>59977</v>
      </c>
      <c r="T103" s="213">
        <f t="shared" si="141"/>
        <v>60383</v>
      </c>
      <c r="U103" s="213">
        <f>U48</f>
        <v>57276.804000000004</v>
      </c>
      <c r="V103" s="213">
        <f>V48</f>
        <v>59662</v>
      </c>
      <c r="W103" s="213">
        <f t="shared" si="137"/>
        <v>53645.453999999998</v>
      </c>
      <c r="X103" s="213">
        <f t="shared" si="137"/>
        <v>136932.53951</v>
      </c>
      <c r="Y103" s="213">
        <f t="shared" si="137"/>
        <v>168484.31254999997</v>
      </c>
      <c r="Z103" s="213">
        <f t="shared" ref="Z103" si="142">Z48</f>
        <v>240697</v>
      </c>
      <c r="AA103" s="213"/>
      <c r="AB103" s="191">
        <f t="shared" si="116"/>
        <v>0.42860184640970611</v>
      </c>
      <c r="AC103" s="191">
        <f t="shared" si="117"/>
        <v>3.0343434682042174</v>
      </c>
    </row>
    <row r="104" spans="2:29" ht="14" customHeight="1">
      <c r="B104" s="99" t="str">
        <f>IF('Summary | Sumário'!D$6=Names!B$3,Names!O41,Names!Z41)</f>
        <v xml:space="preserve">Others </v>
      </c>
      <c r="C104" s="218">
        <f>C50</f>
        <v>0</v>
      </c>
      <c r="D104" s="218">
        <f>D50</f>
        <v>7364.6793500000003</v>
      </c>
      <c r="E104" s="218">
        <f t="shared" si="111"/>
        <v>21586.092000000001</v>
      </c>
      <c r="F104" s="218">
        <f t="shared" si="112"/>
        <v>14380.906110000018</v>
      </c>
      <c r="G104" s="218">
        <f t="shared" si="113"/>
        <v>-1458</v>
      </c>
      <c r="H104" s="218">
        <f t="shared" si="119"/>
        <v>215195.96812633501</v>
      </c>
      <c r="I104" s="213"/>
      <c r="J104" s="218">
        <f t="shared" ref="J104:Y104" si="143">J50</f>
        <v>4018.4669999999996</v>
      </c>
      <c r="K104" s="218">
        <f t="shared" si="143"/>
        <v>2171.27</v>
      </c>
      <c r="L104" s="218">
        <f t="shared" si="143"/>
        <v>6261.3210000000008</v>
      </c>
      <c r="M104" s="218">
        <f t="shared" si="143"/>
        <v>9135.0339999999997</v>
      </c>
      <c r="N104" s="218">
        <f t="shared" si="143"/>
        <v>19991.723699999999</v>
      </c>
      <c r="O104" s="218">
        <f t="shared" si="143"/>
        <v>-14255.250899999999</v>
      </c>
      <c r="P104" s="218">
        <f t="shared" si="143"/>
        <v>4359.5800100000197</v>
      </c>
      <c r="Q104" s="218">
        <f t="shared" si="143"/>
        <v>4284.8532999999998</v>
      </c>
      <c r="R104" s="218">
        <f t="shared" si="143"/>
        <v>9761.2691400000203</v>
      </c>
      <c r="S104" s="218">
        <f t="shared" si="143"/>
        <v>57.954070000036197</v>
      </c>
      <c r="T104" s="218">
        <f t="shared" si="143"/>
        <v>7345.8183899999603</v>
      </c>
      <c r="U104" s="218">
        <f t="shared" si="143"/>
        <v>-18623.041600000019</v>
      </c>
      <c r="V104" s="218">
        <f t="shared" si="143"/>
        <v>19548.879910000003</v>
      </c>
      <c r="W104" s="218">
        <f t="shared" si="143"/>
        <v>27154.723109999999</v>
      </c>
      <c r="X104" s="218">
        <f t="shared" si="143"/>
        <v>42287.207184334788</v>
      </c>
      <c r="Y104" s="218">
        <f t="shared" si="143"/>
        <v>126205.15792200022</v>
      </c>
      <c r="Z104" s="218">
        <f t="shared" ref="Z104" si="144">Z50</f>
        <v>86544</v>
      </c>
      <c r="AA104" s="213"/>
      <c r="AB104" s="190">
        <f t="shared" si="116"/>
        <v>-0.31425940567747934</v>
      </c>
      <c r="AC104" s="190">
        <f t="shared" si="117"/>
        <v>3.4270567110972641</v>
      </c>
    </row>
    <row r="105" spans="2:29" ht="14" customHeight="1">
      <c r="B105" s="492"/>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191"/>
      <c r="AC105" s="191"/>
    </row>
    <row r="106" spans="2:29" ht="13" customHeight="1">
      <c r="B106" s="51" t="str">
        <f>IF('Summary | Sumário'!D$6=Names!B$3,Names!O82,Names!Z82)</f>
        <v>Implied rates</v>
      </c>
      <c r="C106" s="162"/>
      <c r="D106" s="162"/>
      <c r="E106" s="162"/>
      <c r="F106" s="162"/>
      <c r="G106" s="162"/>
      <c r="H106" s="162"/>
      <c r="J106" s="162"/>
      <c r="K106" s="162"/>
      <c r="L106" s="162"/>
      <c r="M106" s="162"/>
      <c r="N106" s="162"/>
      <c r="O106" s="162"/>
      <c r="P106" s="162"/>
      <c r="Q106" s="162"/>
      <c r="R106" s="162"/>
      <c r="S106" s="162"/>
      <c r="T106" s="162"/>
      <c r="U106" s="162"/>
      <c r="V106" s="162"/>
      <c r="W106" s="162"/>
      <c r="X106" s="162"/>
      <c r="Y106" s="162"/>
      <c r="Z106" s="162"/>
      <c r="AB106" s="151"/>
      <c r="AC106" s="151"/>
    </row>
    <row r="107" spans="2:29" ht="13" customHeight="1">
      <c r="B107" s="279" t="str">
        <f>IF('Summary | Sumário'!D$6=Names!B$3,Names!O83,Names!Z83)</f>
        <v>All-in loan rate (%)</v>
      </c>
      <c r="C107" s="539">
        <v>0</v>
      </c>
      <c r="D107" s="540">
        <f>((D94/AVERAGE(D80)))</f>
        <v>0.1047081880439219</v>
      </c>
      <c r="E107" s="540">
        <f t="shared" ref="E107:H108" si="145">((E94/AVERAGE(D80:E80)+1))-1</f>
        <v>0.12590017223377448</v>
      </c>
      <c r="F107" s="540">
        <f t="shared" si="145"/>
        <v>0.15704765193140835</v>
      </c>
      <c r="G107" s="540">
        <f t="shared" si="145"/>
        <v>0.1846436176241828</v>
      </c>
      <c r="H107" s="540">
        <f t="shared" si="145"/>
        <v>0.19404988787748234</v>
      </c>
      <c r="I107" s="317"/>
      <c r="J107" s="540">
        <f>((J94/AVERAGE(J80,D80)+1)^4)-1</f>
        <v>0.14145709739371348</v>
      </c>
      <c r="K107" s="540">
        <f t="shared" ref="K107:Z107" si="146">((K94/AVERAGE(J80:K80)+1)^4)-1</f>
        <v>0.12001724608674325</v>
      </c>
      <c r="L107" s="540">
        <f t="shared" si="146"/>
        <v>0.13177960977619052</v>
      </c>
      <c r="M107" s="540">
        <f t="shared" si="146"/>
        <v>0.14504583836768137</v>
      </c>
      <c r="N107" s="540">
        <f t="shared" si="146"/>
        <v>0.14835051044173042</v>
      </c>
      <c r="O107" s="540">
        <f t="shared" si="146"/>
        <v>0.16854513879351618</v>
      </c>
      <c r="P107" s="540">
        <f t="shared" si="146"/>
        <v>0.18774945856548442</v>
      </c>
      <c r="Q107" s="540">
        <f t="shared" si="146"/>
        <v>0.18814434315369089</v>
      </c>
      <c r="R107" s="540">
        <f t="shared" si="146"/>
        <v>0.19915520287433885</v>
      </c>
      <c r="S107" s="540">
        <f t="shared" si="146"/>
        <v>0.21016334238648682</v>
      </c>
      <c r="T107" s="540">
        <f t="shared" si="146"/>
        <v>0.20661550221764813</v>
      </c>
      <c r="U107" s="540">
        <f t="shared" si="146"/>
        <v>0.20091041019458067</v>
      </c>
      <c r="V107" s="540">
        <f t="shared" si="146"/>
        <v>0.21080238752839575</v>
      </c>
      <c r="W107" s="540">
        <f t="shared" si="146"/>
        <v>0.21006323493107515</v>
      </c>
      <c r="X107" s="540">
        <f t="shared" si="146"/>
        <v>0.20559399328722239</v>
      </c>
      <c r="Y107" s="540">
        <f t="shared" si="146"/>
        <v>0.22038567292030353</v>
      </c>
      <c r="Z107" s="540">
        <f t="shared" si="146"/>
        <v>0.22873090034174681</v>
      </c>
      <c r="AA107" s="317"/>
      <c r="AB107" s="541">
        <f>(Z107-Y107)*100</f>
        <v>0.83452274214432798</v>
      </c>
      <c r="AC107" s="541">
        <f>(Z107-V107)*100</f>
        <v>1.7928512813351061</v>
      </c>
    </row>
    <row r="108" spans="2:29" ht="13" customHeight="1">
      <c r="B108" s="22" t="str">
        <f>IF('Summary | Sumário'!D$6=Names!B$3,Names!O84,Names!Z84)</f>
        <v>Real estate net of hedge accounting (%)</v>
      </c>
      <c r="C108" s="218">
        <v>0</v>
      </c>
      <c r="D108" s="223">
        <f>((D95/AVERAGE(D81)))</f>
        <v>0.10487176981002902</v>
      </c>
      <c r="E108" s="223">
        <f t="shared" si="145"/>
        <v>0.11780885551766973</v>
      </c>
      <c r="F108" s="223">
        <f t="shared" si="145"/>
        <v>0.12070913664410376</v>
      </c>
      <c r="G108" s="223">
        <f t="shared" si="145"/>
        <v>0.12355060899211145</v>
      </c>
      <c r="H108" s="223">
        <f t="shared" si="145"/>
        <v>0.12998761806370895</v>
      </c>
      <c r="I108" s="317"/>
      <c r="J108" s="223">
        <f>((J95/AVERAGE(D81,J81)+1)^4)-1</f>
        <v>0.13960916231790121</v>
      </c>
      <c r="K108" s="223">
        <f t="shared" ref="K108:Z108" si="147">((K95/AVERAGE(J81:K81)+1)^4)-1</f>
        <v>0.10190862569461623</v>
      </c>
      <c r="L108" s="223">
        <f t="shared" si="147"/>
        <v>0.13007606927532178</v>
      </c>
      <c r="M108" s="223">
        <f t="shared" si="147"/>
        <v>0.12344288745102516</v>
      </c>
      <c r="N108" s="223">
        <f t="shared" si="147"/>
        <v>0.12390384526537068</v>
      </c>
      <c r="O108" s="223">
        <f t="shared" si="147"/>
        <v>0.14881297718441022</v>
      </c>
      <c r="P108" s="223">
        <f t="shared" si="147"/>
        <v>0.11532393671744878</v>
      </c>
      <c r="Q108" s="223">
        <f t="shared" si="147"/>
        <v>0.12144612894237694</v>
      </c>
      <c r="R108" s="223">
        <f t="shared" si="147"/>
        <v>0.14080701525935813</v>
      </c>
      <c r="S108" s="223">
        <f t="shared" si="147"/>
        <v>0.14594668266669952</v>
      </c>
      <c r="T108" s="223">
        <f t="shared" si="147"/>
        <v>0.12443874399941635</v>
      </c>
      <c r="U108" s="223">
        <f t="shared" si="147"/>
        <v>0.12914043405586395</v>
      </c>
      <c r="V108" s="223">
        <f t="shared" si="147"/>
        <v>0.14015263470459161</v>
      </c>
      <c r="W108" s="223">
        <f t="shared" si="147"/>
        <v>0.14936733438649541</v>
      </c>
      <c r="X108" s="223">
        <f t="shared" si="147"/>
        <v>0.12203695028460482</v>
      </c>
      <c r="Y108" s="223">
        <f t="shared" si="147"/>
        <v>0.14438541563266893</v>
      </c>
      <c r="Z108" s="223">
        <f t="shared" si="147"/>
        <v>0.15431395901332068</v>
      </c>
      <c r="AA108" s="154"/>
      <c r="AB108" s="498">
        <f t="shared" ref="AB108:AB113" si="148">(Z108-Y108)*100</f>
        <v>0.99285433806517442</v>
      </c>
      <c r="AC108" s="498">
        <f t="shared" ref="AC108:AC113" si="149">(Z108-V108)*100</f>
        <v>1.4161324308729073</v>
      </c>
    </row>
    <row r="109" spans="2:29" ht="13" customHeight="1">
      <c r="B109" s="16" t="str">
        <f>IF('Summary | Sumário'!D$6=Names!B$3,Names!O85,Names!Z85)</f>
        <v>Personal net of hedge accounting (%)</v>
      </c>
      <c r="C109" s="213">
        <v>0</v>
      </c>
      <c r="D109" s="154">
        <f>((D98/AVERAGE(D82)))</f>
        <v>0.11767935566059531</v>
      </c>
      <c r="E109" s="154">
        <f>((E98/AVERAGE(D82:E82)+1))-1</f>
        <v>0.12209654992119945</v>
      </c>
      <c r="F109" s="154">
        <f>((F98/AVERAGE(E82:F82)+1))-1</f>
        <v>0.12898232237436336</v>
      </c>
      <c r="G109" s="154">
        <f>((G98/AVERAGE(F82:G82)+1))-1</f>
        <v>0.16070813208781587</v>
      </c>
      <c r="H109" s="154">
        <f>((H98/AVERAGE(G82:H82)+1))-1</f>
        <v>0.17999139862779412</v>
      </c>
      <c r="I109" s="317"/>
      <c r="J109" s="154">
        <f>((J98/AVERAGE(D82,J82)+1)^4)-1</f>
        <v>0.14255403353395346</v>
      </c>
      <c r="K109" s="154">
        <f t="shared" ref="K109:Z109" si="150">((K98/AVERAGE(J82:K82)+1)^4)-1</f>
        <v>0.12921943057949825</v>
      </c>
      <c r="L109" s="154">
        <f t="shared" si="150"/>
        <v>0.12433354838978916</v>
      </c>
      <c r="M109" s="154">
        <f t="shared" si="150"/>
        <v>0.12164462530105191</v>
      </c>
      <c r="N109" s="154">
        <f t="shared" si="150"/>
        <v>0.12026347607482735</v>
      </c>
      <c r="O109" s="154">
        <f t="shared" si="150"/>
        <v>0.13333814712064163</v>
      </c>
      <c r="P109" s="154">
        <f t="shared" si="150"/>
        <v>0.14094797150740179</v>
      </c>
      <c r="Q109" s="154">
        <f t="shared" si="150"/>
        <v>0.14575352402368003</v>
      </c>
      <c r="R109" s="154">
        <f t="shared" si="150"/>
        <v>0.15303365779610112</v>
      </c>
      <c r="S109" s="154">
        <f t="shared" si="150"/>
        <v>0.17143184914060194</v>
      </c>
      <c r="T109" s="154">
        <f t="shared" si="150"/>
        <v>0.16850213419115523</v>
      </c>
      <c r="U109" s="154">
        <f t="shared" si="150"/>
        <v>0.17790589321003303</v>
      </c>
      <c r="V109" s="154">
        <f t="shared" si="150"/>
        <v>0.18604344023571406</v>
      </c>
      <c r="W109" s="154">
        <f t="shared" si="150"/>
        <v>0.18507934155981309</v>
      </c>
      <c r="X109" s="154">
        <f t="shared" si="150"/>
        <v>0.20180925523482385</v>
      </c>
      <c r="Y109" s="154">
        <f t="shared" si="150"/>
        <v>0.19800625723328236</v>
      </c>
      <c r="Z109" s="154">
        <f t="shared" si="150"/>
        <v>0.21114234595358217</v>
      </c>
      <c r="AA109" s="154"/>
      <c r="AB109" s="495">
        <f t="shared" si="148"/>
        <v>1.313608872029981</v>
      </c>
      <c r="AC109" s="495">
        <f t="shared" si="149"/>
        <v>2.5098905717868103</v>
      </c>
    </row>
    <row r="110" spans="2:29" ht="13" customHeight="1">
      <c r="B110" s="22" t="str">
        <f>IF('Summary | Sumário'!D$6=Names!B$3,Names!O86,Names!Z86)</f>
        <v>SME (%)</v>
      </c>
      <c r="C110" s="218">
        <v>0</v>
      </c>
      <c r="D110" s="223">
        <f>((D101/AVERAGE(D83)))</f>
        <v>3.7900012515249208E-2</v>
      </c>
      <c r="E110" s="223">
        <f>((E101/AVERAGE(D83:E83)+1))-1</f>
        <v>8.0926401752337229E-2</v>
      </c>
      <c r="F110" s="223">
        <f>((F101/AVERAGE(E83:F83)+1))-1</f>
        <v>0.14061598035090483</v>
      </c>
      <c r="G110" s="223">
        <f>((G101/AVERAGE(F83:G83)+1))-1</f>
        <v>0.14407028230522823</v>
      </c>
      <c r="H110" s="223">
        <f>((H101/AVERAGE(G83:H83)+1))-1</f>
        <v>0.14500580623068826</v>
      </c>
      <c r="I110" s="317"/>
      <c r="J110" s="223">
        <f>((J101/AVERAGE(D83,J83)+1)^4)-1</f>
        <v>5.287812357767141E-2</v>
      </c>
      <c r="K110" s="223">
        <f t="shared" ref="K110:Z110" si="151">((K101/AVERAGE(J83:K83)+1)^4)-1</f>
        <v>8.3530222746464489E-2</v>
      </c>
      <c r="L110" s="223">
        <f t="shared" si="151"/>
        <v>7.2330056118097952E-2</v>
      </c>
      <c r="M110" s="223">
        <f t="shared" si="151"/>
        <v>0.12452165667114934</v>
      </c>
      <c r="N110" s="223">
        <f t="shared" si="151"/>
        <v>0.11878339098679125</v>
      </c>
      <c r="O110" s="223">
        <f t="shared" si="151"/>
        <v>0.15518910007411235</v>
      </c>
      <c r="P110" s="223">
        <f t="shared" si="151"/>
        <v>0.16180709347410005</v>
      </c>
      <c r="Q110" s="223">
        <f t="shared" si="151"/>
        <v>0.19703599512306247</v>
      </c>
      <c r="R110" s="223">
        <f t="shared" si="151"/>
        <v>0.16185223715062791</v>
      </c>
      <c r="S110" s="223">
        <f t="shared" si="151"/>
        <v>0.16166793069063989</v>
      </c>
      <c r="T110" s="223">
        <f t="shared" si="151"/>
        <v>0.16811562153127424</v>
      </c>
      <c r="U110" s="223">
        <f t="shared" si="151"/>
        <v>0.169168019688543</v>
      </c>
      <c r="V110" s="223">
        <f t="shared" si="151"/>
        <v>0.14540437803132478</v>
      </c>
      <c r="W110" s="223">
        <f t="shared" si="151"/>
        <v>0.16695440538777295</v>
      </c>
      <c r="X110" s="223">
        <f t="shared" si="151"/>
        <v>0.14409182784875152</v>
      </c>
      <c r="Y110" s="223">
        <f t="shared" si="151"/>
        <v>0.15032176707849088</v>
      </c>
      <c r="Z110" s="223">
        <f t="shared" si="151"/>
        <v>0.13856449780539082</v>
      </c>
      <c r="AA110" s="154"/>
      <c r="AB110" s="498">
        <f t="shared" si="148"/>
        <v>-1.1757269273100057</v>
      </c>
      <c r="AC110" s="498">
        <f t="shared" si="149"/>
        <v>-0.68398802259339586</v>
      </c>
    </row>
    <row r="111" spans="2:29" ht="13" customHeight="1">
      <c r="B111" s="16" t="str">
        <f>IF('Summary | Sumário'!D$6=Names!B$3,Names!O87,Names!Z87)</f>
        <v>Credit cards (%)</v>
      </c>
      <c r="C111" s="213">
        <v>0</v>
      </c>
      <c r="D111" s="154">
        <f>((D102/AVERAGE(D84)))</f>
        <v>0.513782772670344</v>
      </c>
      <c r="E111" s="154">
        <f>((E102/AVERAGE(D84:E84)))</f>
        <v>0.54093104484128296</v>
      </c>
      <c r="F111" s="154">
        <f>((F102/AVERAGE(E84:F84)))</f>
        <v>0.67227515902400814</v>
      </c>
      <c r="G111" s="154">
        <f>((G102/AVERAGE(F84:G84)))</f>
        <v>0.72680866669707223</v>
      </c>
      <c r="H111" s="154">
        <f>((H102/AVERAGE(G84:H84)))</f>
        <v>0.70039897455828304</v>
      </c>
      <c r="I111" s="317"/>
      <c r="J111" s="154">
        <f>((J102*4/AVERAGE(D84,J84)))</f>
        <v>0.65473226137019969</v>
      </c>
      <c r="K111" s="154">
        <f t="shared" ref="K111:Z111" si="152">((K102*4/AVERAGE(J84:K84)))</f>
        <v>0.4687272493771088</v>
      </c>
      <c r="L111" s="154">
        <f t="shared" si="152"/>
        <v>0.53217245871666763</v>
      </c>
      <c r="M111" s="154">
        <f t="shared" si="152"/>
        <v>0.59344103018622585</v>
      </c>
      <c r="N111" s="154">
        <f t="shared" si="152"/>
        <v>0.57893090375890244</v>
      </c>
      <c r="O111" s="154">
        <f t="shared" si="152"/>
        <v>0.57417187234470979</v>
      </c>
      <c r="P111" s="154">
        <f t="shared" si="152"/>
        <v>0.77458262934943811</v>
      </c>
      <c r="Q111" s="154">
        <f t="shared" si="152"/>
        <v>0.68908620557722866</v>
      </c>
      <c r="R111" s="154">
        <f t="shared" si="152"/>
        <v>0.71465505874008561</v>
      </c>
      <c r="S111" s="154">
        <f t="shared" si="152"/>
        <v>0.7276700945389164</v>
      </c>
      <c r="T111" s="154">
        <f t="shared" si="152"/>
        <v>0.72975536090869786</v>
      </c>
      <c r="U111" s="154">
        <f t="shared" si="152"/>
        <v>0.69252999175534213</v>
      </c>
      <c r="V111" s="154">
        <f t="shared" si="152"/>
        <v>0.67964787730003418</v>
      </c>
      <c r="W111" s="154">
        <f t="shared" si="152"/>
        <v>0.66481922171007568</v>
      </c>
      <c r="X111" s="154">
        <f t="shared" si="152"/>
        <v>0.67951298855656717</v>
      </c>
      <c r="Y111" s="154">
        <f t="shared" si="152"/>
        <v>0.67675315969254435</v>
      </c>
      <c r="Z111" s="154">
        <f t="shared" si="152"/>
        <v>0.66188312461732368</v>
      </c>
      <c r="AA111" s="154"/>
      <c r="AB111" s="495">
        <f t="shared" si="148"/>
        <v>-1.4870035075220667</v>
      </c>
      <c r="AC111" s="495">
        <f t="shared" si="149"/>
        <v>-1.7764752682710494</v>
      </c>
    </row>
    <row r="112" spans="2:29" ht="14" customHeight="1">
      <c r="B112" s="22" t="str">
        <f>IF('Summary | Sumário'!D$6=Names!B$3,Names!O89,Names!Z89)</f>
        <v>Prepayment of receivables (%)</v>
      </c>
      <c r="C112" s="218">
        <v>0</v>
      </c>
      <c r="D112" s="218">
        <v>0</v>
      </c>
      <c r="E112" s="543">
        <f>((E103/AVERAGE(D88:E88)+1))-1</f>
        <v>8.413518771972206E-2</v>
      </c>
      <c r="F112" s="543">
        <f>((F103/AVERAGE(E88:F88)+1))-1</f>
        <v>9.4883616658324677E-2</v>
      </c>
      <c r="G112" s="543">
        <f>((G103/AVERAGE(F88:G88)+1))-1</f>
        <v>0.15731809833297694</v>
      </c>
      <c r="H112" s="543">
        <f>((H103/AVERAGE(G88:H88)+1))-1</f>
        <v>0.12273804797516785</v>
      </c>
      <c r="I112" s="317"/>
      <c r="J112" s="543">
        <f>((J103/AVERAGE(D88,J88)+1)^4)-1</f>
        <v>0.26039742256808451</v>
      </c>
      <c r="K112" s="543">
        <f t="shared" ref="K112:Z112" si="153">((K103/AVERAGE(J88:K88)+1)^4)-1</f>
        <v>0.14783862266255832</v>
      </c>
      <c r="L112" s="543">
        <f t="shared" si="153"/>
        <v>6.459029810892325E-2</v>
      </c>
      <c r="M112" s="543">
        <f t="shared" si="153"/>
        <v>0.12461856520973669</v>
      </c>
      <c r="N112" s="543">
        <f t="shared" si="153"/>
        <v>6.658196771964553E-2</v>
      </c>
      <c r="O112" s="543">
        <f t="shared" si="153"/>
        <v>0.20961222212585384</v>
      </c>
      <c r="P112" s="543">
        <f t="shared" si="153"/>
        <v>0.20021568035746928</v>
      </c>
      <c r="Q112" s="543">
        <f t="shared" si="153"/>
        <v>0.13376298520647723</v>
      </c>
      <c r="R112" s="543">
        <f t="shared" si="153"/>
        <v>0.17549478254727435</v>
      </c>
      <c r="S112" s="543">
        <f t="shared" si="153"/>
        <v>0.19535247550652524</v>
      </c>
      <c r="T112" s="543">
        <f t="shared" si="153"/>
        <v>0.2034848250158352</v>
      </c>
      <c r="U112" s="543">
        <f t="shared" si="153"/>
        <v>0.20041020690686762</v>
      </c>
      <c r="V112" s="543">
        <f t="shared" si="153"/>
        <v>0.20315318920311509</v>
      </c>
      <c r="W112" s="543">
        <f t="shared" si="153"/>
        <v>0.11204030807884102</v>
      </c>
      <c r="X112" s="543">
        <f t="shared" si="153"/>
        <v>0.16450701318036032</v>
      </c>
      <c r="Y112" s="543">
        <f t="shared" si="153"/>
        <v>0.14264575493108511</v>
      </c>
      <c r="Z112" s="543">
        <f t="shared" si="153"/>
        <v>0.19083424609710375</v>
      </c>
      <c r="AA112" s="317"/>
      <c r="AB112" s="498">
        <f t="shared" si="148"/>
        <v>4.8188491166018643</v>
      </c>
      <c r="AC112" s="498">
        <f t="shared" si="149"/>
        <v>-1.2318943106011337</v>
      </c>
    </row>
    <row r="113" spans="2:29" ht="13" customHeight="1">
      <c r="B113" s="15" t="str">
        <f>IF('Summary | Sumário'!D$6=Names!B$3,Names!O91,Names!Z91)</f>
        <v>All-in securities rate (%)</v>
      </c>
      <c r="C113" s="213">
        <v>0</v>
      </c>
      <c r="D113" s="213">
        <v>0</v>
      </c>
      <c r="E113" s="154">
        <f t="shared" ref="E113:H113" si="154">((E58/AVERAGE(D91:E91)+1))-1</f>
        <v>8.0301625567996693E-2</v>
      </c>
      <c r="F113" s="154">
        <f t="shared" si="154"/>
        <v>0.11677555235105963</v>
      </c>
      <c r="G113" s="154">
        <f t="shared" si="154"/>
        <v>0.11018356548390518</v>
      </c>
      <c r="H113" s="154">
        <f t="shared" si="154"/>
        <v>9.8503044885109858E-2</v>
      </c>
      <c r="I113" s="154"/>
      <c r="J113" s="154">
        <f t="shared" ref="J113:Z113" si="155">((J58/AVERAGE(I91:J91)+1)^4)-1</f>
        <v>5.4286904091786825E-2</v>
      </c>
      <c r="K113" s="154">
        <f t="shared" si="155"/>
        <v>5.8710237271498711E-2</v>
      </c>
      <c r="L113" s="154">
        <f t="shared" si="155"/>
        <v>8.7860511981103562E-2</v>
      </c>
      <c r="M113" s="154">
        <f t="shared" si="155"/>
        <v>0.10297714696034288</v>
      </c>
      <c r="N113" s="154">
        <f t="shared" si="155"/>
        <v>0.11565328670768094</v>
      </c>
      <c r="O113" s="154">
        <f t="shared" si="155"/>
        <v>0.13642579461998028</v>
      </c>
      <c r="P113" s="154">
        <f t="shared" si="155"/>
        <v>0.10875505578052325</v>
      </c>
      <c r="Q113" s="154">
        <f t="shared" si="155"/>
        <v>0.12164276963863152</v>
      </c>
      <c r="R113" s="154">
        <f t="shared" si="155"/>
        <v>0.12416764282367021</v>
      </c>
      <c r="S113" s="154">
        <f t="shared" si="155"/>
        <v>0.12598762333030766</v>
      </c>
      <c r="T113" s="154">
        <f t="shared" si="155"/>
        <v>0.12002247028227675</v>
      </c>
      <c r="U113" s="154">
        <f t="shared" si="155"/>
        <v>0.11116595712529009</v>
      </c>
      <c r="V113" s="154">
        <f t="shared" si="155"/>
        <v>0.10597271095784566</v>
      </c>
      <c r="W113" s="154">
        <f t="shared" si="155"/>
        <v>0.10405862472669658</v>
      </c>
      <c r="X113" s="154">
        <f t="shared" si="155"/>
        <v>0.11002108290744572</v>
      </c>
      <c r="Y113" s="154">
        <f t="shared" si="155"/>
        <v>0.11055996410354174</v>
      </c>
      <c r="Z113" s="154">
        <f t="shared" si="155"/>
        <v>0.12702180696697152</v>
      </c>
      <c r="AA113" s="154"/>
      <c r="AB113" s="495">
        <f t="shared" si="148"/>
        <v>1.6461842863429776</v>
      </c>
      <c r="AC113" s="495">
        <f t="shared" si="149"/>
        <v>2.1049096009125856</v>
      </c>
    </row>
    <row r="114" spans="2:29" ht="13" customHeight="1">
      <c r="B114" s="22"/>
      <c r="C114" s="162"/>
      <c r="D114" s="162"/>
      <c r="E114" s="162"/>
      <c r="F114" s="162"/>
      <c r="G114" s="162"/>
      <c r="H114" s="162"/>
      <c r="J114" s="162"/>
      <c r="K114" s="162"/>
      <c r="L114" s="162"/>
      <c r="M114" s="162"/>
      <c r="N114" s="162"/>
      <c r="O114" s="162"/>
      <c r="P114" s="162"/>
      <c r="Q114" s="162"/>
      <c r="R114" s="162"/>
      <c r="S114" s="223"/>
      <c r="T114" s="223"/>
      <c r="U114" s="223"/>
      <c r="V114" s="223"/>
      <c r="W114" s="223"/>
      <c r="X114" s="223"/>
      <c r="Y114" s="223"/>
      <c r="Z114" s="223"/>
      <c r="AA114" s="154"/>
      <c r="AB114" s="151"/>
      <c r="AC114" s="151"/>
    </row>
    <row r="115" spans="2:29" ht="13" customHeight="1">
      <c r="B115" s="49" t="str">
        <f>IF('Summary | Sumário'!D$6=Names!B$3,Names!O102,Names!Z103)</f>
        <v>Renegotiated Portfolio</v>
      </c>
      <c r="AB115" s="150"/>
      <c r="AC115" s="150"/>
    </row>
    <row r="116" spans="2:29" ht="13" customHeight="1">
      <c r="B116" s="276" t="str">
        <f>IF('Summary | Sumário'!D$6=Names!B$3,Names!O103,Names!Z103)</f>
        <v>Renegotiated portfolio</v>
      </c>
      <c r="C116" s="544" t="s">
        <v>1182</v>
      </c>
      <c r="D116" s="544" t="s">
        <v>1182</v>
      </c>
      <c r="E116" s="544" t="s">
        <v>1182</v>
      </c>
      <c r="F116" s="544">
        <f>Q116</f>
        <v>807372.72962999996</v>
      </c>
      <c r="G116" s="544">
        <f>U116</f>
        <v>1013503.8981579969</v>
      </c>
      <c r="H116" s="544">
        <f>Y116</f>
        <v>1743115</v>
      </c>
      <c r="I116" s="542"/>
      <c r="J116" s="544" t="s">
        <v>1182</v>
      </c>
      <c r="K116" s="544" t="s">
        <v>1182</v>
      </c>
      <c r="L116" s="544" t="s">
        <v>1182</v>
      </c>
      <c r="M116" s="544" t="s">
        <v>1182</v>
      </c>
      <c r="N116" s="544">
        <v>705976.27219999675</v>
      </c>
      <c r="O116" s="544">
        <v>721629.40601000446</v>
      </c>
      <c r="P116" s="544">
        <v>788511.83772999898</v>
      </c>
      <c r="Q116" s="544">
        <v>807372.72962999996</v>
      </c>
      <c r="R116" s="544">
        <v>839302.77655999793</v>
      </c>
      <c r="S116" s="544">
        <v>925448.81361999619</v>
      </c>
      <c r="T116" s="544">
        <v>971835.995925333</v>
      </c>
      <c r="U116" s="544">
        <v>1013503.8981579969</v>
      </c>
      <c r="V116" s="544">
        <v>1089191.80005044</v>
      </c>
      <c r="W116" s="544">
        <v>1481864.0399573899</v>
      </c>
      <c r="X116" s="544">
        <v>1582106.37561</v>
      </c>
      <c r="Y116" s="544">
        <v>1743115</v>
      </c>
      <c r="Z116" s="544">
        <v>1910806.8049999999</v>
      </c>
      <c r="AA116" s="542"/>
      <c r="AB116" s="545">
        <f t="shared" ref="AB116" si="156">Z116/Y116-1</f>
        <v>9.620237620581551E-2</v>
      </c>
      <c r="AC116" s="545">
        <f t="shared" ref="AC116" si="157">Z116/V116-1</f>
        <v>0.7543345487098887</v>
      </c>
    </row>
    <row r="117" spans="2:29" ht="13" customHeight="1">
      <c r="B117" s="50" t="str">
        <f>IF('Summary | Sumário'!D$6=Names!B$3,Names!O104,Names!Z104)</f>
        <v>Renegotiated portfolio (% of total gross loan portfolio)</v>
      </c>
      <c r="C117" s="121" t="s">
        <v>1182</v>
      </c>
      <c r="D117" s="121" t="s">
        <v>1182</v>
      </c>
      <c r="E117" s="121" t="s">
        <v>1182</v>
      </c>
      <c r="F117" s="307">
        <f>Q117</f>
        <v>3.2894921768841769E-2</v>
      </c>
      <c r="G117" s="307">
        <f>U117</f>
        <v>3.2671713473043845E-2</v>
      </c>
      <c r="H117" s="307">
        <f>Y117</f>
        <v>4.232627302762719E-2</v>
      </c>
      <c r="I117" s="307"/>
      <c r="J117" s="121" t="s">
        <v>1182</v>
      </c>
      <c r="K117" s="121" t="s">
        <v>1182</v>
      </c>
      <c r="L117" s="121" t="s">
        <v>1182</v>
      </c>
      <c r="M117" s="121" t="s">
        <v>1182</v>
      </c>
      <c r="N117" s="154">
        <f t="shared" ref="N117:Y117" si="158">N116/N12</f>
        <v>3.8112142211782558E-2</v>
      </c>
      <c r="O117" s="154">
        <f t="shared" si="158"/>
        <v>3.6327473393210095E-2</v>
      </c>
      <c r="P117" s="154">
        <f t="shared" si="158"/>
        <v>3.5784429560735319E-2</v>
      </c>
      <c r="Q117" s="154">
        <f t="shared" si="158"/>
        <v>3.2894921768841769E-2</v>
      </c>
      <c r="R117" s="154">
        <f t="shared" si="158"/>
        <v>3.3399372181427349E-2</v>
      </c>
      <c r="S117" s="154">
        <f t="shared" si="158"/>
        <v>3.4956418724380732E-2</v>
      </c>
      <c r="T117" s="154">
        <f t="shared" si="158"/>
        <v>3.4390630748343372E-2</v>
      </c>
      <c r="U117" s="154">
        <f t="shared" si="158"/>
        <v>3.2671713473043845E-2</v>
      </c>
      <c r="V117" s="154">
        <f t="shared" si="158"/>
        <v>3.3885159181503054E-2</v>
      </c>
      <c r="W117" s="154">
        <f t="shared" si="158"/>
        <v>4.1538616690767527E-2</v>
      </c>
      <c r="X117" s="154">
        <f t="shared" si="158"/>
        <v>4.1568867080372267E-2</v>
      </c>
      <c r="Y117" s="154">
        <f t="shared" si="158"/>
        <v>4.232627302762719E-2</v>
      </c>
      <c r="Z117" s="154">
        <f t="shared" ref="Z117" si="159">Z116/Z12</f>
        <v>4.4859947217675451E-2</v>
      </c>
      <c r="AA117" s="154"/>
      <c r="AB117" s="343">
        <f t="shared" ref="AB117" si="160">(Z117-Y117)*100</f>
        <v>0.25336741900482618</v>
      </c>
      <c r="AC117" s="343">
        <f t="shared" ref="AC117" si="161">(Z117-V117)*100</f>
        <v>1.0974788036172398</v>
      </c>
    </row>
    <row r="118" spans="2:29" ht="13" customHeight="1">
      <c r="Z118" s="153"/>
      <c r="AA118" s="153"/>
      <c r="AB118" s="153"/>
      <c r="AC118" s="153"/>
    </row>
    <row r="119" spans="2:29" ht="13" customHeight="1">
      <c r="Q119" s="154"/>
      <c r="R119" s="154"/>
      <c r="S119" s="154"/>
      <c r="T119" s="154"/>
      <c r="U119" s="154"/>
      <c r="V119" s="154"/>
      <c r="W119" s="154"/>
      <c r="X119" s="154"/>
      <c r="Y119" s="154"/>
      <c r="Z119" s="154"/>
      <c r="AA119" s="154"/>
      <c r="AB119" s="154"/>
      <c r="AC119" s="154"/>
    </row>
    <row r="120" spans="2:29" ht="13" customHeight="1">
      <c r="B120" s="772"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120" s="120" t="s">
        <v>1181</v>
      </c>
      <c r="N120" s="154"/>
      <c r="O120" s="154"/>
      <c r="P120" s="154"/>
      <c r="Q120" s="154"/>
      <c r="R120" s="154"/>
      <c r="S120" s="154"/>
      <c r="T120" s="154"/>
      <c r="U120" s="154"/>
      <c r="V120" s="154"/>
      <c r="W120" s="154"/>
      <c r="X120" s="154"/>
      <c r="Y120" s="154"/>
      <c r="Z120" s="154"/>
      <c r="AA120" s="154"/>
      <c r="AB120" s="154"/>
      <c r="AC120" s="154"/>
    </row>
    <row r="121" spans="2:29" ht="13" customHeight="1">
      <c r="B121" s="772"/>
      <c r="Z121" s="175"/>
      <c r="AA121" s="175"/>
      <c r="AB121" s="175"/>
      <c r="AC121" s="175"/>
    </row>
    <row r="122" spans="2:29" ht="13" customHeight="1">
      <c r="B122" s="772"/>
      <c r="T122" s="217"/>
      <c r="U122" s="217"/>
      <c r="V122" s="217"/>
      <c r="W122" s="217"/>
      <c r="X122" s="217"/>
      <c r="Y122" s="217"/>
      <c r="Z122" s="217"/>
      <c r="AA122" s="154"/>
      <c r="AB122" s="217"/>
      <c r="AC122" s="217"/>
    </row>
    <row r="123" spans="2:29" ht="13" customHeight="1">
      <c r="B123" s="772"/>
    </row>
    <row r="124" spans="2:29" ht="13" customHeight="1">
      <c r="B124" s="772"/>
    </row>
  </sheetData>
  <sheetProtection algorithmName="SHA-512" hashValue="gdqUZYNg8xkZTORYlnkYC85CVmKZu3TUXY50cP1tjIDHHWpRA28JMmyW1wB0klxGJ799i1nQJUND9HAmTyESkQ==" saltValue="h+FhlZpaNg8+dEb6nDfojg==" spinCount="100000" sheet="1" formatCells="0" formatColumns="0" formatRows="0" insertColumns="0" insertRows="0" insertHyperlinks="0" deleteColumns="0" deleteRows="0" sort="0" autoFilter="0" pivotTables="0"/>
  <mergeCells count="1">
    <mergeCell ref="B120:B124"/>
  </mergeCell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DA34-577B-0D4F-A470-EDBEC7EC6F82}">
  <sheetPr codeName="Sheet32">
    <tabColor theme="0" tint="-0.499984740745262"/>
  </sheetPr>
  <dimension ref="A1:AG58"/>
  <sheetViews>
    <sheetView showGridLines="0" zoomScaleNormal="100" zoomScaleSheetLayoutView="5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0" customWidth="1"/>
    <col min="9" max="9" width="2.83203125" style="120" customWidth="1"/>
    <col min="10" max="26" width="10.83203125" style="120" customWidth="1"/>
    <col min="27" max="27" width="5.83203125" style="120" customWidth="1"/>
    <col min="28" max="29" width="10.83203125" style="120" customWidth="1"/>
    <col min="30" max="16384" width="10.83203125" style="120"/>
  </cols>
  <sheetData>
    <row r="1" spans="1:33" ht="13" customHeight="1">
      <c r="C1" s="121"/>
      <c r="D1" s="121"/>
      <c r="E1" s="121"/>
      <c r="F1" s="121"/>
      <c r="G1" s="121"/>
      <c r="H1" s="121"/>
      <c r="J1" s="121"/>
      <c r="K1" s="121"/>
      <c r="L1" s="121"/>
      <c r="M1" s="121"/>
      <c r="N1" s="121"/>
      <c r="O1" s="121"/>
      <c r="P1" s="121"/>
      <c r="Q1" s="121"/>
      <c r="R1" s="121"/>
    </row>
    <row r="2" spans="1:33" s="9" customFormat="1" ht="13" customHeight="1">
      <c r="B2" s="255" t="str">
        <f>IF('Summary | Sumário'!D$6=Names!B$3,Names!AA1,Names!AB1)</f>
        <v>Funding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316"/>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424" t="str">
        <f>IF('Summary | Sumário'!D6=Names!B3,Names!C24,Names!D24)</f>
        <v>1Q25</v>
      </c>
      <c r="AA2" s="315"/>
      <c r="AB2" s="104" t="str">
        <f>IF('Summary | Sumário'!$D$6=Names!$B$3,Names!$I$24,Names!$J$24)</f>
        <v>QoQ Variation</v>
      </c>
      <c r="AC2" s="104" t="str">
        <f>IF('Summary | Sumário'!$D$6=Names!$B$3,Names!$I$25,Names!$J$25)</f>
        <v>YoY Variation</v>
      </c>
      <c r="AD2" s="10"/>
      <c r="AF2" s="11"/>
      <c r="AG2" s="12"/>
    </row>
    <row r="3" spans="1:33" ht="13" customHeight="1">
      <c r="B3" s="13"/>
      <c r="C3" s="130"/>
      <c r="D3" s="130"/>
      <c r="E3" s="131"/>
      <c r="F3" s="131"/>
      <c r="G3" s="131"/>
      <c r="H3" s="131"/>
      <c r="I3" s="131"/>
      <c r="J3" s="131"/>
      <c r="K3" s="131"/>
      <c r="L3" s="131"/>
      <c r="M3" s="131"/>
      <c r="N3" s="131"/>
      <c r="O3" s="131"/>
      <c r="P3" s="131"/>
      <c r="Q3" s="131"/>
      <c r="R3" s="131"/>
      <c r="S3" s="131"/>
      <c r="T3" s="131"/>
      <c r="U3" s="131"/>
      <c r="V3" s="131"/>
      <c r="W3" s="131"/>
      <c r="X3" s="131"/>
      <c r="Y3" s="131"/>
      <c r="Z3" s="131"/>
      <c r="AA3" s="131"/>
      <c r="AB3" s="131"/>
      <c r="AC3" s="131"/>
    </row>
    <row r="4" spans="1:33" s="143" customFormat="1" ht="13" customHeight="1">
      <c r="A4" s="142"/>
      <c r="B4" s="3" t="str">
        <f>IF('Summary | Sumário'!D$6=Names!B$3,Names!AA2,Names!AB2)</f>
        <v>Funding - including other interest bearing liabilities</v>
      </c>
      <c r="C4" s="164"/>
      <c r="AD4" s="204"/>
    </row>
    <row r="5" spans="1:33" ht="13" customHeight="1">
      <c r="A5" s="198"/>
      <c r="B5" s="259" t="str">
        <f>IF('Summary | Sumário'!D$6=Names!B$3,Names!AA3,Names!AB3)</f>
        <v>Deposits from customers</v>
      </c>
      <c r="C5" s="277">
        <v>4714439</v>
      </c>
      <c r="D5" s="277">
        <v>12436632</v>
      </c>
      <c r="E5" s="277">
        <f>M5</f>
        <v>18333543</v>
      </c>
      <c r="F5" s="277">
        <f>Q5</f>
        <v>23642804</v>
      </c>
      <c r="G5" s="277">
        <f>U5</f>
        <v>32651620</v>
      </c>
      <c r="H5" s="277">
        <f>Y5</f>
        <v>42803229</v>
      </c>
      <c r="I5" s="164"/>
      <c r="J5" s="277">
        <v>13392679</v>
      </c>
      <c r="K5" s="277">
        <v>15629130.619999999</v>
      </c>
      <c r="L5" s="277">
        <v>17093473.298</v>
      </c>
      <c r="M5" s="277">
        <v>18333543</v>
      </c>
      <c r="N5" s="277">
        <v>18958118</v>
      </c>
      <c r="O5" s="277">
        <v>19746409</v>
      </c>
      <c r="P5" s="277">
        <v>21452026</v>
      </c>
      <c r="Q5" s="277">
        <v>23642804</v>
      </c>
      <c r="R5" s="277">
        <v>24182006</v>
      </c>
      <c r="S5" s="277">
        <v>26299326</v>
      </c>
      <c r="T5" s="277">
        <v>29063988</v>
      </c>
      <c r="U5" s="277">
        <v>32651620</v>
      </c>
      <c r="V5" s="277">
        <v>32643444.086135942</v>
      </c>
      <c r="W5" s="277">
        <v>35978318.071000002</v>
      </c>
      <c r="X5" s="277">
        <v>39129759</v>
      </c>
      <c r="Y5" s="277">
        <v>42803229</v>
      </c>
      <c r="Z5" s="277">
        <v>43647768</v>
      </c>
      <c r="AA5" s="164"/>
      <c r="AB5" s="344">
        <f>Z5/Y5-1</f>
        <v>1.9730731062369111E-2</v>
      </c>
      <c r="AC5" s="344">
        <f>Z5/V5-1</f>
        <v>0.33710670616822958</v>
      </c>
    </row>
    <row r="6" spans="1:33" ht="13" customHeight="1">
      <c r="A6" s="198"/>
      <c r="B6" s="16" t="str">
        <f>IF('Summary | Sumário'!D$6=Names!B$3,Names!AA4,Names!AB4)</f>
        <v>Demand deposits</v>
      </c>
      <c r="C6" s="164">
        <v>2094127</v>
      </c>
      <c r="D6" s="164">
        <v>6713351</v>
      </c>
      <c r="E6" s="164">
        <f t="shared" ref="E6:E15" si="0">M6</f>
        <v>9932809</v>
      </c>
      <c r="F6" s="164">
        <f t="shared" ref="F6:F15" si="1">Q6</f>
        <v>11566826</v>
      </c>
      <c r="G6" s="164">
        <f t="shared" ref="G6:G15" si="2">U6</f>
        <v>2572536</v>
      </c>
      <c r="H6" s="164">
        <f t="shared" ref="H6:H15" si="3">Y6</f>
        <v>1415426.8934948002</v>
      </c>
      <c r="I6" s="164"/>
      <c r="J6" s="164">
        <v>6984899</v>
      </c>
      <c r="K6" s="164">
        <v>8299742</v>
      </c>
      <c r="L6" s="164">
        <v>9163029</v>
      </c>
      <c r="M6" s="164">
        <v>9932809</v>
      </c>
      <c r="N6" s="164">
        <v>9620809</v>
      </c>
      <c r="O6" s="164">
        <v>9784611</v>
      </c>
      <c r="P6" s="164">
        <v>10418989</v>
      </c>
      <c r="Q6" s="164">
        <v>11566826</v>
      </c>
      <c r="R6" s="164">
        <v>11005662</v>
      </c>
      <c r="S6" s="164">
        <v>3109793</v>
      </c>
      <c r="T6" s="164">
        <v>1813779</v>
      </c>
      <c r="U6" s="164">
        <v>2572536</v>
      </c>
      <c r="V6" s="164">
        <v>1593427.4698459422</v>
      </c>
      <c r="W6" s="164">
        <v>1431720.5060000001</v>
      </c>
      <c r="X6" s="164">
        <v>1457541.7699500001</v>
      </c>
      <c r="Y6" s="164">
        <v>1415426.8934948002</v>
      </c>
      <c r="Z6" s="164">
        <v>1411097</v>
      </c>
      <c r="AA6" s="164"/>
      <c r="AB6" s="345">
        <f t="shared" ref="AB6:AB15" si="4">Z6/Y6-1</f>
        <v>-3.0590725064643109E-3</v>
      </c>
      <c r="AC6" s="345">
        <f t="shared" ref="AC6:AC15" si="5">Z6/V6-1</f>
        <v>-0.11442658878196099</v>
      </c>
      <c r="AD6" s="205"/>
    </row>
    <row r="7" spans="1:33" ht="13" customHeight="1">
      <c r="A7" s="198"/>
      <c r="B7" s="22" t="str">
        <f>IF('Summary | Sumário'!D$6=Names!B$3,Names!AA5,Names!AB5)</f>
        <v>Time deposits</v>
      </c>
      <c r="C7" s="159">
        <v>2259047</v>
      </c>
      <c r="D7" s="159">
        <v>4771204</v>
      </c>
      <c r="E7" s="159">
        <f t="shared" si="0"/>
        <v>6922061</v>
      </c>
      <c r="F7" s="159">
        <f t="shared" si="1"/>
        <v>10517060</v>
      </c>
      <c r="G7" s="159">
        <f t="shared" si="2"/>
        <v>28158459</v>
      </c>
      <c r="H7" s="159">
        <f t="shared" si="3"/>
        <v>39228574.976070002</v>
      </c>
      <c r="I7" s="164"/>
      <c r="J7" s="159">
        <v>5394450</v>
      </c>
      <c r="K7" s="159">
        <v>6119961</v>
      </c>
      <c r="L7" s="159">
        <v>6580559</v>
      </c>
      <c r="M7" s="159">
        <v>6922061</v>
      </c>
      <c r="N7" s="159">
        <v>7894003</v>
      </c>
      <c r="O7" s="159">
        <v>8579727</v>
      </c>
      <c r="P7" s="159">
        <v>9558462</v>
      </c>
      <c r="Q7" s="159">
        <v>10517060</v>
      </c>
      <c r="R7" s="159">
        <v>11687031</v>
      </c>
      <c r="S7" s="159">
        <v>21616586</v>
      </c>
      <c r="T7" s="159">
        <v>25572336</v>
      </c>
      <c r="U7" s="159">
        <v>28158459</v>
      </c>
      <c r="V7" s="159">
        <v>29169018.986099999</v>
      </c>
      <c r="W7" s="159">
        <v>32531468.234000001</v>
      </c>
      <c r="X7" s="159">
        <v>35665570.401489995</v>
      </c>
      <c r="Y7" s="159">
        <v>39228574.976070002</v>
      </c>
      <c r="Z7" s="159">
        <v>40140843</v>
      </c>
      <c r="AA7" s="164"/>
      <c r="AB7" s="346">
        <f t="shared" si="4"/>
        <v>2.3255191515024309E-2</v>
      </c>
      <c r="AC7" s="346">
        <f t="shared" si="5"/>
        <v>0.37614648676146545</v>
      </c>
      <c r="AD7" s="206"/>
    </row>
    <row r="8" spans="1:33" ht="13" customHeight="1">
      <c r="A8" s="198"/>
      <c r="B8" s="16" t="str">
        <f>IF('Summary | Sumário'!D$6=Names!B$3,Names!AA6,Names!AB6)</f>
        <v>Savings deposits</v>
      </c>
      <c r="C8" s="164">
        <v>307098</v>
      </c>
      <c r="D8" s="164">
        <v>887666</v>
      </c>
      <c r="E8" s="164">
        <f t="shared" si="0"/>
        <v>1230039</v>
      </c>
      <c r="F8" s="164">
        <f t="shared" si="1"/>
        <v>1307055</v>
      </c>
      <c r="G8" s="164">
        <f t="shared" si="2"/>
        <v>1540604</v>
      </c>
      <c r="H8" s="164">
        <f t="shared" si="3"/>
        <v>1883431.889</v>
      </c>
      <c r="I8" s="164"/>
      <c r="J8" s="164">
        <v>935359</v>
      </c>
      <c r="K8" s="164">
        <v>1049178</v>
      </c>
      <c r="L8" s="164">
        <v>1138085</v>
      </c>
      <c r="M8" s="164">
        <v>1230039</v>
      </c>
      <c r="N8" s="164">
        <v>1215061</v>
      </c>
      <c r="O8" s="164">
        <v>1182012</v>
      </c>
      <c r="P8" s="164">
        <v>1216043</v>
      </c>
      <c r="Q8" s="164">
        <v>1307055</v>
      </c>
      <c r="R8" s="164">
        <v>1274938</v>
      </c>
      <c r="S8" s="164">
        <v>1305803</v>
      </c>
      <c r="T8" s="164">
        <v>1350713</v>
      </c>
      <c r="U8" s="164">
        <v>1540604</v>
      </c>
      <c r="V8" s="164">
        <v>1549652.25122</v>
      </c>
      <c r="W8" s="164">
        <v>1715785.118</v>
      </c>
      <c r="X8" s="164">
        <v>1777366.3865499999</v>
      </c>
      <c r="Y8" s="164">
        <v>1883431.889</v>
      </c>
      <c r="Z8" s="164">
        <v>1727777</v>
      </c>
      <c r="AA8" s="164"/>
      <c r="AB8" s="345">
        <f t="shared" si="4"/>
        <v>-8.2644288816116518E-2</v>
      </c>
      <c r="AC8" s="345">
        <f t="shared" si="5"/>
        <v>0.11494498113352014</v>
      </c>
      <c r="AD8" s="206"/>
    </row>
    <row r="9" spans="1:33" ht="13" customHeight="1">
      <c r="A9" s="198"/>
      <c r="B9" s="22" t="str">
        <f>IF('Summary | Sumário'!D$6=Names!B$3,Names!AA7,Names!AB7)</f>
        <v>Creditors by resources to release</v>
      </c>
      <c r="C9" s="159">
        <v>54167</v>
      </c>
      <c r="D9" s="159">
        <v>64410</v>
      </c>
      <c r="E9" s="159">
        <f t="shared" si="0"/>
        <v>248633</v>
      </c>
      <c r="F9" s="159">
        <f t="shared" si="1"/>
        <v>251863</v>
      </c>
      <c r="G9" s="159">
        <f t="shared" si="2"/>
        <v>380021</v>
      </c>
      <c r="H9" s="159">
        <f t="shared" si="3"/>
        <v>275795.36</v>
      </c>
      <c r="I9" s="164"/>
      <c r="J9" s="159">
        <v>77971</v>
      </c>
      <c r="K9" s="159">
        <v>160250</v>
      </c>
      <c r="L9" s="159">
        <v>211800</v>
      </c>
      <c r="M9" s="159">
        <v>248633</v>
      </c>
      <c r="N9" s="159">
        <v>228245</v>
      </c>
      <c r="O9" s="159">
        <v>200059</v>
      </c>
      <c r="P9" s="159">
        <v>258532</v>
      </c>
      <c r="Q9" s="159">
        <v>251863</v>
      </c>
      <c r="R9" s="159">
        <v>214375</v>
      </c>
      <c r="S9" s="159">
        <v>267144</v>
      </c>
      <c r="T9" s="159">
        <v>327160</v>
      </c>
      <c r="U9" s="159">
        <v>380021</v>
      </c>
      <c r="V9" s="159">
        <v>331346</v>
      </c>
      <c r="W9" s="159">
        <v>299344.21299999999</v>
      </c>
      <c r="X9" s="159">
        <v>229281.05566999997</v>
      </c>
      <c r="Y9" s="159">
        <v>275795.36</v>
      </c>
      <c r="Z9" s="159">
        <v>368051</v>
      </c>
      <c r="AA9" s="164"/>
      <c r="AB9" s="346">
        <f t="shared" si="4"/>
        <v>0.33450758562435579</v>
      </c>
      <c r="AC9" s="346">
        <f t="shared" si="5"/>
        <v>0.11077544319231247</v>
      </c>
      <c r="AD9" s="206"/>
    </row>
    <row r="10" spans="1:33" ht="13" customHeight="1">
      <c r="A10" s="198"/>
      <c r="B10" s="15" t="str">
        <f>IF('Summary | Sumário'!D$6=Names!B$3,Names!AA8,Names!AB8)</f>
        <v>Securities issued</v>
      </c>
      <c r="C10" s="164">
        <v>1719580</v>
      </c>
      <c r="D10" s="164">
        <v>1729436</v>
      </c>
      <c r="E10" s="164">
        <f t="shared" si="0"/>
        <v>3572093</v>
      </c>
      <c r="F10" s="164">
        <f t="shared" si="1"/>
        <v>6202165</v>
      </c>
      <c r="G10" s="164">
        <f t="shared" si="2"/>
        <v>8095042</v>
      </c>
      <c r="H10" s="164">
        <f t="shared" si="3"/>
        <v>9890219</v>
      </c>
      <c r="I10" s="164"/>
      <c r="J10" s="164">
        <v>1704892</v>
      </c>
      <c r="K10" s="164">
        <v>2081723</v>
      </c>
      <c r="L10" s="164">
        <v>3093320</v>
      </c>
      <c r="M10" s="164">
        <v>3572093</v>
      </c>
      <c r="N10" s="164">
        <v>4280956</v>
      </c>
      <c r="O10" s="164">
        <v>6104223</v>
      </c>
      <c r="P10" s="164">
        <v>6916919</v>
      </c>
      <c r="Q10" s="164">
        <v>6202165</v>
      </c>
      <c r="R10" s="164">
        <v>6640557</v>
      </c>
      <c r="S10" s="164">
        <v>7006191.0407400001</v>
      </c>
      <c r="T10" s="164">
        <v>7462564.5372699993</v>
      </c>
      <c r="U10" s="164">
        <v>8095042</v>
      </c>
      <c r="V10" s="164">
        <v>8249142.2142699994</v>
      </c>
      <c r="W10" s="164">
        <v>8543248.1730000004</v>
      </c>
      <c r="X10" s="164">
        <v>9047656</v>
      </c>
      <c r="Y10" s="164">
        <v>9890219</v>
      </c>
      <c r="Z10" s="164">
        <v>10697969</v>
      </c>
      <c r="AA10" s="164"/>
      <c r="AB10" s="345">
        <f t="shared" si="4"/>
        <v>8.167159898077081E-2</v>
      </c>
      <c r="AC10" s="345">
        <f t="shared" si="5"/>
        <v>0.29685835473824573</v>
      </c>
      <c r="AD10" s="206"/>
    </row>
    <row r="11" spans="1:33" ht="13" customHeight="1">
      <c r="A11" s="198"/>
      <c r="B11" s="21" t="str">
        <f>IF('Summary | Sumário'!D$6=Names!B$3,Names!AA24,Names!AB24)</f>
        <v>Interest bearing deposits from banks</v>
      </c>
      <c r="C11" s="159">
        <f>SUM(C12:C13)</f>
        <v>510733</v>
      </c>
      <c r="D11" s="159">
        <f t="shared" ref="D11:T11" si="6">SUM(D12:D13)</f>
        <v>102874</v>
      </c>
      <c r="E11" s="159">
        <f t="shared" si="0"/>
        <v>1113010</v>
      </c>
      <c r="F11" s="159">
        <f t="shared" si="1"/>
        <v>2635401</v>
      </c>
      <c r="G11" s="159">
        <f t="shared" si="2"/>
        <v>2658958</v>
      </c>
      <c r="H11" s="159">
        <f t="shared" si="3"/>
        <v>2242924.3964400003</v>
      </c>
      <c r="I11" s="164"/>
      <c r="J11" s="159">
        <f t="shared" si="6"/>
        <v>215077.01337999999</v>
      </c>
      <c r="K11" s="159">
        <f t="shared" si="6"/>
        <v>385394.85464999999</v>
      </c>
      <c r="L11" s="159">
        <f t="shared" si="6"/>
        <v>947510.22100000002</v>
      </c>
      <c r="M11" s="159">
        <f t="shared" si="6"/>
        <v>1113010</v>
      </c>
      <c r="N11" s="159">
        <f t="shared" si="6"/>
        <v>1473583</v>
      </c>
      <c r="O11" s="159">
        <f t="shared" si="6"/>
        <v>1795650</v>
      </c>
      <c r="P11" s="159">
        <f t="shared" si="6"/>
        <v>2286525</v>
      </c>
      <c r="Q11" s="159">
        <f t="shared" si="6"/>
        <v>2635401</v>
      </c>
      <c r="R11" s="159">
        <f t="shared" si="6"/>
        <v>2673490</v>
      </c>
      <c r="S11" s="159">
        <f t="shared" si="6"/>
        <v>2320817</v>
      </c>
      <c r="T11" s="159">
        <f t="shared" si="6"/>
        <v>2957425.0232100002</v>
      </c>
      <c r="U11" s="159">
        <f t="shared" ref="U11:V11" si="7">SUM(U12:U13)</f>
        <v>2658958</v>
      </c>
      <c r="V11" s="159">
        <f t="shared" si="7"/>
        <v>2788975.0564099997</v>
      </c>
      <c r="W11" s="159">
        <f t="shared" ref="W11:X11" si="8">SUM(W12:W13)</f>
        <v>3136404.7650000001</v>
      </c>
      <c r="X11" s="159">
        <f t="shared" si="8"/>
        <v>1975608.0917399998</v>
      </c>
      <c r="Y11" s="159">
        <f t="shared" ref="Y11:Z11" si="9">SUM(Y12:Y13)</f>
        <v>2242924.3964400003</v>
      </c>
      <c r="Z11" s="159">
        <f t="shared" si="9"/>
        <v>4330418</v>
      </c>
      <c r="AA11" s="164"/>
      <c r="AB11" s="346">
        <f t="shared" si="4"/>
        <v>0.93070172444211563</v>
      </c>
      <c r="AC11" s="346">
        <f t="shared" si="5"/>
        <v>0.55269154883520644</v>
      </c>
      <c r="AD11" s="206"/>
    </row>
    <row r="12" spans="1:33" ht="13" customHeight="1">
      <c r="A12" s="198"/>
      <c r="B12" s="16" t="str">
        <f>IF('Summary | Sumário'!D$6=Names!B$3,Names!AA20,Names!AB20)</f>
        <v>Securities sold under agreements to repurchase</v>
      </c>
      <c r="C12" s="164">
        <v>178491</v>
      </c>
      <c r="D12" s="164">
        <v>102874</v>
      </c>
      <c r="E12" s="164">
        <f t="shared" si="0"/>
        <v>973533</v>
      </c>
      <c r="F12" s="164">
        <f t="shared" si="1"/>
        <v>1902873</v>
      </c>
      <c r="G12" s="164">
        <f t="shared" si="2"/>
        <v>1011092</v>
      </c>
      <c r="H12" s="164">
        <f t="shared" si="3"/>
        <v>1725851.9284400002</v>
      </c>
      <c r="I12" s="164"/>
      <c r="J12" s="164">
        <v>164878.20288</v>
      </c>
      <c r="K12" s="164">
        <v>209582.78599999999</v>
      </c>
      <c r="L12" s="164">
        <v>656030.402</v>
      </c>
      <c r="M12" s="164">
        <v>973533</v>
      </c>
      <c r="N12" s="164">
        <v>976192</v>
      </c>
      <c r="O12" s="164">
        <v>1480935</v>
      </c>
      <c r="P12" s="164">
        <v>1354877</v>
      </c>
      <c r="Q12" s="164">
        <v>1902873</v>
      </c>
      <c r="R12" s="164">
        <v>1882289</v>
      </c>
      <c r="S12" s="164">
        <v>1727567</v>
      </c>
      <c r="T12" s="164">
        <v>1600987.9855800001</v>
      </c>
      <c r="U12" s="164">
        <v>1011092</v>
      </c>
      <c r="V12" s="164">
        <v>1107832.7549099999</v>
      </c>
      <c r="W12" s="164">
        <v>1372709.743</v>
      </c>
      <c r="X12" s="164">
        <v>1776578.1025399999</v>
      </c>
      <c r="Y12" s="164">
        <v>1725851.9284400002</v>
      </c>
      <c r="Z12" s="164">
        <v>3798106</v>
      </c>
      <c r="AA12" s="164"/>
      <c r="AB12" s="345">
        <f t="shared" si="4"/>
        <v>1.2007137097984488</v>
      </c>
      <c r="AC12" s="345">
        <f t="shared" si="5"/>
        <v>2.4284109972073873</v>
      </c>
      <c r="AD12" s="206"/>
    </row>
    <row r="13" spans="1:33" ht="13" customHeight="1">
      <c r="A13" s="198"/>
      <c r="B13" s="22" t="str">
        <f>IF('Summary | Sumário'!D$6=Names!B$3,Names!AA21,Names!AB21)</f>
        <v>Interbank deposits</v>
      </c>
      <c r="C13" s="159">
        <v>332242</v>
      </c>
      <c r="D13" s="159">
        <v>0</v>
      </c>
      <c r="E13" s="159">
        <f t="shared" si="0"/>
        <v>139477</v>
      </c>
      <c r="F13" s="159">
        <f t="shared" si="1"/>
        <v>732528</v>
      </c>
      <c r="G13" s="159">
        <f t="shared" si="2"/>
        <v>1647866</v>
      </c>
      <c r="H13" s="159">
        <f t="shared" si="3"/>
        <v>517072.46799999999</v>
      </c>
      <c r="I13" s="164"/>
      <c r="J13" s="159">
        <v>50198.8105</v>
      </c>
      <c r="K13" s="159">
        <v>175812.06864999997</v>
      </c>
      <c r="L13" s="159">
        <v>291479.81900000002</v>
      </c>
      <c r="M13" s="159">
        <v>139477</v>
      </c>
      <c r="N13" s="159">
        <v>497391</v>
      </c>
      <c r="O13" s="159">
        <v>314715</v>
      </c>
      <c r="P13" s="159">
        <v>931648</v>
      </c>
      <c r="Q13" s="159">
        <v>732528</v>
      </c>
      <c r="R13" s="159">
        <v>791201</v>
      </c>
      <c r="S13" s="159">
        <v>593250</v>
      </c>
      <c r="T13" s="159">
        <v>1356437.0376300002</v>
      </c>
      <c r="U13" s="159">
        <v>1647866</v>
      </c>
      <c r="V13" s="159">
        <v>1681142.3015000001</v>
      </c>
      <c r="W13" s="159">
        <v>1763695.0220000001</v>
      </c>
      <c r="X13" s="159">
        <v>199029.98919999998</v>
      </c>
      <c r="Y13" s="159">
        <v>517072.46799999999</v>
      </c>
      <c r="Z13" s="159">
        <v>532312</v>
      </c>
      <c r="AA13" s="164"/>
      <c r="AB13" s="346">
        <f t="shared" si="4"/>
        <v>2.9472719866415309E-2</v>
      </c>
      <c r="AC13" s="346">
        <f t="shared" si="5"/>
        <v>-0.68336291370156799</v>
      </c>
      <c r="AD13" s="206"/>
    </row>
    <row r="14" spans="1:33" ht="13" customHeight="1">
      <c r="A14" s="198"/>
      <c r="B14" s="15" t="str">
        <f>IF('Summary | Sumário'!D$6=Names!B$3,Names!AA22,Names!AB22)</f>
        <v>Borrowings and on-lending</v>
      </c>
      <c r="C14" s="164">
        <v>29800</v>
      </c>
      <c r="D14" s="164">
        <v>27405</v>
      </c>
      <c r="E14" s="164">
        <f t="shared" si="0"/>
        <v>25071</v>
      </c>
      <c r="F14" s="164">
        <f t="shared" si="1"/>
        <v>36448</v>
      </c>
      <c r="G14" s="164">
        <f t="shared" si="2"/>
        <v>107412</v>
      </c>
      <c r="H14" s="164">
        <f t="shared" si="3"/>
        <v>128924</v>
      </c>
      <c r="I14" s="164"/>
      <c r="J14" s="164">
        <v>27179</v>
      </c>
      <c r="K14" s="164">
        <v>26325</v>
      </c>
      <c r="L14" s="164">
        <v>25580</v>
      </c>
      <c r="M14" s="164">
        <v>25071</v>
      </c>
      <c r="N14" s="164">
        <v>33002</v>
      </c>
      <c r="O14" s="164">
        <v>31855</v>
      </c>
      <c r="P14" s="164">
        <v>33119</v>
      </c>
      <c r="Q14" s="164">
        <v>36448</v>
      </c>
      <c r="R14" s="164">
        <v>36632</v>
      </c>
      <c r="S14" s="164">
        <v>38753</v>
      </c>
      <c r="T14" s="164">
        <v>87649</v>
      </c>
      <c r="U14" s="164">
        <v>107412</v>
      </c>
      <c r="V14" s="164">
        <v>102019.6489</v>
      </c>
      <c r="W14" s="164">
        <v>101630.08100000001</v>
      </c>
      <c r="X14" s="164">
        <v>114824</v>
      </c>
      <c r="Y14" s="164">
        <v>128924</v>
      </c>
      <c r="Z14" s="164">
        <v>397953</v>
      </c>
      <c r="AA14" s="164"/>
      <c r="AB14" s="345">
        <f t="shared" si="4"/>
        <v>2.0867255127051596</v>
      </c>
      <c r="AC14" s="345">
        <f t="shared" si="5"/>
        <v>2.9007485743268422</v>
      </c>
      <c r="AD14" s="206"/>
    </row>
    <row r="15" spans="1:33" ht="13" customHeight="1">
      <c r="A15" s="198"/>
      <c r="B15" s="282" t="str">
        <f>IF('Summary | Sumário'!D$6=Names!B$3,Names!AA9,Names!AB9)</f>
        <v>Total funding</v>
      </c>
      <c r="C15" s="283">
        <f>C5+C10+C11+C14</f>
        <v>6974552</v>
      </c>
      <c r="D15" s="283">
        <f t="shared" ref="D15:T15" si="10">D5+D10+D11+D14</f>
        <v>14296347</v>
      </c>
      <c r="E15" s="283">
        <f t="shared" si="0"/>
        <v>23043717</v>
      </c>
      <c r="F15" s="283">
        <f t="shared" si="1"/>
        <v>32516818</v>
      </c>
      <c r="G15" s="283">
        <f t="shared" si="2"/>
        <v>43513032</v>
      </c>
      <c r="H15" s="283">
        <f t="shared" si="3"/>
        <v>55065296.396439999</v>
      </c>
      <c r="I15" s="330"/>
      <c r="J15" s="283">
        <f t="shared" si="10"/>
        <v>15339827.01338</v>
      </c>
      <c r="K15" s="283">
        <f t="shared" si="10"/>
        <v>18122573.474649996</v>
      </c>
      <c r="L15" s="283">
        <f t="shared" si="10"/>
        <v>21159883.519000001</v>
      </c>
      <c r="M15" s="283">
        <f t="shared" si="10"/>
        <v>23043717</v>
      </c>
      <c r="N15" s="283">
        <f t="shared" si="10"/>
        <v>24745659</v>
      </c>
      <c r="O15" s="283">
        <f t="shared" si="10"/>
        <v>27678137</v>
      </c>
      <c r="P15" s="283">
        <f t="shared" si="10"/>
        <v>30688589</v>
      </c>
      <c r="Q15" s="283">
        <f t="shared" si="10"/>
        <v>32516818</v>
      </c>
      <c r="R15" s="283">
        <f t="shared" si="10"/>
        <v>33532685</v>
      </c>
      <c r="S15" s="283">
        <f t="shared" si="10"/>
        <v>35665087.040739998</v>
      </c>
      <c r="T15" s="283">
        <f t="shared" si="10"/>
        <v>39571626.560479999</v>
      </c>
      <c r="U15" s="283">
        <f t="shared" ref="U15:V15" si="11">U5+U10+U11+U14</f>
        <v>43513032</v>
      </c>
      <c r="V15" s="283">
        <f t="shared" si="11"/>
        <v>43783581.005715944</v>
      </c>
      <c r="W15" s="283">
        <f t="shared" ref="W15:X15" si="12">W5+W10+W11+W14</f>
        <v>47759601.090000004</v>
      </c>
      <c r="X15" s="283">
        <f t="shared" si="12"/>
        <v>50267847.091739997</v>
      </c>
      <c r="Y15" s="283">
        <f t="shared" ref="Y15:Z15" si="13">Y5+Y10+Y11+Y14</f>
        <v>55065296.396439999</v>
      </c>
      <c r="Z15" s="283">
        <f t="shared" si="13"/>
        <v>59074108</v>
      </c>
      <c r="AA15" s="330"/>
      <c r="AB15" s="347">
        <f t="shared" si="4"/>
        <v>7.2801053765310764E-2</v>
      </c>
      <c r="AC15" s="347">
        <f t="shared" si="5"/>
        <v>0.34922970307723067</v>
      </c>
      <c r="AD15" s="206"/>
    </row>
    <row r="16" spans="1:33" ht="13" customHeight="1">
      <c r="A16" s="198"/>
      <c r="E16" s="175"/>
      <c r="F16" s="175"/>
      <c r="G16" s="175"/>
      <c r="H16" s="175"/>
      <c r="AD16" s="206"/>
    </row>
    <row r="17" spans="1:30" ht="13" customHeight="1">
      <c r="A17" s="198"/>
      <c r="B17" s="23" t="str">
        <f>IF('Summary | Sumário'!D$6=Names!B$3,Names!AA37,Names!AB10)</f>
        <v>All-in cost of funding</v>
      </c>
      <c r="C17" s="162"/>
      <c r="D17" s="162"/>
      <c r="E17" s="162"/>
      <c r="F17" s="162"/>
      <c r="G17" s="162"/>
      <c r="H17" s="162"/>
      <c r="J17" s="162"/>
      <c r="K17" s="162"/>
      <c r="L17" s="162"/>
      <c r="M17" s="162"/>
      <c r="N17" s="162"/>
      <c r="O17" s="162"/>
      <c r="P17" s="162"/>
      <c r="Q17" s="162"/>
      <c r="R17" s="162"/>
      <c r="S17" s="162"/>
      <c r="T17" s="162"/>
      <c r="U17" s="162"/>
      <c r="V17" s="162"/>
      <c r="W17" s="162"/>
      <c r="X17" s="162"/>
      <c r="Y17" s="162"/>
      <c r="Z17" s="162"/>
      <c r="AB17" s="162"/>
      <c r="AC17" s="162"/>
      <c r="AD17" s="206"/>
    </row>
    <row r="18" spans="1:30" ht="13" customHeight="1">
      <c r="A18" s="198"/>
      <c r="B18" s="264" t="str">
        <f>IF('Summary | Sumário'!D$6=Names!B$3,Names!AA11,Names!AB11)</f>
        <v>Annualized interest expenses</v>
      </c>
      <c r="C18" s="280">
        <f>C19</f>
        <v>256717</v>
      </c>
      <c r="D18" s="280">
        <f t="shared" ref="D18:F18" si="14">D19</f>
        <v>184335</v>
      </c>
      <c r="E18" s="280">
        <f t="shared" si="14"/>
        <v>543242</v>
      </c>
      <c r="F18" s="280">
        <f t="shared" si="14"/>
        <v>1972850</v>
      </c>
      <c r="G18" s="280">
        <f>G19</f>
        <v>2887573</v>
      </c>
      <c r="H18" s="280">
        <f>H19</f>
        <v>3311638.4190579997</v>
      </c>
      <c r="I18" s="164"/>
      <c r="J18" s="280">
        <f>J19*4</f>
        <v>262236</v>
      </c>
      <c r="K18" s="280">
        <f t="shared" ref="K18:Z18" si="15">K19*4</f>
        <v>345044</v>
      </c>
      <c r="L18" s="280">
        <f t="shared" si="15"/>
        <v>554348</v>
      </c>
      <c r="M18" s="280">
        <f t="shared" si="15"/>
        <v>1011340</v>
      </c>
      <c r="N18" s="280">
        <f t="shared" si="15"/>
        <v>1347084</v>
      </c>
      <c r="O18" s="280">
        <f t="shared" si="15"/>
        <v>1860164</v>
      </c>
      <c r="P18" s="280">
        <f t="shared" si="15"/>
        <v>2318712</v>
      </c>
      <c r="Q18" s="280">
        <f t="shared" si="15"/>
        <v>2365440</v>
      </c>
      <c r="R18" s="280">
        <f t="shared" si="15"/>
        <v>2691084</v>
      </c>
      <c r="S18" s="280">
        <f t="shared" si="15"/>
        <v>2768824</v>
      </c>
      <c r="T18" s="280">
        <f t="shared" si="15"/>
        <v>3081592</v>
      </c>
      <c r="U18" s="280">
        <f t="shared" si="15"/>
        <v>3008792.0200000005</v>
      </c>
      <c r="V18" s="280">
        <f t="shared" si="15"/>
        <v>3048987.5612000003</v>
      </c>
      <c r="W18" s="280">
        <f t="shared" si="15"/>
        <v>3090570.4360000002</v>
      </c>
      <c r="X18" s="280">
        <f t="shared" si="15"/>
        <v>3342466.872</v>
      </c>
      <c r="Y18" s="280">
        <f t="shared" si="15"/>
        <v>3764528.8070319993</v>
      </c>
      <c r="Z18" s="280">
        <f t="shared" si="15"/>
        <v>4716080</v>
      </c>
      <c r="AA18" s="164"/>
      <c r="AB18" s="348">
        <f t="shared" ref="AB18:AB22" si="16">Z18/Y18-1</f>
        <v>0.25276767471948647</v>
      </c>
      <c r="AC18" s="348">
        <f t="shared" ref="AC18:AC22" si="17">Z18/V18-1</f>
        <v>0.54676918332322622</v>
      </c>
      <c r="AD18" s="206"/>
    </row>
    <row r="19" spans="1:30" ht="13" customHeight="1">
      <c r="A19" s="198"/>
      <c r="B19" s="114" t="str">
        <f>IF('Summary | Sumário'!D$6=Names!B$3,Names!AA12,Names!AB12)</f>
        <v>Interest expenses</v>
      </c>
      <c r="C19" s="159">
        <v>256717</v>
      </c>
      <c r="D19" s="159">
        <v>184335</v>
      </c>
      <c r="E19" s="159">
        <v>543242</v>
      </c>
      <c r="F19" s="159">
        <v>1972850</v>
      </c>
      <c r="G19" s="159">
        <v>2887573</v>
      </c>
      <c r="H19" s="159">
        <v>3311638.4190579997</v>
      </c>
      <c r="I19" s="164"/>
      <c r="J19" s="159">
        <v>65559</v>
      </c>
      <c r="K19" s="159">
        <v>86261</v>
      </c>
      <c r="L19" s="159">
        <v>138587</v>
      </c>
      <c r="M19" s="159">
        <v>252835</v>
      </c>
      <c r="N19" s="159">
        <v>336771</v>
      </c>
      <c r="O19" s="159">
        <v>465041</v>
      </c>
      <c r="P19" s="159">
        <v>579678</v>
      </c>
      <c r="Q19" s="159">
        <v>591360</v>
      </c>
      <c r="R19" s="159">
        <v>672771</v>
      </c>
      <c r="S19" s="159">
        <v>692206</v>
      </c>
      <c r="T19" s="159">
        <v>770398</v>
      </c>
      <c r="U19" s="159">
        <v>752198.00500000012</v>
      </c>
      <c r="V19" s="159">
        <v>762246.89030000009</v>
      </c>
      <c r="W19" s="159">
        <v>772642.60900000005</v>
      </c>
      <c r="X19" s="159">
        <v>835616.71799999999</v>
      </c>
      <c r="Y19" s="159">
        <v>941132.20175799984</v>
      </c>
      <c r="Z19" s="159">
        <v>1179020</v>
      </c>
      <c r="AA19" s="164"/>
      <c r="AB19" s="346">
        <f t="shared" si="16"/>
        <v>0.25276767471948647</v>
      </c>
      <c r="AC19" s="346">
        <f t="shared" si="17"/>
        <v>0.54676918332322622</v>
      </c>
      <c r="AD19" s="206"/>
    </row>
    <row r="20" spans="1:30" ht="13" customHeight="1">
      <c r="A20" s="198"/>
      <c r="B20" s="15" t="str">
        <f>IF('Summary | Sumário'!D$6=Names!B$3,Names!AA13,Names!AB13)</f>
        <v>(÷) Average funding</v>
      </c>
      <c r="C20" s="207">
        <f>AVERAGE(C21:C22)</f>
        <v>6974552</v>
      </c>
      <c r="D20" s="207">
        <f t="shared" ref="D20:T20" si="18">AVERAGE(D21:D22)</f>
        <v>10635449.5</v>
      </c>
      <c r="E20" s="207">
        <f t="shared" si="18"/>
        <v>18670032</v>
      </c>
      <c r="F20" s="207">
        <f t="shared" si="18"/>
        <v>27780267.5</v>
      </c>
      <c r="G20" s="207">
        <f t="shared" si="18"/>
        <v>38014925</v>
      </c>
      <c r="H20" s="207">
        <f t="shared" si="18"/>
        <v>49289164.19822</v>
      </c>
      <c r="I20" s="207"/>
      <c r="J20" s="207">
        <f t="shared" si="18"/>
        <v>23928322.506689999</v>
      </c>
      <c r="K20" s="207">
        <f t="shared" si="18"/>
        <v>16731200.244014997</v>
      </c>
      <c r="L20" s="207">
        <f t="shared" si="18"/>
        <v>19641228.496824998</v>
      </c>
      <c r="M20" s="207">
        <f t="shared" si="18"/>
        <v>22101800.259500001</v>
      </c>
      <c r="N20" s="207">
        <f t="shared" si="18"/>
        <v>23894688</v>
      </c>
      <c r="O20" s="207">
        <f t="shared" si="18"/>
        <v>26211898</v>
      </c>
      <c r="P20" s="207">
        <f t="shared" si="18"/>
        <v>29183363</v>
      </c>
      <c r="Q20" s="207">
        <f t="shared" si="18"/>
        <v>31602703.5</v>
      </c>
      <c r="R20" s="207">
        <f t="shared" si="18"/>
        <v>33024751.5</v>
      </c>
      <c r="S20" s="207">
        <f t="shared" si="18"/>
        <v>34598886.020369999</v>
      </c>
      <c r="T20" s="207">
        <f t="shared" si="18"/>
        <v>37618356.800609998</v>
      </c>
      <c r="U20" s="207">
        <f t="shared" ref="U20:V20" si="19">AVERAGE(U21:U22)</f>
        <v>41542329.280239999</v>
      </c>
      <c r="V20" s="207">
        <f t="shared" si="19"/>
        <v>43648306.502857968</v>
      </c>
      <c r="W20" s="207">
        <f t="shared" ref="W20:X20" si="20">AVERAGE(W21:W22)</f>
        <v>45771591.04785797</v>
      </c>
      <c r="X20" s="207">
        <f t="shared" si="20"/>
        <v>49013724.09087</v>
      </c>
      <c r="Y20" s="207">
        <f t="shared" ref="Y20:Z20" si="21">AVERAGE(Y21:Y22)</f>
        <v>52666571.744089998</v>
      </c>
      <c r="Z20" s="207">
        <f t="shared" si="21"/>
        <v>57069702.19822</v>
      </c>
      <c r="AA20" s="207"/>
      <c r="AB20" s="349">
        <f t="shared" si="16"/>
        <v>8.3603893481525082E-2</v>
      </c>
      <c r="AC20" s="349">
        <f t="shared" si="17"/>
        <v>0.3074894943400206</v>
      </c>
      <c r="AD20" s="206"/>
    </row>
    <row r="21" spans="1:30" ht="13" customHeight="1">
      <c r="A21" s="198"/>
      <c r="B21" s="114" t="str">
        <f>IF('Summary | Sumário'!D$6=Names!B$3,Names!AA14,Names!AB14)</f>
        <v>Total funding</v>
      </c>
      <c r="C21" s="208">
        <f>C15</f>
        <v>6974552</v>
      </c>
      <c r="D21" s="208">
        <f t="shared" ref="D21:T21" si="22">D15</f>
        <v>14296347</v>
      </c>
      <c r="E21" s="208">
        <f t="shared" si="22"/>
        <v>23043717</v>
      </c>
      <c r="F21" s="208">
        <f t="shared" si="22"/>
        <v>32516818</v>
      </c>
      <c r="G21" s="208">
        <f t="shared" si="22"/>
        <v>43513032</v>
      </c>
      <c r="H21" s="208">
        <f t="shared" si="22"/>
        <v>55065296.396439999</v>
      </c>
      <c r="I21" s="207"/>
      <c r="J21" s="208">
        <f t="shared" si="22"/>
        <v>15339827.01338</v>
      </c>
      <c r="K21" s="208">
        <f t="shared" si="22"/>
        <v>18122573.474649996</v>
      </c>
      <c r="L21" s="208">
        <f t="shared" si="22"/>
        <v>21159883.519000001</v>
      </c>
      <c r="M21" s="208">
        <f t="shared" si="22"/>
        <v>23043717</v>
      </c>
      <c r="N21" s="208">
        <f t="shared" si="22"/>
        <v>24745659</v>
      </c>
      <c r="O21" s="208">
        <f t="shared" si="22"/>
        <v>27678137</v>
      </c>
      <c r="P21" s="208">
        <f t="shared" si="22"/>
        <v>30688589</v>
      </c>
      <c r="Q21" s="208">
        <f t="shared" si="22"/>
        <v>32516818</v>
      </c>
      <c r="R21" s="208">
        <f t="shared" si="22"/>
        <v>33532685</v>
      </c>
      <c r="S21" s="208">
        <f t="shared" si="22"/>
        <v>35665087.040739998</v>
      </c>
      <c r="T21" s="208">
        <f t="shared" si="22"/>
        <v>39571626.560479999</v>
      </c>
      <c r="U21" s="208">
        <f t="shared" ref="U21:V21" si="23">U15</f>
        <v>43513032</v>
      </c>
      <c r="V21" s="208">
        <f t="shared" si="23"/>
        <v>43783581.005715944</v>
      </c>
      <c r="W21" s="208">
        <f t="shared" ref="W21:X21" si="24">W15</f>
        <v>47759601.090000004</v>
      </c>
      <c r="X21" s="208">
        <f t="shared" si="24"/>
        <v>50267847.091739997</v>
      </c>
      <c r="Y21" s="208">
        <f t="shared" ref="Y21:Z21" si="25">Y15</f>
        <v>55065296.396439999</v>
      </c>
      <c r="Z21" s="208">
        <f t="shared" si="25"/>
        <v>59074108</v>
      </c>
      <c r="AA21" s="207"/>
      <c r="AB21" s="350">
        <f t="shared" si="16"/>
        <v>7.2801053765310764E-2</v>
      </c>
      <c r="AC21" s="350">
        <f t="shared" si="17"/>
        <v>0.34922970307723067</v>
      </c>
      <c r="AD21" s="206"/>
    </row>
    <row r="22" spans="1:30" ht="13" customHeight="1">
      <c r="A22" s="198"/>
      <c r="B22" s="111" t="str">
        <f>IF('Summary | Sumário'!D$6=Names!B$3,Names!AA15,Names!AB15)</f>
        <v>Total funding in the previous period</v>
      </c>
      <c r="C22" s="207">
        <f>C15</f>
        <v>6974552</v>
      </c>
      <c r="D22" s="207">
        <f t="shared" ref="D22:S22" si="26">C15</f>
        <v>6974552</v>
      </c>
      <c r="E22" s="207">
        <f t="shared" si="26"/>
        <v>14296347</v>
      </c>
      <c r="F22" s="207">
        <f t="shared" si="26"/>
        <v>23043717</v>
      </c>
      <c r="G22" s="207">
        <f t="shared" si="26"/>
        <v>32516818</v>
      </c>
      <c r="H22" s="207">
        <f t="shared" si="26"/>
        <v>43513032</v>
      </c>
      <c r="I22" s="207"/>
      <c r="J22" s="207">
        <f>F15</f>
        <v>32516818</v>
      </c>
      <c r="K22" s="207">
        <f t="shared" si="26"/>
        <v>15339827.01338</v>
      </c>
      <c r="L22" s="207">
        <f t="shared" si="26"/>
        <v>18122573.474649996</v>
      </c>
      <c r="M22" s="207">
        <f t="shared" si="26"/>
        <v>21159883.519000001</v>
      </c>
      <c r="N22" s="207">
        <f t="shared" si="26"/>
        <v>23043717</v>
      </c>
      <c r="O22" s="207">
        <f t="shared" si="26"/>
        <v>24745659</v>
      </c>
      <c r="P22" s="207">
        <f t="shared" si="26"/>
        <v>27678137</v>
      </c>
      <c r="Q22" s="207">
        <f t="shared" si="26"/>
        <v>30688589</v>
      </c>
      <c r="R22" s="207">
        <f t="shared" si="26"/>
        <v>32516818</v>
      </c>
      <c r="S22" s="207">
        <f t="shared" si="26"/>
        <v>33532685</v>
      </c>
      <c r="T22" s="207">
        <f t="shared" ref="T22:Z22" si="27">S15</f>
        <v>35665087.040739998</v>
      </c>
      <c r="U22" s="207">
        <f t="shared" si="27"/>
        <v>39571626.560479999</v>
      </c>
      <c r="V22" s="207">
        <f t="shared" si="27"/>
        <v>43513032</v>
      </c>
      <c r="W22" s="207">
        <f t="shared" si="27"/>
        <v>43783581.005715944</v>
      </c>
      <c r="X22" s="207">
        <f t="shared" si="27"/>
        <v>47759601.090000004</v>
      </c>
      <c r="Y22" s="207">
        <f t="shared" si="27"/>
        <v>50267847.091739997</v>
      </c>
      <c r="Z22" s="207">
        <f t="shared" si="27"/>
        <v>55065296.396439999</v>
      </c>
      <c r="AA22" s="207"/>
      <c r="AB22" s="349">
        <f t="shared" si="16"/>
        <v>9.5437731716350394E-2</v>
      </c>
      <c r="AC22" s="349">
        <f t="shared" si="17"/>
        <v>0.26548975939989661</v>
      </c>
      <c r="AD22" s="206"/>
    </row>
    <row r="23" spans="1:30" ht="13" customHeight="1">
      <c r="A23" s="198"/>
      <c r="B23" s="274" t="str">
        <f>IF('Summary | Sumário'!D$6=Names!B$3,Names!AA36,Names!AB16)</f>
        <v>All-in cost of funding (%)</v>
      </c>
      <c r="C23" s="284">
        <f>C18/C20</f>
        <v>3.6807668793637213E-2</v>
      </c>
      <c r="D23" s="284">
        <f t="shared" ref="D23:T23" si="28">D18/D20</f>
        <v>1.7332130625978714E-2</v>
      </c>
      <c r="E23" s="284">
        <f t="shared" si="28"/>
        <v>2.9097004225809575E-2</v>
      </c>
      <c r="F23" s="284">
        <f t="shared" si="28"/>
        <v>7.1016234814873541E-2</v>
      </c>
      <c r="G23" s="284">
        <f t="shared" si="28"/>
        <v>7.5958929288956908E-2</v>
      </c>
      <c r="H23" s="284">
        <f t="shared" si="28"/>
        <v>6.7187960537127431E-2</v>
      </c>
      <c r="I23" s="318"/>
      <c r="J23" s="284">
        <f t="shared" si="28"/>
        <v>1.0959230423556969E-2</v>
      </c>
      <c r="K23" s="284">
        <f t="shared" si="28"/>
        <v>2.0622788261913692E-2</v>
      </c>
      <c r="L23" s="284">
        <f t="shared" si="28"/>
        <v>2.8223692835181377E-2</v>
      </c>
      <c r="M23" s="284">
        <f t="shared" si="28"/>
        <v>4.5758263495540207E-2</v>
      </c>
      <c r="N23" s="284">
        <f t="shared" si="28"/>
        <v>5.637587734981097E-2</v>
      </c>
      <c r="O23" s="284">
        <f t="shared" si="28"/>
        <v>7.0966398541608855E-2</v>
      </c>
      <c r="P23" s="284">
        <f t="shared" si="28"/>
        <v>7.9453214490735696E-2</v>
      </c>
      <c r="Q23" s="284">
        <f t="shared" si="28"/>
        <v>7.48492925613152E-2</v>
      </c>
      <c r="R23" s="284">
        <f t="shared" si="28"/>
        <v>8.148688113519946E-2</v>
      </c>
      <c r="S23" s="284">
        <f t="shared" si="28"/>
        <v>8.0026391554047796E-2</v>
      </c>
      <c r="T23" s="284">
        <f t="shared" si="28"/>
        <v>8.1917240998416782E-2</v>
      </c>
      <c r="U23" s="284">
        <f t="shared" ref="U23:V23" si="29">U18/U20</f>
        <v>7.2427138105401342E-2</v>
      </c>
      <c r="V23" s="284">
        <f t="shared" si="29"/>
        <v>6.9853513354529828E-2</v>
      </c>
      <c r="W23" s="284">
        <f t="shared" ref="W23:X23" si="30">W18/W20</f>
        <v>6.7521586321274127E-2</v>
      </c>
      <c r="X23" s="284">
        <f t="shared" si="30"/>
        <v>6.8194509476634843E-2</v>
      </c>
      <c r="Y23" s="284">
        <f t="shared" ref="Y23:Z23" si="31">Y18/Y20</f>
        <v>7.1478523897930329E-2</v>
      </c>
      <c r="Z23" s="284">
        <f t="shared" si="31"/>
        <v>8.2637193087492483E-2</v>
      </c>
      <c r="AA23" s="318"/>
      <c r="AB23" s="352">
        <f>(Z23-Y23)*100</f>
        <v>1.1158669189562154</v>
      </c>
      <c r="AC23" s="352">
        <f>(Z23-V23)*100</f>
        <v>1.2783679732962656</v>
      </c>
      <c r="AD23" s="206"/>
    </row>
    <row r="24" spans="1:30" ht="13" customHeight="1">
      <c r="A24" s="198"/>
      <c r="B24" s="112" t="str">
        <f>IF('Summary | Sumário'!D$6=Names!B$3,Names!AA17,Names!AB17)</f>
        <v>(÷) Average daily CDI rate in the period (%)</v>
      </c>
      <c r="C24" s="209">
        <v>5.9375494071146499E-2</v>
      </c>
      <c r="D24" s="209">
        <v>2.7735059760956016E-2</v>
      </c>
      <c r="E24" s="209">
        <v>4.4600000000000001E-2</v>
      </c>
      <c r="F24" s="209">
        <v>0.124527888446216</v>
      </c>
      <c r="G24" s="209">
        <v>0.1320823293</v>
      </c>
      <c r="H24" s="209">
        <v>0.10831818181818199</v>
      </c>
      <c r="I24" s="209"/>
      <c r="J24" s="209">
        <v>2.022950819672133E-2</v>
      </c>
      <c r="K24" s="209">
        <v>3.2427419354838741E-2</v>
      </c>
      <c r="L24" s="209">
        <v>4.8576923076923101E-2</v>
      </c>
      <c r="M24" s="209">
        <v>7.6261904761904697E-2</v>
      </c>
      <c r="N24" s="209">
        <v>0.10270967741935499</v>
      </c>
      <c r="O24" s="209">
        <v>0.123758064516129</v>
      </c>
      <c r="P24" s="209">
        <v>0.13465384615384601</v>
      </c>
      <c r="Q24" s="209">
        <v>0.13650000000000001</v>
      </c>
      <c r="R24" s="209">
        <v>0.13650000000000001</v>
      </c>
      <c r="S24" s="209">
        <v>0.13650000000000001</v>
      </c>
      <c r="T24" s="209">
        <v>0.13275000000000001</v>
      </c>
      <c r="U24" s="209">
        <v>0.1224016393</v>
      </c>
      <c r="V24" s="209">
        <v>0.11281147540983601</v>
      </c>
      <c r="W24" s="209">
        <v>0.10507142857142864</v>
      </c>
      <c r="X24" s="209">
        <v>0.10430303030303033</v>
      </c>
      <c r="Y24" s="209">
        <v>0.1114206349206348</v>
      </c>
      <c r="Z24" s="209">
        <v>0.129532786885246</v>
      </c>
      <c r="AA24" s="209"/>
      <c r="AB24" s="339">
        <f>(Z24-Y24)*100</f>
        <v>1.8112151964611203</v>
      </c>
      <c r="AC24" s="339">
        <f>(Z24-V24)*100</f>
        <v>1.6721311475409992</v>
      </c>
      <c r="AD24" s="206"/>
    </row>
    <row r="25" spans="1:30" ht="13" customHeight="1">
      <c r="A25" s="198"/>
      <c r="B25" s="274" t="str">
        <f>IF('Summary | Sumário'!D$6=Names!B$3,Names!AA35,Names!AB18)</f>
        <v>All-in cost of funding % of CDI</v>
      </c>
      <c r="C25" s="284">
        <f t="shared" ref="C25:T25" si="32">C23/C24</f>
        <v>0.61991347389097162</v>
      </c>
      <c r="D25" s="284">
        <f t="shared" si="32"/>
        <v>0.62491773139706708</v>
      </c>
      <c r="E25" s="284">
        <f t="shared" si="32"/>
        <v>0.65239919788810707</v>
      </c>
      <c r="F25" s="284">
        <f t="shared" si="32"/>
        <v>0.57028377900702687</v>
      </c>
      <c r="G25" s="284">
        <f t="shared" si="32"/>
        <v>0.57508774785785755</v>
      </c>
      <c r="H25" s="284">
        <f t="shared" si="32"/>
        <v>0.62028331171498152</v>
      </c>
      <c r="I25" s="318"/>
      <c r="J25" s="284">
        <f t="shared" si="32"/>
        <v>0.54174477782574915</v>
      </c>
      <c r="K25" s="284">
        <f t="shared" si="32"/>
        <v>0.63596760618684289</v>
      </c>
      <c r="L25" s="284">
        <f t="shared" si="32"/>
        <v>0.58101030381212626</v>
      </c>
      <c r="M25" s="284">
        <f t="shared" si="32"/>
        <v>0.60001469460277557</v>
      </c>
      <c r="N25" s="284">
        <f t="shared" si="32"/>
        <v>0.54888574052893768</v>
      </c>
      <c r="O25" s="284">
        <f t="shared" si="32"/>
        <v>0.57342847772445593</v>
      </c>
      <c r="P25" s="284">
        <f t="shared" si="32"/>
        <v>0.59005529184779504</v>
      </c>
      <c r="Q25" s="284">
        <f t="shared" si="32"/>
        <v>0.54834646565066081</v>
      </c>
      <c r="R25" s="284">
        <f t="shared" si="32"/>
        <v>0.59697348816995932</v>
      </c>
      <c r="S25" s="284">
        <f t="shared" si="32"/>
        <v>0.5862739307988849</v>
      </c>
      <c r="T25" s="284">
        <f t="shared" si="32"/>
        <v>0.61707902823666128</v>
      </c>
      <c r="U25" s="284">
        <f t="shared" ref="U25:V25" si="33">U23/U24</f>
        <v>0.59171705967014232</v>
      </c>
      <c r="V25" s="284">
        <f t="shared" si="33"/>
        <v>0.61920574215306567</v>
      </c>
      <c r="W25" s="284">
        <f t="shared" ref="W25:X25" si="34">W23/W24</f>
        <v>0.64262556661987569</v>
      </c>
      <c r="X25" s="284">
        <f t="shared" si="34"/>
        <v>0.65381139242560993</v>
      </c>
      <c r="Y25" s="284">
        <f t="shared" ref="Y25:Z25" si="35">Y23/Y24</f>
        <v>0.64151962469828561</v>
      </c>
      <c r="Z25" s="284">
        <f t="shared" si="35"/>
        <v>0.63796352317117477</v>
      </c>
      <c r="AA25" s="318"/>
      <c r="AB25" s="352">
        <f>(Z25-Y25)*100</f>
        <v>-0.35561015271108332</v>
      </c>
      <c r="AC25" s="352">
        <f>(Z25-V25)*100</f>
        <v>1.8757781018109099</v>
      </c>
      <c r="AD25" s="206"/>
    </row>
    <row r="26" spans="1:30" ht="13" customHeight="1">
      <c r="A26" s="198"/>
      <c r="AD26" s="206"/>
    </row>
    <row r="27" spans="1:30" ht="13" customHeight="1">
      <c r="A27" s="198"/>
      <c r="B27" s="23" t="str">
        <f>IF('Summary | Sumário'!D$6=Names!B$3,Names!AA33,Names!AB33)</f>
        <v>Funding - excluding other interest bearing liabilities</v>
      </c>
      <c r="C27" s="250"/>
      <c r="D27" s="250"/>
      <c r="E27" s="250"/>
      <c r="F27" s="250"/>
      <c r="G27" s="250"/>
      <c r="H27" s="250"/>
      <c r="I27" s="168"/>
      <c r="J27" s="250"/>
      <c r="K27" s="250"/>
      <c r="L27" s="250"/>
      <c r="M27" s="250"/>
      <c r="N27" s="250"/>
      <c r="O27" s="250"/>
      <c r="P27" s="250"/>
      <c r="Q27" s="250"/>
      <c r="R27" s="250"/>
      <c r="S27" s="250"/>
      <c r="T27" s="250"/>
      <c r="U27" s="250"/>
      <c r="V27" s="250"/>
      <c r="W27" s="250"/>
      <c r="X27" s="250"/>
      <c r="Y27" s="250"/>
      <c r="Z27" s="250"/>
      <c r="AA27" s="168"/>
      <c r="AB27" s="250"/>
      <c r="AC27" s="250"/>
    </row>
    <row r="28" spans="1:30" ht="13" customHeight="1">
      <c r="A28" s="198"/>
      <c r="B28" s="264" t="str">
        <f>IF('Summary | Sumário'!D$6=Names!B$3,Names!AA3,Names!AB3)</f>
        <v>Deposits from customers</v>
      </c>
      <c r="C28" s="280">
        <v>4714439</v>
      </c>
      <c r="D28" s="280">
        <v>12436632</v>
      </c>
      <c r="E28" s="280">
        <f t="shared" ref="E28:E33" si="36">M28</f>
        <v>18333543</v>
      </c>
      <c r="F28" s="280">
        <f t="shared" ref="F28:F33" si="37">Q28</f>
        <v>23642804</v>
      </c>
      <c r="G28" s="280">
        <f t="shared" ref="G28:G33" si="38">U28</f>
        <v>32651620</v>
      </c>
      <c r="H28" s="280">
        <f>Y28</f>
        <v>42803229</v>
      </c>
      <c r="I28" s="164"/>
      <c r="J28" s="280">
        <v>13392679</v>
      </c>
      <c r="K28" s="280">
        <v>15629130.619999999</v>
      </c>
      <c r="L28" s="280">
        <v>17093473.298</v>
      </c>
      <c r="M28" s="280">
        <v>18333543</v>
      </c>
      <c r="N28" s="280">
        <v>18958118</v>
      </c>
      <c r="O28" s="280">
        <v>19746409</v>
      </c>
      <c r="P28" s="280">
        <v>21452026</v>
      </c>
      <c r="Q28" s="280">
        <v>23642804</v>
      </c>
      <c r="R28" s="280">
        <v>24182006</v>
      </c>
      <c r="S28" s="280">
        <v>26299326</v>
      </c>
      <c r="T28" s="280">
        <v>29063988</v>
      </c>
      <c r="U28" s="280">
        <v>32651620</v>
      </c>
      <c r="V28" s="280">
        <v>32643444.086135942</v>
      </c>
      <c r="W28" s="280">
        <v>35978318.071000002</v>
      </c>
      <c r="X28" s="280">
        <v>39129759</v>
      </c>
      <c r="Y28" s="280">
        <v>42803229</v>
      </c>
      <c r="Z28" s="280">
        <v>43647768</v>
      </c>
      <c r="AA28" s="164"/>
      <c r="AB28" s="348">
        <f>Z28/Y28-1</f>
        <v>1.9730731062369111E-2</v>
      </c>
      <c r="AC28" s="348">
        <f>Z28/V28-1</f>
        <v>0.33710670616822958</v>
      </c>
    </row>
    <row r="29" spans="1:30" ht="13" customHeight="1">
      <c r="A29" s="198"/>
      <c r="B29" s="22" t="str">
        <f>IF('Summary | Sumário'!D$6=Names!B$3,Names!AA4,Names!AB4)</f>
        <v>Demand deposits</v>
      </c>
      <c r="C29" s="208">
        <v>2094127</v>
      </c>
      <c r="D29" s="208">
        <v>6713351</v>
      </c>
      <c r="E29" s="208">
        <f t="shared" si="36"/>
        <v>9932809</v>
      </c>
      <c r="F29" s="208">
        <f t="shared" si="37"/>
        <v>11566826</v>
      </c>
      <c r="G29" s="208">
        <f t="shared" si="38"/>
        <v>2572536</v>
      </c>
      <c r="H29" s="208">
        <f t="shared" ref="H29:H34" si="39">Y29</f>
        <v>1415426.8934948002</v>
      </c>
      <c r="I29" s="207"/>
      <c r="J29" s="208">
        <v>6984899</v>
      </c>
      <c r="K29" s="208">
        <v>8299742</v>
      </c>
      <c r="L29" s="208">
        <v>9163029</v>
      </c>
      <c r="M29" s="208">
        <v>9932809</v>
      </c>
      <c r="N29" s="208">
        <v>9620809</v>
      </c>
      <c r="O29" s="208">
        <v>9784611</v>
      </c>
      <c r="P29" s="208">
        <v>10418989</v>
      </c>
      <c r="Q29" s="208">
        <v>11566826</v>
      </c>
      <c r="R29" s="208">
        <v>11005662</v>
      </c>
      <c r="S29" s="208">
        <v>3109793</v>
      </c>
      <c r="T29" s="208">
        <v>1813779</v>
      </c>
      <c r="U29" s="208">
        <v>2572536</v>
      </c>
      <c r="V29" s="208">
        <v>1593427.4698459422</v>
      </c>
      <c r="W29" s="208">
        <v>1431720.5060000001</v>
      </c>
      <c r="X29" s="208">
        <v>1457541.7699500001</v>
      </c>
      <c r="Y29" s="208">
        <v>1415426.8934948002</v>
      </c>
      <c r="Z29" s="208">
        <v>1411097</v>
      </c>
      <c r="AA29" s="207"/>
      <c r="AB29" s="350">
        <f t="shared" ref="AB29:AB34" si="40">Z29/Y29-1</f>
        <v>-3.0590725064643109E-3</v>
      </c>
      <c r="AC29" s="350">
        <f t="shared" ref="AC29:AC34" si="41">Z29/V29-1</f>
        <v>-0.11442658878196099</v>
      </c>
    </row>
    <row r="30" spans="1:30" ht="13" customHeight="1">
      <c r="B30" s="16" t="str">
        <f>IF('Summary | Sumário'!D$6=Names!B$3,Names!AA5,Names!AB5)</f>
        <v>Time deposits</v>
      </c>
      <c r="C30" s="207">
        <v>2259047</v>
      </c>
      <c r="D30" s="207">
        <v>4771204</v>
      </c>
      <c r="E30" s="207">
        <f t="shared" si="36"/>
        <v>6922061</v>
      </c>
      <c r="F30" s="207">
        <f t="shared" si="37"/>
        <v>10517060</v>
      </c>
      <c r="G30" s="207">
        <f t="shared" si="38"/>
        <v>28158459</v>
      </c>
      <c r="H30" s="207">
        <f t="shared" si="39"/>
        <v>39228574.976070002</v>
      </c>
      <c r="I30" s="207"/>
      <c r="J30" s="207">
        <v>5394450</v>
      </c>
      <c r="K30" s="207">
        <v>6119961</v>
      </c>
      <c r="L30" s="207">
        <v>6580559</v>
      </c>
      <c r="M30" s="207">
        <v>6922061</v>
      </c>
      <c r="N30" s="207">
        <v>7894003</v>
      </c>
      <c r="O30" s="207">
        <v>8579727</v>
      </c>
      <c r="P30" s="207">
        <v>9558462</v>
      </c>
      <c r="Q30" s="207">
        <v>10517060</v>
      </c>
      <c r="R30" s="207">
        <v>11687031</v>
      </c>
      <c r="S30" s="207">
        <v>21616586</v>
      </c>
      <c r="T30" s="207">
        <v>25572336</v>
      </c>
      <c r="U30" s="207">
        <v>28158459</v>
      </c>
      <c r="V30" s="207">
        <v>29169018.986099999</v>
      </c>
      <c r="W30" s="207">
        <v>32531468.234000001</v>
      </c>
      <c r="X30" s="207">
        <v>35665570.401489995</v>
      </c>
      <c r="Y30" s="207">
        <v>39228574.976070002</v>
      </c>
      <c r="Z30" s="207">
        <v>40140843</v>
      </c>
      <c r="AA30" s="207"/>
      <c r="AB30" s="349">
        <f t="shared" si="40"/>
        <v>2.3255191515024309E-2</v>
      </c>
      <c r="AC30" s="349">
        <f t="shared" si="41"/>
        <v>0.37614648676146545</v>
      </c>
    </row>
    <row r="31" spans="1:30" ht="13" customHeight="1">
      <c r="B31" s="22" t="str">
        <f>IF('Summary | Sumário'!D$6=Names!B$3,Names!AA6,Names!AB6)</f>
        <v>Savings deposits</v>
      </c>
      <c r="C31" s="208">
        <v>307098</v>
      </c>
      <c r="D31" s="208">
        <v>887666</v>
      </c>
      <c r="E31" s="208">
        <f t="shared" si="36"/>
        <v>1230039</v>
      </c>
      <c r="F31" s="208">
        <f t="shared" si="37"/>
        <v>1307055</v>
      </c>
      <c r="G31" s="208">
        <f t="shared" si="38"/>
        <v>1540604</v>
      </c>
      <c r="H31" s="208">
        <f t="shared" si="39"/>
        <v>1883431.889</v>
      </c>
      <c r="I31" s="207"/>
      <c r="J31" s="208">
        <v>935359</v>
      </c>
      <c r="K31" s="208">
        <v>1049178</v>
      </c>
      <c r="L31" s="208">
        <v>1138085</v>
      </c>
      <c r="M31" s="208">
        <v>1230039</v>
      </c>
      <c r="N31" s="208">
        <v>1215061</v>
      </c>
      <c r="O31" s="208">
        <v>1182012</v>
      </c>
      <c r="P31" s="208">
        <v>1216043</v>
      </c>
      <c r="Q31" s="208">
        <v>1307055</v>
      </c>
      <c r="R31" s="208">
        <v>1274938</v>
      </c>
      <c r="S31" s="208">
        <v>1305803</v>
      </c>
      <c r="T31" s="208">
        <v>1350713</v>
      </c>
      <c r="U31" s="208">
        <v>1540604</v>
      </c>
      <c r="V31" s="208">
        <v>1549652.25122</v>
      </c>
      <c r="W31" s="208">
        <v>1715785.118</v>
      </c>
      <c r="X31" s="208">
        <v>1777366.3865499999</v>
      </c>
      <c r="Y31" s="208">
        <v>1883431.889</v>
      </c>
      <c r="Z31" s="208">
        <v>1727777</v>
      </c>
      <c r="AA31" s="207"/>
      <c r="AB31" s="350">
        <f t="shared" si="40"/>
        <v>-8.2644288816116518E-2</v>
      </c>
      <c r="AC31" s="350">
        <f t="shared" si="41"/>
        <v>0.11494498113352014</v>
      </c>
    </row>
    <row r="32" spans="1:30" ht="13" customHeight="1">
      <c r="B32" s="16" t="str">
        <f>IF('Summary | Sumário'!D$6=Names!B$3,Names!AA7,Names!AB7)</f>
        <v>Creditors by resources to release</v>
      </c>
      <c r="C32" s="207">
        <v>54167</v>
      </c>
      <c r="D32" s="207">
        <v>64410</v>
      </c>
      <c r="E32" s="207">
        <f t="shared" si="36"/>
        <v>248633</v>
      </c>
      <c r="F32" s="207">
        <f t="shared" si="37"/>
        <v>251863</v>
      </c>
      <c r="G32" s="207">
        <f t="shared" si="38"/>
        <v>380021</v>
      </c>
      <c r="H32" s="207">
        <f t="shared" si="39"/>
        <v>275795.36</v>
      </c>
      <c r="I32" s="207"/>
      <c r="J32" s="207">
        <v>77971</v>
      </c>
      <c r="K32" s="207">
        <v>160250</v>
      </c>
      <c r="L32" s="207">
        <v>211800</v>
      </c>
      <c r="M32" s="207">
        <v>248633</v>
      </c>
      <c r="N32" s="207">
        <v>228245</v>
      </c>
      <c r="O32" s="207">
        <v>200059</v>
      </c>
      <c r="P32" s="207">
        <v>258532</v>
      </c>
      <c r="Q32" s="207">
        <v>251863</v>
      </c>
      <c r="R32" s="207">
        <v>214375</v>
      </c>
      <c r="S32" s="207">
        <v>267144</v>
      </c>
      <c r="T32" s="207">
        <v>327160</v>
      </c>
      <c r="U32" s="207">
        <v>380021</v>
      </c>
      <c r="V32" s="207">
        <v>331346</v>
      </c>
      <c r="W32" s="207">
        <v>299344.21299999999</v>
      </c>
      <c r="X32" s="207">
        <v>229281.05566999997</v>
      </c>
      <c r="Y32" s="207">
        <v>275795.36</v>
      </c>
      <c r="Z32" s="207">
        <v>368051</v>
      </c>
      <c r="AA32" s="207"/>
      <c r="AB32" s="349">
        <f t="shared" si="40"/>
        <v>0.33450758562435579</v>
      </c>
      <c r="AC32" s="349">
        <f t="shared" si="41"/>
        <v>0.11077544319231247</v>
      </c>
    </row>
    <row r="33" spans="1:31" ht="13" customHeight="1">
      <c r="B33" s="21" t="str">
        <f>IF('Summary | Sumário'!D$6=Names!B$3,Names!AA8,Names!AB8)</f>
        <v>Securities issued</v>
      </c>
      <c r="C33" s="208">
        <v>1719580</v>
      </c>
      <c r="D33" s="208">
        <v>1729436</v>
      </c>
      <c r="E33" s="208">
        <f t="shared" si="36"/>
        <v>3572093</v>
      </c>
      <c r="F33" s="208">
        <f t="shared" si="37"/>
        <v>6202165</v>
      </c>
      <c r="G33" s="208">
        <f t="shared" si="38"/>
        <v>8095042</v>
      </c>
      <c r="H33" s="208">
        <f t="shared" si="39"/>
        <v>9890219</v>
      </c>
      <c r="I33" s="207"/>
      <c r="J33" s="208">
        <v>1704892</v>
      </c>
      <c r="K33" s="208">
        <v>2081723</v>
      </c>
      <c r="L33" s="208">
        <v>3093320</v>
      </c>
      <c r="M33" s="208">
        <v>3572093</v>
      </c>
      <c r="N33" s="208">
        <v>4280956</v>
      </c>
      <c r="O33" s="208">
        <v>6104223</v>
      </c>
      <c r="P33" s="208">
        <v>6916919</v>
      </c>
      <c r="Q33" s="208">
        <v>6202165</v>
      </c>
      <c r="R33" s="208">
        <v>6640557</v>
      </c>
      <c r="S33" s="208">
        <v>7006191.0407400001</v>
      </c>
      <c r="T33" s="208">
        <v>7462564.5372699993</v>
      </c>
      <c r="U33" s="208">
        <v>8095042</v>
      </c>
      <c r="V33" s="208">
        <v>8249142.2142699994</v>
      </c>
      <c r="W33" s="208">
        <v>8543248.1730000004</v>
      </c>
      <c r="X33" s="208">
        <v>9047656</v>
      </c>
      <c r="Y33" s="208">
        <v>9890219</v>
      </c>
      <c r="Z33" s="208">
        <v>10697969</v>
      </c>
      <c r="AA33" s="207"/>
      <c r="AB33" s="350">
        <f t="shared" si="40"/>
        <v>8.167159898077081E-2</v>
      </c>
      <c r="AC33" s="350">
        <f t="shared" si="41"/>
        <v>0.29685835473824573</v>
      </c>
    </row>
    <row r="34" spans="1:31" ht="13" customHeight="1">
      <c r="B34" s="275" t="str">
        <f>IF('Summary | Sumário'!D$6=Names!B$3,Names!AA9,Names!AB9)</f>
        <v>Total funding</v>
      </c>
      <c r="C34" s="278">
        <f t="shared" ref="C34:T34" si="42">C28+C33</f>
        <v>6434019</v>
      </c>
      <c r="D34" s="278">
        <f t="shared" si="42"/>
        <v>14166068</v>
      </c>
      <c r="E34" s="278">
        <f t="shared" si="42"/>
        <v>21905636</v>
      </c>
      <c r="F34" s="278">
        <f t="shared" si="42"/>
        <v>29844969</v>
      </c>
      <c r="G34" s="278">
        <f t="shared" si="42"/>
        <v>40746662</v>
      </c>
      <c r="H34" s="278">
        <f t="shared" si="39"/>
        <v>52693448</v>
      </c>
      <c r="I34" s="145"/>
      <c r="J34" s="278">
        <f t="shared" si="42"/>
        <v>15097571</v>
      </c>
      <c r="K34" s="278">
        <f t="shared" si="42"/>
        <v>17710853.619999997</v>
      </c>
      <c r="L34" s="278">
        <f t="shared" si="42"/>
        <v>20186793.298</v>
      </c>
      <c r="M34" s="278">
        <f t="shared" si="42"/>
        <v>21905636</v>
      </c>
      <c r="N34" s="278">
        <f t="shared" si="42"/>
        <v>23239074</v>
      </c>
      <c r="O34" s="278">
        <f t="shared" si="42"/>
        <v>25850632</v>
      </c>
      <c r="P34" s="278">
        <f t="shared" si="42"/>
        <v>28368945</v>
      </c>
      <c r="Q34" s="278">
        <f t="shared" si="42"/>
        <v>29844969</v>
      </c>
      <c r="R34" s="278">
        <f t="shared" si="42"/>
        <v>30822563</v>
      </c>
      <c r="S34" s="278">
        <f t="shared" si="42"/>
        <v>33305517.040739998</v>
      </c>
      <c r="T34" s="278">
        <f t="shared" si="42"/>
        <v>36526552.537270002</v>
      </c>
      <c r="U34" s="278">
        <f t="shared" ref="U34:V34" si="43">U28+U33</f>
        <v>40746662</v>
      </c>
      <c r="V34" s="278">
        <f t="shared" si="43"/>
        <v>40892586.300405942</v>
      </c>
      <c r="W34" s="278">
        <f t="shared" ref="W34:X34" si="44">W28+W33</f>
        <v>44521566.244000003</v>
      </c>
      <c r="X34" s="278">
        <f t="shared" si="44"/>
        <v>48177415</v>
      </c>
      <c r="Y34" s="278">
        <f t="shared" ref="Y34:Z34" si="45">Y28+Y33</f>
        <v>52693448</v>
      </c>
      <c r="Z34" s="278">
        <f t="shared" si="45"/>
        <v>54345737</v>
      </c>
      <c r="AA34" s="145"/>
      <c r="AB34" s="351">
        <f t="shared" si="40"/>
        <v>3.1356630904092686E-2</v>
      </c>
      <c r="AC34" s="351">
        <f t="shared" si="41"/>
        <v>0.32898752357613792</v>
      </c>
    </row>
    <row r="35" spans="1:31" ht="13" customHeight="1">
      <c r="B35" s="23"/>
      <c r="C35" s="210"/>
      <c r="D35" s="210"/>
      <c r="E35" s="210"/>
      <c r="F35" s="210"/>
      <c r="G35" s="210"/>
      <c r="H35" s="210"/>
      <c r="I35" s="145"/>
      <c r="J35" s="210"/>
      <c r="K35" s="210"/>
      <c r="L35" s="210"/>
      <c r="M35" s="210"/>
      <c r="N35" s="210"/>
      <c r="O35" s="210"/>
      <c r="P35" s="210"/>
      <c r="Q35" s="210"/>
      <c r="R35" s="210"/>
      <c r="S35" s="210"/>
      <c r="T35" s="210"/>
      <c r="U35" s="210"/>
      <c r="V35" s="210"/>
      <c r="W35" s="210"/>
      <c r="X35" s="210"/>
      <c r="Y35" s="210"/>
      <c r="Z35" s="210"/>
      <c r="AA35" s="145"/>
      <c r="AB35" s="210"/>
      <c r="AC35" s="210"/>
    </row>
    <row r="36" spans="1:31" s="143" customFormat="1" ht="13" customHeight="1">
      <c r="A36" s="142"/>
      <c r="B36" s="3" t="str">
        <f>IF('Summary | Sumário'!D$6=Names!B$3,Names!AA34,Names!AB34)</f>
        <v>Cost of funding - excluding other interest bearing liabilities</v>
      </c>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row>
    <row r="37" spans="1:31" s="156" customFormat="1" ht="13" customHeight="1">
      <c r="A37" s="211"/>
      <c r="B37" s="259" t="str">
        <f>IF('Summary | Sumário'!D$6=Names!B$3,Names!AA11,Names!AB11)</f>
        <v>Annualized interest expenses</v>
      </c>
      <c r="C37" s="277">
        <f>C38</f>
        <v>256717</v>
      </c>
      <c r="D37" s="277">
        <f t="shared" ref="D37:H37" si="46">D38</f>
        <v>184335</v>
      </c>
      <c r="E37" s="277">
        <f t="shared" si="46"/>
        <v>543242</v>
      </c>
      <c r="F37" s="277">
        <f t="shared" si="46"/>
        <v>1972850</v>
      </c>
      <c r="G37" s="277">
        <f t="shared" si="46"/>
        <v>2887573</v>
      </c>
      <c r="H37" s="277">
        <f t="shared" si="46"/>
        <v>3311638.4190579997</v>
      </c>
      <c r="I37" s="164"/>
      <c r="J37" s="277">
        <f>J38*4</f>
        <v>262236</v>
      </c>
      <c r="K37" s="277">
        <f t="shared" ref="K37:Z37" si="47">K38*4</f>
        <v>345044</v>
      </c>
      <c r="L37" s="277">
        <f t="shared" si="47"/>
        <v>554348</v>
      </c>
      <c r="M37" s="277">
        <f t="shared" si="47"/>
        <v>1011340</v>
      </c>
      <c r="N37" s="277">
        <f t="shared" si="47"/>
        <v>1347084</v>
      </c>
      <c r="O37" s="277">
        <f t="shared" si="47"/>
        <v>1860164</v>
      </c>
      <c r="P37" s="277">
        <f t="shared" si="47"/>
        <v>2318712</v>
      </c>
      <c r="Q37" s="277">
        <f t="shared" si="47"/>
        <v>2365440</v>
      </c>
      <c r="R37" s="277">
        <f t="shared" si="47"/>
        <v>2691084</v>
      </c>
      <c r="S37" s="277">
        <f t="shared" si="47"/>
        <v>2768824</v>
      </c>
      <c r="T37" s="277">
        <f t="shared" si="47"/>
        <v>3081592</v>
      </c>
      <c r="U37" s="277">
        <f t="shared" si="47"/>
        <v>3008792.0200000005</v>
      </c>
      <c r="V37" s="277">
        <f t="shared" si="47"/>
        <v>3048987.5612000003</v>
      </c>
      <c r="W37" s="277">
        <f t="shared" si="47"/>
        <v>3090570.4360000002</v>
      </c>
      <c r="X37" s="277">
        <f t="shared" si="47"/>
        <v>3342466.872</v>
      </c>
      <c r="Y37" s="277">
        <f t="shared" si="47"/>
        <v>3764528.8070319993</v>
      </c>
      <c r="Z37" s="277">
        <f t="shared" si="47"/>
        <v>4716080</v>
      </c>
      <c r="AA37" s="164"/>
      <c r="AB37" s="344">
        <f t="shared" ref="AB37:AB41" si="48">Z37/Y37-1</f>
        <v>0.25276767471948647</v>
      </c>
      <c r="AC37" s="344">
        <f t="shared" ref="AC37:AC41" si="49">Z37/V37-1</f>
        <v>0.54676918332322622</v>
      </c>
      <c r="AD37" s="170"/>
    </row>
    <row r="38" spans="1:31" ht="13" customHeight="1">
      <c r="B38" s="111" t="str">
        <f>IF('Summary | Sumário'!D$6=Names!B$3,Names!AA12,Names!AB12)</f>
        <v>Interest expenses</v>
      </c>
      <c r="C38" s="164">
        <v>256717</v>
      </c>
      <c r="D38" s="164">
        <v>184335</v>
      </c>
      <c r="E38" s="164">
        <v>543242</v>
      </c>
      <c r="F38" s="164">
        <v>1972850</v>
      </c>
      <c r="G38" s="164">
        <v>2887573</v>
      </c>
      <c r="H38" s="164">
        <v>3311638.4190579997</v>
      </c>
      <c r="I38" s="164"/>
      <c r="J38" s="164">
        <v>65559</v>
      </c>
      <c r="K38" s="164">
        <v>86261</v>
      </c>
      <c r="L38" s="164">
        <v>138587</v>
      </c>
      <c r="M38" s="164">
        <v>252835</v>
      </c>
      <c r="N38" s="164">
        <v>336771</v>
      </c>
      <c r="O38" s="164">
        <v>465041</v>
      </c>
      <c r="P38" s="164">
        <v>579678</v>
      </c>
      <c r="Q38" s="164">
        <v>591360</v>
      </c>
      <c r="R38" s="164">
        <v>672771</v>
      </c>
      <c r="S38" s="164">
        <v>692206</v>
      </c>
      <c r="T38" s="164">
        <v>770398</v>
      </c>
      <c r="U38" s="164">
        <v>752198.00500000012</v>
      </c>
      <c r="V38" s="164">
        <v>762246.89030000009</v>
      </c>
      <c r="W38" s="164">
        <v>772642.60900000005</v>
      </c>
      <c r="X38" s="164">
        <v>835616.71799999999</v>
      </c>
      <c r="Y38" s="164">
        <v>941132.20175799984</v>
      </c>
      <c r="Z38" s="164">
        <v>1179020</v>
      </c>
      <c r="AA38" s="164"/>
      <c r="AB38" s="345">
        <f t="shared" si="48"/>
        <v>0.25276767471948647</v>
      </c>
      <c r="AC38" s="345">
        <f t="shared" si="49"/>
        <v>0.54676918332322622</v>
      </c>
    </row>
    <row r="39" spans="1:31" ht="13" customHeight="1">
      <c r="B39" s="21" t="str">
        <f>IF('Summary | Sumário'!D$6=Names!B$3,Names!AA13,Names!AB13)</f>
        <v>(÷) Average funding</v>
      </c>
      <c r="C39" s="208">
        <f>AVERAGE(C40:C41)</f>
        <v>6434019</v>
      </c>
      <c r="D39" s="208">
        <f t="shared" ref="D39:R39" si="50">AVERAGE(D40:D41)</f>
        <v>10300043.5</v>
      </c>
      <c r="E39" s="208">
        <f t="shared" si="50"/>
        <v>18035852</v>
      </c>
      <c r="F39" s="208">
        <f t="shared" si="50"/>
        <v>25875302.5</v>
      </c>
      <c r="G39" s="208">
        <f t="shared" si="50"/>
        <v>35295815.5</v>
      </c>
      <c r="H39" s="208">
        <f t="shared" ref="H39" si="51">AVERAGE(H40:H41)</f>
        <v>46720055</v>
      </c>
      <c r="I39" s="207"/>
      <c r="J39" s="208">
        <f t="shared" si="50"/>
        <v>14631819.5</v>
      </c>
      <c r="K39" s="208">
        <f t="shared" si="50"/>
        <v>16404212.309999999</v>
      </c>
      <c r="L39" s="208">
        <f t="shared" si="50"/>
        <v>18948823.458999999</v>
      </c>
      <c r="M39" s="208">
        <f t="shared" si="50"/>
        <v>21046214.649</v>
      </c>
      <c r="N39" s="208">
        <f t="shared" si="50"/>
        <v>22572355</v>
      </c>
      <c r="O39" s="208">
        <f t="shared" si="50"/>
        <v>24544853</v>
      </c>
      <c r="P39" s="208">
        <f t="shared" si="50"/>
        <v>27109788.5</v>
      </c>
      <c r="Q39" s="208">
        <f t="shared" si="50"/>
        <v>29106957</v>
      </c>
      <c r="R39" s="208">
        <f t="shared" si="50"/>
        <v>30333766</v>
      </c>
      <c r="S39" s="208">
        <f t="shared" ref="S39:T39" si="52">AVERAGE(S40:S41)</f>
        <v>32064040.020369999</v>
      </c>
      <c r="T39" s="208">
        <f t="shared" si="52"/>
        <v>34916034.789004996</v>
      </c>
      <c r="U39" s="208">
        <f t="shared" ref="U39:V39" si="53">AVERAGE(U40:U41)</f>
        <v>38636607.268635005</v>
      </c>
      <c r="V39" s="208">
        <f t="shared" si="53"/>
        <v>40819624.150202975</v>
      </c>
      <c r="W39" s="208">
        <f t="shared" ref="W39:X39" si="54">AVERAGE(W40:W41)</f>
        <v>42707076.272202969</v>
      </c>
      <c r="X39" s="208">
        <f t="shared" si="54"/>
        <v>46349490.622000001</v>
      </c>
      <c r="Y39" s="208">
        <f t="shared" ref="Y39:Z39" si="55">AVERAGE(Y40:Y41)</f>
        <v>50435431.5</v>
      </c>
      <c r="Z39" s="208">
        <f t="shared" si="55"/>
        <v>53519592.5</v>
      </c>
      <c r="AA39" s="207"/>
      <c r="AB39" s="350">
        <f t="shared" si="48"/>
        <v>6.1150681341945123E-2</v>
      </c>
      <c r="AC39" s="350">
        <f t="shared" si="49"/>
        <v>0.3111240883322508</v>
      </c>
    </row>
    <row r="40" spans="1:31" ht="13" customHeight="1">
      <c r="B40" s="111" t="str">
        <f>IF('Summary | Sumário'!D$6=Names!B$3,Names!AA14,Names!AB14)</f>
        <v>Total funding</v>
      </c>
      <c r="C40" s="207">
        <f>C34</f>
        <v>6434019</v>
      </c>
      <c r="D40" s="207">
        <f t="shared" ref="D40:R40" si="56">D34</f>
        <v>14166068</v>
      </c>
      <c r="E40" s="207">
        <f t="shared" si="56"/>
        <v>21905636</v>
      </c>
      <c r="F40" s="207">
        <f t="shared" si="56"/>
        <v>29844969</v>
      </c>
      <c r="G40" s="207">
        <f t="shared" si="56"/>
        <v>40746662</v>
      </c>
      <c r="H40" s="207">
        <f t="shared" ref="H40" si="57">H34</f>
        <v>52693448</v>
      </c>
      <c r="I40" s="207"/>
      <c r="J40" s="207">
        <f t="shared" si="56"/>
        <v>15097571</v>
      </c>
      <c r="K40" s="207">
        <f t="shared" si="56"/>
        <v>17710853.619999997</v>
      </c>
      <c r="L40" s="207">
        <f t="shared" si="56"/>
        <v>20186793.298</v>
      </c>
      <c r="M40" s="207">
        <f t="shared" si="56"/>
        <v>21905636</v>
      </c>
      <c r="N40" s="207">
        <f t="shared" si="56"/>
        <v>23239074</v>
      </c>
      <c r="O40" s="207">
        <f t="shared" si="56"/>
        <v>25850632</v>
      </c>
      <c r="P40" s="207">
        <f t="shared" si="56"/>
        <v>28368945</v>
      </c>
      <c r="Q40" s="207">
        <f t="shared" si="56"/>
        <v>29844969</v>
      </c>
      <c r="R40" s="207">
        <f t="shared" si="56"/>
        <v>30822563</v>
      </c>
      <c r="S40" s="207">
        <f t="shared" ref="S40:T40" si="58">S34</f>
        <v>33305517.040739998</v>
      </c>
      <c r="T40" s="207">
        <f t="shared" si="58"/>
        <v>36526552.537270002</v>
      </c>
      <c r="U40" s="207">
        <f t="shared" ref="U40:V40" si="59">U34</f>
        <v>40746662</v>
      </c>
      <c r="V40" s="207">
        <f t="shared" si="59"/>
        <v>40892586.300405942</v>
      </c>
      <c r="W40" s="207">
        <f t="shared" ref="W40:X40" si="60">W34</f>
        <v>44521566.244000003</v>
      </c>
      <c r="X40" s="207">
        <f t="shared" si="60"/>
        <v>48177415</v>
      </c>
      <c r="Y40" s="207">
        <f t="shared" ref="Y40:Z40" si="61">Y34</f>
        <v>52693448</v>
      </c>
      <c r="Z40" s="207">
        <f t="shared" si="61"/>
        <v>54345737</v>
      </c>
      <c r="AA40" s="207"/>
      <c r="AB40" s="349">
        <f t="shared" si="48"/>
        <v>3.1356630904092686E-2</v>
      </c>
      <c r="AC40" s="349">
        <f t="shared" si="49"/>
        <v>0.32898752357613792</v>
      </c>
    </row>
    <row r="41" spans="1:31" ht="13" customHeight="1">
      <c r="B41" s="114" t="str">
        <f>IF('Summary | Sumário'!D$6=Names!B$3,Names!AA15,Names!AB15)</f>
        <v>Total funding in the previous period</v>
      </c>
      <c r="C41" s="208">
        <f>C34</f>
        <v>6434019</v>
      </c>
      <c r="D41" s="208">
        <f>C40</f>
        <v>6434019</v>
      </c>
      <c r="E41" s="208">
        <f t="shared" ref="E41:H41" si="62">D40</f>
        <v>14166068</v>
      </c>
      <c r="F41" s="208">
        <f t="shared" si="62"/>
        <v>21905636</v>
      </c>
      <c r="G41" s="208">
        <f t="shared" si="62"/>
        <v>29844969</v>
      </c>
      <c r="H41" s="208">
        <f t="shared" si="62"/>
        <v>40746662</v>
      </c>
      <c r="I41" s="207"/>
      <c r="J41" s="208">
        <f>D40</f>
        <v>14166068</v>
      </c>
      <c r="K41" s="208">
        <f>J40</f>
        <v>15097571</v>
      </c>
      <c r="L41" s="208">
        <f t="shared" ref="L41:Z41" si="63">K40</f>
        <v>17710853.619999997</v>
      </c>
      <c r="M41" s="208">
        <f t="shared" si="63"/>
        <v>20186793.298</v>
      </c>
      <c r="N41" s="208">
        <f t="shared" si="63"/>
        <v>21905636</v>
      </c>
      <c r="O41" s="208">
        <f t="shared" si="63"/>
        <v>23239074</v>
      </c>
      <c r="P41" s="208">
        <f t="shared" si="63"/>
        <v>25850632</v>
      </c>
      <c r="Q41" s="208">
        <f t="shared" si="63"/>
        <v>28368945</v>
      </c>
      <c r="R41" s="208">
        <f t="shared" si="63"/>
        <v>29844969</v>
      </c>
      <c r="S41" s="208">
        <f t="shared" si="63"/>
        <v>30822563</v>
      </c>
      <c r="T41" s="208">
        <f t="shared" si="63"/>
        <v>33305517.040739998</v>
      </c>
      <c r="U41" s="208">
        <f t="shared" si="63"/>
        <v>36526552.537270002</v>
      </c>
      <c r="V41" s="208">
        <f t="shared" si="63"/>
        <v>40746662</v>
      </c>
      <c r="W41" s="208">
        <f t="shared" si="63"/>
        <v>40892586.300405942</v>
      </c>
      <c r="X41" s="208">
        <f t="shared" si="63"/>
        <v>44521566.244000003</v>
      </c>
      <c r="Y41" s="208">
        <f t="shared" si="63"/>
        <v>48177415</v>
      </c>
      <c r="Z41" s="208">
        <f t="shared" si="63"/>
        <v>52693448</v>
      </c>
      <c r="AA41" s="207"/>
      <c r="AB41" s="350">
        <f t="shared" si="48"/>
        <v>9.3737553166769016E-2</v>
      </c>
      <c r="AC41" s="350">
        <f t="shared" si="49"/>
        <v>0.29319667952187101</v>
      </c>
    </row>
    <row r="42" spans="1:31" ht="13" customHeight="1">
      <c r="B42" s="275" t="str">
        <f>IF('Summary | Sumário'!D$6=Names!B$3,Names!AA16,Names!AB16)</f>
        <v>Cost of funding (%)</v>
      </c>
      <c r="C42" s="285">
        <f>C37/C39</f>
        <v>3.9899944342719533E-2</v>
      </c>
      <c r="D42" s="285">
        <f t="shared" ref="D42:R42" si="64">D37/D39</f>
        <v>1.7896526359330422E-2</v>
      </c>
      <c r="E42" s="285">
        <f t="shared" ref="E42" si="65">E37/E39</f>
        <v>3.0120118528362286E-2</v>
      </c>
      <c r="F42" s="285">
        <f t="shared" ref="F42:G42" si="66">F37/F39</f>
        <v>7.6244519266972816E-2</v>
      </c>
      <c r="G42" s="285">
        <f t="shared" si="66"/>
        <v>8.1810632764668656E-2</v>
      </c>
      <c r="H42" s="285">
        <f t="shared" ref="H42" si="67">H37/H39</f>
        <v>7.0882588195968516E-2</v>
      </c>
      <c r="I42" s="318"/>
      <c r="J42" s="285">
        <f t="shared" si="64"/>
        <v>1.7922309662171544E-2</v>
      </c>
      <c r="K42" s="285">
        <f t="shared" si="64"/>
        <v>2.1033865782733217E-2</v>
      </c>
      <c r="L42" s="285">
        <f t="shared" si="64"/>
        <v>2.9255008956068192E-2</v>
      </c>
      <c r="M42" s="285">
        <f t="shared" si="64"/>
        <v>4.8053296845380851E-2</v>
      </c>
      <c r="N42" s="285">
        <f t="shared" si="64"/>
        <v>5.9678487246900024E-2</v>
      </c>
      <c r="O42" s="285">
        <f t="shared" si="64"/>
        <v>7.5786316585395724E-2</v>
      </c>
      <c r="P42" s="285">
        <f t="shared" si="64"/>
        <v>8.5530434883326373E-2</v>
      </c>
      <c r="Q42" s="285">
        <f t="shared" si="64"/>
        <v>8.1267169220059651E-2</v>
      </c>
      <c r="R42" s="285">
        <f t="shared" si="64"/>
        <v>8.8715789526430708E-2</v>
      </c>
      <c r="S42" s="285">
        <f t="shared" ref="S42:T42" si="68">S37/S39</f>
        <v>8.6352936131597599E-2</v>
      </c>
      <c r="T42" s="285">
        <f t="shared" si="68"/>
        <v>8.8257215305856798E-2</v>
      </c>
      <c r="U42" s="285">
        <f t="shared" ref="U42:V42" si="69">U37/U39</f>
        <v>7.7874125931407079E-2</v>
      </c>
      <c r="V42" s="285">
        <f t="shared" si="69"/>
        <v>7.469416058268237E-2</v>
      </c>
      <c r="W42" s="285">
        <f t="shared" ref="W42:X42" si="70">W37/W39</f>
        <v>7.2366706077034354E-2</v>
      </c>
      <c r="X42" s="285">
        <f t="shared" si="70"/>
        <v>7.2114425145666711E-2</v>
      </c>
      <c r="Y42" s="285">
        <f t="shared" ref="Y42:Z42" si="71">Y37/Y39</f>
        <v>7.4640559128199377E-2</v>
      </c>
      <c r="Z42" s="285">
        <f t="shared" si="71"/>
        <v>8.8118757630675157E-2</v>
      </c>
      <c r="AA42" s="318"/>
      <c r="AB42" s="353">
        <f t="shared" ref="AB42:AB44" si="72">(Z42-Y42)*100</f>
        <v>1.347819850247578</v>
      </c>
      <c r="AC42" s="353">
        <f t="shared" ref="AC42:AC44" si="73">(Z42-V42)*100</f>
        <v>1.3424597047992788</v>
      </c>
    </row>
    <row r="43" spans="1:31" ht="13" customHeight="1">
      <c r="B43" s="115" t="str">
        <f>IF('Summary | Sumário'!D$6=Names!B$3,Names!AA17,Names!AB17)</f>
        <v>(÷) Average daily CDI rate in the period (%)</v>
      </c>
      <c r="C43" s="212">
        <v>5.9375494071146499E-2</v>
      </c>
      <c r="D43" s="212">
        <v>2.7735059760956016E-2</v>
      </c>
      <c r="E43" s="212">
        <v>4.4600000000000001E-2</v>
      </c>
      <c r="F43" s="212">
        <v>0.124527888446216</v>
      </c>
      <c r="G43" s="212">
        <v>0.1320823293</v>
      </c>
      <c r="H43" s="212">
        <v>0.10831818181818199</v>
      </c>
      <c r="I43" s="209"/>
      <c r="J43" s="212">
        <v>2.022950819672133E-2</v>
      </c>
      <c r="K43" s="212">
        <v>3.2427419354838741E-2</v>
      </c>
      <c r="L43" s="212">
        <v>4.8576923076923101E-2</v>
      </c>
      <c r="M43" s="212">
        <v>7.6261904761904697E-2</v>
      </c>
      <c r="N43" s="212">
        <v>0.10270967741935499</v>
      </c>
      <c r="O43" s="212">
        <v>0.123758064516129</v>
      </c>
      <c r="P43" s="212">
        <v>0.13465384615384601</v>
      </c>
      <c r="Q43" s="212">
        <v>0.13650000000000001</v>
      </c>
      <c r="R43" s="212">
        <v>0.13650000000000001</v>
      </c>
      <c r="S43" s="212">
        <v>0.13650000000000001</v>
      </c>
      <c r="T43" s="212">
        <v>0.13275000000000001</v>
      </c>
      <c r="U43" s="212">
        <v>0.1224016393</v>
      </c>
      <c r="V43" s="212">
        <v>0.11281147540983601</v>
      </c>
      <c r="W43" s="212">
        <v>0.10507142857142864</v>
      </c>
      <c r="X43" s="212">
        <v>0.10430303030303033</v>
      </c>
      <c r="Y43" s="212">
        <v>0.1114206349206348</v>
      </c>
      <c r="Z43" s="212">
        <v>0.129532786885246</v>
      </c>
      <c r="AA43" s="209"/>
      <c r="AB43" s="340">
        <f t="shared" si="72"/>
        <v>1.8112151964611203</v>
      </c>
      <c r="AC43" s="340">
        <f t="shared" si="73"/>
        <v>1.6721311475409992</v>
      </c>
    </row>
    <row r="44" spans="1:31" ht="13" customHeight="1">
      <c r="B44" s="275" t="str">
        <f>IF('Summary | Sumário'!D$6=Names!B$3,Names!AA18,Names!AB18)</f>
        <v>Cost of funding % of CDI</v>
      </c>
      <c r="C44" s="285">
        <f t="shared" ref="C44:R44" si="74">C42/C43</f>
        <v>0.67199347082332572</v>
      </c>
      <c r="D44" s="285">
        <f t="shared" si="74"/>
        <v>0.64526727231084702</v>
      </c>
      <c r="E44" s="285">
        <f t="shared" si="74"/>
        <v>0.67533898045655349</v>
      </c>
      <c r="F44" s="285">
        <f t="shared" si="74"/>
        <v>0.61226862687793082</v>
      </c>
      <c r="G44" s="285">
        <f t="shared" si="74"/>
        <v>0.61939120242838308</v>
      </c>
      <c r="H44" s="285">
        <f t="shared" ref="H44" si="75">H42/H43</f>
        <v>0.65439233752048043</v>
      </c>
      <c r="I44" s="318"/>
      <c r="J44" s="285">
        <f t="shared" si="74"/>
        <v>0.88594885688206093</v>
      </c>
      <c r="K44" s="285">
        <f t="shared" si="74"/>
        <v>0.64864445587140429</v>
      </c>
      <c r="L44" s="285">
        <f t="shared" si="74"/>
        <v>0.6022408811225437</v>
      </c>
      <c r="M44" s="285">
        <f t="shared" si="74"/>
        <v>0.63010879410115439</v>
      </c>
      <c r="N44" s="285">
        <f t="shared" si="74"/>
        <v>0.58104054794406346</v>
      </c>
      <c r="O44" s="285">
        <f t="shared" si="74"/>
        <v>0.61237477235690552</v>
      </c>
      <c r="P44" s="285">
        <f t="shared" si="74"/>
        <v>0.63518746271536364</v>
      </c>
      <c r="Q44" s="285">
        <f t="shared" si="74"/>
        <v>0.59536387707003402</v>
      </c>
      <c r="R44" s="285">
        <f t="shared" si="74"/>
        <v>0.64993252400315527</v>
      </c>
      <c r="S44" s="285">
        <f t="shared" ref="S44:T44" si="76">S42/S43</f>
        <v>0.6326222427223267</v>
      </c>
      <c r="T44" s="285">
        <f t="shared" si="76"/>
        <v>0.66483778008178374</v>
      </c>
      <c r="U44" s="285">
        <f t="shared" ref="U44:V44" si="77">U42/U43</f>
        <v>0.63621799819642677</v>
      </c>
      <c r="V44" s="285">
        <f t="shared" si="77"/>
        <v>0.6621149161583415</v>
      </c>
      <c r="W44" s="285">
        <f t="shared" ref="W44:X44" si="78">W42/W43</f>
        <v>0.68873819515872214</v>
      </c>
      <c r="X44" s="285">
        <f t="shared" si="78"/>
        <v>0.69139338460400956</v>
      </c>
      <c r="Y44" s="285">
        <f t="shared" ref="Y44:Z44" si="79">Y42/Y43</f>
        <v>0.66989888525914465</v>
      </c>
      <c r="Z44" s="285">
        <f t="shared" si="79"/>
        <v>0.68028149281417205</v>
      </c>
      <c r="AA44" s="318"/>
      <c r="AB44" s="353">
        <f t="shared" si="72"/>
        <v>1.0382607555027401</v>
      </c>
      <c r="AC44" s="353">
        <f t="shared" si="73"/>
        <v>1.8166576655830546</v>
      </c>
    </row>
    <row r="45" spans="1:31" ht="13" customHeight="1">
      <c r="B45" s="50"/>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row>
    <row r="46" spans="1:31" ht="13" customHeight="1">
      <c r="B46" s="61" t="str">
        <f>IF('Summary | Sumário'!D6=Names!B3,Names!BD4,Names!BE4)</f>
        <v>Source: CDI Rate according to CETIP</v>
      </c>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row>
    <row r="47" spans="1:31" ht="13" customHeight="1">
      <c r="B47" s="56"/>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row>
    <row r="48" spans="1:31" ht="13" customHeight="1">
      <c r="B48" s="56"/>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E48" s="147"/>
    </row>
    <row r="49" spans="1:32" ht="13" customHeight="1">
      <c r="A49" s="198"/>
      <c r="B49" s="56"/>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147"/>
      <c r="AE49" s="147"/>
      <c r="AF49" s="195"/>
    </row>
    <row r="50" spans="1:32" ht="13" customHeight="1">
      <c r="A50" s="198"/>
      <c r="B50" s="48"/>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47"/>
      <c r="AE50" s="147"/>
      <c r="AF50" s="195"/>
    </row>
    <row r="51" spans="1:32" ht="13" customHeight="1">
      <c r="A51" s="198"/>
      <c r="B51" s="48"/>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2"/>
      <c r="AB51" s="202"/>
      <c r="AC51" s="202"/>
      <c r="AD51" s="147"/>
      <c r="AE51" s="147"/>
    </row>
    <row r="52" spans="1:32" ht="13" customHeight="1">
      <c r="A52" s="198"/>
      <c r="B52" s="49"/>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147"/>
      <c r="AE52" s="147"/>
    </row>
    <row r="53" spans="1:32" ht="13" customHeight="1">
      <c r="A53" s="198"/>
      <c r="AD53" s="147"/>
      <c r="AE53" s="147"/>
    </row>
    <row r="54" spans="1:32" ht="13" customHeight="1">
      <c r="A54" s="198"/>
      <c r="B54" s="50"/>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row>
    <row r="55" spans="1:32" ht="13" customHeight="1">
      <c r="A55" s="198"/>
      <c r="B55" s="50"/>
      <c r="C55" s="209"/>
      <c r="D55" s="209"/>
      <c r="E55" s="209"/>
      <c r="F55" s="209"/>
      <c r="G55" s="209"/>
      <c r="H55" s="209"/>
      <c r="I55" s="209"/>
      <c r="J55" s="209"/>
      <c r="K55" s="209"/>
      <c r="L55" s="209"/>
      <c r="M55" s="209"/>
      <c r="N55" s="209"/>
      <c r="O55" s="209"/>
      <c r="P55" s="209"/>
      <c r="Q55" s="209"/>
      <c r="R55" s="209"/>
      <c r="S55" s="209"/>
      <c r="T55" s="209"/>
      <c r="U55" s="209"/>
      <c r="V55" s="209"/>
      <c r="W55" s="209"/>
      <c r="X55" s="209"/>
      <c r="Y55" s="209"/>
      <c r="Z55" s="209"/>
      <c r="AA55" s="209"/>
      <c r="AB55" s="209"/>
      <c r="AC55" s="209"/>
    </row>
    <row r="56" spans="1:32" ht="13" customHeight="1">
      <c r="A56" s="198"/>
      <c r="B56" s="50"/>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row>
    <row r="57" spans="1:32" ht="13" customHeight="1">
      <c r="A57" s="198"/>
      <c r="AD57" s="170"/>
    </row>
    <row r="58" spans="1:32" ht="13" customHeight="1">
      <c r="AD58" s="170"/>
    </row>
  </sheetData>
  <sheetProtection algorithmName="SHA-512" hashValue="2nfab43VW5MqrbmnqyMF2SQ1OyQNOjGOg9WpEwin8US+jC0b2asUaIgms6cYndtHTNh1/J983Gc/H12Ljoxb2A==" saltValue="7VPEydSunD0M51tHlH2gU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J11:R11 AA2:AC4 J15:X18 J2:X4 B2:G4 AA16:AC17 AA5 AA6:AA15 AA24:AA25 AA18 AA19:AA22 AA23 B20:G23 B18:F18 B11:G11 B5 E5:G5 B6 E6:G6 B7 E7:G7 B8 E8:G8 B9 E9:G9 B10 E10:G10 B15:G17 B12 E12:G12 B13 E13:G13 B14 E14:G14 B19 J20:X23 B25:G25 B24 J25:X25" unlockedFormula="1"/>
    <ignoredError sqref="S11:X11" formula="1" unlockedFormula="1"/>
  </ignoredErrors>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8192-E1BC-0E44-928B-4A788C5D6993}">
  <sheetPr codeName="Sheet33">
    <tabColor theme="0" tint="-0.499984740745262"/>
  </sheetPr>
  <dimension ref="A1:XFD43"/>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0"/>
    <col min="9" max="9" width="2.83203125" style="120" customWidth="1"/>
    <col min="10" max="26" width="10.83203125" style="120"/>
    <col min="27" max="27" width="5.83203125" style="120" customWidth="1"/>
    <col min="28" max="16384" width="10.83203125" style="120"/>
  </cols>
  <sheetData>
    <row r="1" spans="1:1018 1031:2045 2058:3072 3085:4086 4099:5113 5126:6140 6153:7167 7180:8181 8194:9208 9221:10235 10248:11262 11275:12276 12289:13303 13316:14330 14343:15357 15370:16384"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row>
    <row r="2" spans="1:1018 1031:2045 2058:3072 3085:4086 4099:5113 5126:6140 6153:7167 7180:8181 8194:9208 9221:10235 10248:11262 11275:12276 12289:13303 13316:14330 14343:15357 15370:16384" s="9" customFormat="1" ht="13" customHeight="1">
      <c r="B2" s="255" t="str">
        <f>IF('Summary | Sumário'!D$6=Names!B$3,Names!AC1,Names!AD1)</f>
        <v>Fee Revenues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316"/>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7" t="str">
        <f>IF('Summary | Sumário'!D6=Names!B3,Names!C24,Names!D24)</f>
        <v>1Q25</v>
      </c>
      <c r="AA2" s="315"/>
      <c r="AB2" s="104" t="str">
        <f>IF('Summary | Sumário'!$D$6=Names!$B$3,Names!$I$24,Names!$J$24)</f>
        <v>QoQ Variation</v>
      </c>
      <c r="AC2" s="104" t="str">
        <f>IF('Summary | Sumário'!$D$6=Names!$B$3,Names!$I$25,Names!$J$25)</f>
        <v>YoY Variation</v>
      </c>
      <c r="AD2" s="10"/>
      <c r="AF2" s="11"/>
      <c r="AG2" s="12"/>
    </row>
    <row r="3" spans="1:1018 1031:2045 2058:3072 3085:4086 4099:5113 5126:6140 6153:7167 7180:8181 8194:9208 9221:10235 10248:11262 11275:12276 12289:13303 13316:14330 14343:15357 15370:16384" ht="13" customHeight="1">
      <c r="B3" s="13"/>
      <c r="C3" s="130"/>
      <c r="D3" s="130"/>
      <c r="E3" s="130"/>
      <c r="F3" s="130"/>
      <c r="G3" s="130"/>
      <c r="H3" s="130"/>
      <c r="I3" s="131"/>
      <c r="J3" s="131"/>
      <c r="K3" s="131"/>
      <c r="L3" s="131"/>
      <c r="M3" s="131"/>
      <c r="N3" s="131"/>
      <c r="O3" s="131"/>
      <c r="P3" s="131"/>
      <c r="Q3" s="131"/>
      <c r="R3" s="131"/>
      <c r="S3" s="131"/>
      <c r="T3" s="131"/>
      <c r="U3" s="131"/>
      <c r="V3" s="131"/>
      <c r="W3" s="131"/>
      <c r="X3" s="131"/>
      <c r="Y3" s="131"/>
      <c r="Z3" s="131"/>
      <c r="AA3" s="131"/>
      <c r="AB3" s="131"/>
      <c r="AC3" s="131"/>
    </row>
    <row r="4" spans="1:1018 1031:2045 2058:3072 3085:4086 4099:5113 5126:6140 6153:7167 7180:8181 8194:9208 9221:10235 10248:11262 11275:12276 12289:13303 13316:14330 14343:15357 15370:16384" s="199" customFormat="1" ht="13" customHeight="1">
      <c r="A4" s="198"/>
      <c r="B4" s="258" t="str">
        <f>IF('Summary | Sumário'!D$6=Names!B$3,Names!AC3,Names!AD3)</f>
        <v xml:space="preserve">Revenues from services and commissions </v>
      </c>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20"/>
      <c r="AQ4" s="200"/>
      <c r="BD4" s="200"/>
      <c r="BQ4" s="200"/>
      <c r="CD4" s="200"/>
      <c r="CQ4" s="200"/>
      <c r="DD4" s="200"/>
      <c r="DQ4" s="200"/>
      <c r="ED4" s="200"/>
      <c r="EQ4" s="200"/>
      <c r="FD4" s="200"/>
      <c r="FQ4" s="200"/>
      <c r="GD4" s="200"/>
      <c r="GQ4" s="200"/>
      <c r="HD4" s="200"/>
      <c r="HQ4" s="200"/>
      <c r="ID4" s="200"/>
      <c r="IQ4" s="200"/>
      <c r="JD4" s="200"/>
      <c r="JQ4" s="200"/>
      <c r="KD4" s="200"/>
      <c r="KQ4" s="200"/>
      <c r="LD4" s="200"/>
      <c r="LQ4" s="200"/>
      <c r="MD4" s="200"/>
      <c r="MQ4" s="200"/>
      <c r="ND4" s="200"/>
      <c r="NQ4" s="200"/>
      <c r="OD4" s="200"/>
      <c r="OQ4" s="200"/>
      <c r="PD4" s="200"/>
      <c r="PQ4" s="200"/>
      <c r="QD4" s="200"/>
      <c r="QQ4" s="200"/>
      <c r="RD4" s="200"/>
      <c r="RQ4" s="200"/>
      <c r="SD4" s="200"/>
      <c r="SQ4" s="200"/>
      <c r="TD4" s="200"/>
      <c r="TQ4" s="200"/>
      <c r="UD4" s="200"/>
      <c r="UQ4" s="200"/>
      <c r="VD4" s="200"/>
      <c r="VQ4" s="200"/>
      <c r="WD4" s="200"/>
      <c r="WQ4" s="200"/>
      <c r="XD4" s="200"/>
      <c r="XQ4" s="200"/>
      <c r="YD4" s="200"/>
      <c r="YQ4" s="200"/>
      <c r="ZD4" s="200"/>
      <c r="ZQ4" s="200"/>
      <c r="AAD4" s="200"/>
      <c r="AAQ4" s="200"/>
      <c r="ABD4" s="200"/>
      <c r="ABQ4" s="200"/>
      <c r="ACD4" s="200"/>
      <c r="ACQ4" s="200"/>
      <c r="ADD4" s="200"/>
      <c r="ADQ4" s="200"/>
      <c r="AED4" s="200"/>
      <c r="AEQ4" s="200"/>
      <c r="AFD4" s="200"/>
      <c r="AFQ4" s="200"/>
      <c r="AGD4" s="200"/>
      <c r="AGQ4" s="200"/>
      <c r="AHD4" s="200"/>
      <c r="AHQ4" s="200"/>
      <c r="AID4" s="200"/>
      <c r="AIQ4" s="200"/>
      <c r="AJD4" s="200"/>
      <c r="AJQ4" s="200"/>
      <c r="AKD4" s="200"/>
      <c r="AKQ4" s="200"/>
      <c r="ALD4" s="200"/>
      <c r="ALQ4" s="200"/>
      <c r="AMD4" s="200"/>
      <c r="AMQ4" s="200"/>
      <c r="AND4" s="200"/>
      <c r="ANQ4" s="200"/>
      <c r="AOD4" s="200"/>
      <c r="AOQ4" s="200"/>
      <c r="APD4" s="200"/>
      <c r="APQ4" s="200"/>
      <c r="AQD4" s="200"/>
      <c r="AQQ4" s="200"/>
      <c r="ARD4" s="200"/>
      <c r="ARQ4" s="200"/>
      <c r="ASD4" s="200"/>
      <c r="ASQ4" s="200"/>
      <c r="ATD4" s="200"/>
      <c r="ATQ4" s="200"/>
      <c r="AUD4" s="200"/>
      <c r="AUQ4" s="200"/>
      <c r="AVD4" s="200"/>
      <c r="AVQ4" s="200"/>
      <c r="AWD4" s="200"/>
      <c r="AWQ4" s="200"/>
      <c r="AXD4" s="200"/>
      <c r="AXQ4" s="200"/>
      <c r="AYD4" s="200"/>
      <c r="AYQ4" s="200"/>
      <c r="AZD4" s="200"/>
      <c r="AZQ4" s="200"/>
      <c r="BAD4" s="200"/>
      <c r="BAQ4" s="200"/>
      <c r="BBD4" s="200"/>
      <c r="BBQ4" s="200"/>
      <c r="BCD4" s="200"/>
      <c r="BCQ4" s="200"/>
      <c r="BDD4" s="200"/>
      <c r="BDQ4" s="200"/>
      <c r="BED4" s="200"/>
      <c r="BEQ4" s="200"/>
      <c r="BFD4" s="200"/>
      <c r="BFQ4" s="200"/>
      <c r="BGD4" s="200"/>
      <c r="BGQ4" s="200"/>
      <c r="BHD4" s="200"/>
      <c r="BHQ4" s="200"/>
      <c r="BID4" s="200"/>
      <c r="BIQ4" s="200"/>
      <c r="BJD4" s="200"/>
      <c r="BJQ4" s="200"/>
      <c r="BKD4" s="200"/>
      <c r="BKQ4" s="200"/>
      <c r="BLD4" s="200"/>
      <c r="BLQ4" s="200"/>
      <c r="BMD4" s="200"/>
      <c r="BMQ4" s="200"/>
      <c r="BND4" s="200"/>
      <c r="BNQ4" s="200"/>
      <c r="BOD4" s="200"/>
      <c r="BOQ4" s="200"/>
      <c r="BPD4" s="200"/>
      <c r="BPQ4" s="200"/>
      <c r="BQD4" s="200"/>
      <c r="BQQ4" s="200"/>
      <c r="BRD4" s="200"/>
      <c r="BRQ4" s="200"/>
      <c r="BSD4" s="200"/>
      <c r="BSQ4" s="200"/>
      <c r="BTD4" s="200"/>
      <c r="BTQ4" s="200"/>
      <c r="BUD4" s="200"/>
      <c r="BUQ4" s="200"/>
      <c r="BVD4" s="200"/>
      <c r="BVQ4" s="200"/>
      <c r="BWD4" s="200"/>
      <c r="BWQ4" s="200"/>
      <c r="BXD4" s="200"/>
      <c r="BXQ4" s="200"/>
      <c r="BYD4" s="200"/>
      <c r="BYQ4" s="200"/>
      <c r="BZD4" s="200"/>
      <c r="BZQ4" s="200"/>
      <c r="CAD4" s="200"/>
      <c r="CAQ4" s="200"/>
      <c r="CBD4" s="200"/>
      <c r="CBQ4" s="200"/>
      <c r="CCD4" s="200"/>
      <c r="CCQ4" s="200"/>
      <c r="CDD4" s="200"/>
      <c r="CDQ4" s="200"/>
      <c r="CED4" s="200"/>
      <c r="CEQ4" s="200"/>
      <c r="CFD4" s="200"/>
      <c r="CFQ4" s="200"/>
      <c r="CGD4" s="200"/>
      <c r="CGQ4" s="200"/>
      <c r="CHD4" s="200"/>
      <c r="CHQ4" s="200"/>
      <c r="CID4" s="200"/>
      <c r="CIQ4" s="200"/>
      <c r="CJD4" s="200"/>
      <c r="CJQ4" s="200"/>
      <c r="CKD4" s="200"/>
      <c r="CKQ4" s="200"/>
      <c r="CLD4" s="200"/>
      <c r="CLQ4" s="200"/>
      <c r="CMD4" s="200"/>
      <c r="CMQ4" s="200"/>
      <c r="CND4" s="200"/>
      <c r="CNQ4" s="200"/>
      <c r="COD4" s="200"/>
      <c r="COQ4" s="200"/>
      <c r="CPD4" s="200"/>
      <c r="CPQ4" s="200"/>
      <c r="CQD4" s="200"/>
      <c r="CQQ4" s="200"/>
      <c r="CRD4" s="200"/>
      <c r="CRQ4" s="200"/>
      <c r="CSD4" s="200"/>
      <c r="CSQ4" s="200"/>
      <c r="CTD4" s="200"/>
      <c r="CTQ4" s="200"/>
      <c r="CUD4" s="200"/>
      <c r="CUQ4" s="200"/>
      <c r="CVD4" s="200"/>
      <c r="CVQ4" s="200"/>
      <c r="CWD4" s="200"/>
      <c r="CWQ4" s="200"/>
      <c r="CXD4" s="200"/>
      <c r="CXQ4" s="200"/>
      <c r="CYD4" s="200"/>
      <c r="CYQ4" s="200"/>
      <c r="CZD4" s="200"/>
      <c r="CZQ4" s="200"/>
      <c r="DAD4" s="200"/>
      <c r="DAQ4" s="200"/>
      <c r="DBD4" s="200"/>
      <c r="DBQ4" s="200"/>
      <c r="DCD4" s="200"/>
      <c r="DCQ4" s="200"/>
      <c r="DDD4" s="200"/>
      <c r="DDQ4" s="200"/>
      <c r="DED4" s="200"/>
      <c r="DEQ4" s="200"/>
      <c r="DFD4" s="200"/>
      <c r="DFQ4" s="200"/>
      <c r="DGD4" s="200"/>
      <c r="DGQ4" s="200"/>
      <c r="DHD4" s="200"/>
      <c r="DHQ4" s="200"/>
      <c r="DID4" s="200"/>
      <c r="DIQ4" s="200"/>
      <c r="DJD4" s="200"/>
      <c r="DJQ4" s="200"/>
      <c r="DKD4" s="200"/>
      <c r="DKQ4" s="200"/>
      <c r="DLD4" s="200"/>
      <c r="DLQ4" s="200"/>
      <c r="DMD4" s="200"/>
      <c r="DMQ4" s="200"/>
      <c r="DND4" s="200"/>
      <c r="DNQ4" s="200"/>
      <c r="DOD4" s="200"/>
      <c r="DOQ4" s="200"/>
      <c r="DPD4" s="200"/>
      <c r="DPQ4" s="200"/>
      <c r="DQD4" s="200"/>
      <c r="DQQ4" s="200"/>
      <c r="DRD4" s="200"/>
      <c r="DRQ4" s="200"/>
      <c r="DSD4" s="200"/>
      <c r="DSQ4" s="200"/>
      <c r="DTD4" s="200"/>
      <c r="DTQ4" s="200"/>
      <c r="DUD4" s="200"/>
      <c r="DUQ4" s="200"/>
      <c r="DVD4" s="200"/>
      <c r="DVQ4" s="200"/>
      <c r="DWD4" s="200"/>
      <c r="DWQ4" s="200"/>
      <c r="DXD4" s="200"/>
      <c r="DXQ4" s="200"/>
      <c r="DYD4" s="200"/>
      <c r="DYQ4" s="200"/>
      <c r="DZD4" s="200"/>
      <c r="DZQ4" s="200"/>
      <c r="EAD4" s="200"/>
      <c r="EAQ4" s="200"/>
      <c r="EBD4" s="200"/>
      <c r="EBQ4" s="200"/>
      <c r="ECD4" s="200"/>
      <c r="ECQ4" s="200"/>
      <c r="EDD4" s="200"/>
      <c r="EDQ4" s="200"/>
      <c r="EED4" s="200"/>
      <c r="EEQ4" s="200"/>
      <c r="EFD4" s="200"/>
      <c r="EFQ4" s="200"/>
      <c r="EGD4" s="200"/>
      <c r="EGQ4" s="200"/>
      <c r="EHD4" s="200"/>
      <c r="EHQ4" s="200"/>
      <c r="EID4" s="200"/>
      <c r="EIQ4" s="200"/>
      <c r="EJD4" s="200"/>
      <c r="EJQ4" s="200"/>
      <c r="EKD4" s="200"/>
      <c r="EKQ4" s="200"/>
      <c r="ELD4" s="200"/>
      <c r="ELQ4" s="200"/>
      <c r="EMD4" s="200"/>
      <c r="EMQ4" s="200"/>
      <c r="END4" s="200"/>
      <c r="ENQ4" s="200"/>
      <c r="EOD4" s="200"/>
      <c r="EOQ4" s="200"/>
      <c r="EPD4" s="200"/>
      <c r="EPQ4" s="200"/>
      <c r="EQD4" s="200"/>
      <c r="EQQ4" s="200"/>
      <c r="ERD4" s="200"/>
      <c r="ERQ4" s="200"/>
      <c r="ESD4" s="200"/>
      <c r="ESQ4" s="200"/>
      <c r="ETD4" s="200"/>
      <c r="ETQ4" s="200"/>
      <c r="EUD4" s="200"/>
      <c r="EUQ4" s="200"/>
      <c r="EVD4" s="200"/>
      <c r="EVQ4" s="200"/>
      <c r="EWD4" s="200"/>
      <c r="EWQ4" s="200"/>
      <c r="EXD4" s="200"/>
      <c r="EXQ4" s="200"/>
      <c r="EYD4" s="200"/>
      <c r="EYQ4" s="200"/>
      <c r="EZD4" s="200"/>
      <c r="EZQ4" s="200"/>
      <c r="FAD4" s="200"/>
      <c r="FAQ4" s="200"/>
      <c r="FBD4" s="200"/>
      <c r="FBQ4" s="200"/>
      <c r="FCD4" s="200"/>
      <c r="FCQ4" s="200"/>
      <c r="FDD4" s="200"/>
      <c r="FDQ4" s="200"/>
      <c r="FED4" s="200"/>
      <c r="FEQ4" s="200"/>
      <c r="FFD4" s="200"/>
      <c r="FFQ4" s="200"/>
      <c r="FGD4" s="200"/>
      <c r="FGQ4" s="200"/>
      <c r="FHD4" s="200"/>
      <c r="FHQ4" s="200"/>
      <c r="FID4" s="200"/>
      <c r="FIQ4" s="200"/>
      <c r="FJD4" s="200"/>
      <c r="FJQ4" s="200"/>
      <c r="FKD4" s="200"/>
      <c r="FKQ4" s="200"/>
      <c r="FLD4" s="200"/>
      <c r="FLQ4" s="200"/>
      <c r="FMD4" s="200"/>
      <c r="FMQ4" s="200"/>
      <c r="FND4" s="200"/>
      <c r="FNQ4" s="200"/>
      <c r="FOD4" s="200"/>
      <c r="FOQ4" s="200"/>
      <c r="FPD4" s="200"/>
      <c r="FPQ4" s="200"/>
      <c r="FQD4" s="200"/>
      <c r="FQQ4" s="200"/>
      <c r="FRD4" s="200"/>
      <c r="FRQ4" s="200"/>
      <c r="FSD4" s="200"/>
      <c r="FSQ4" s="200"/>
      <c r="FTD4" s="200"/>
      <c r="FTQ4" s="200"/>
      <c r="FUD4" s="200"/>
      <c r="FUQ4" s="200"/>
      <c r="FVD4" s="200"/>
      <c r="FVQ4" s="200"/>
      <c r="FWD4" s="200"/>
      <c r="FWQ4" s="200"/>
      <c r="FXD4" s="200"/>
      <c r="FXQ4" s="200"/>
      <c r="FYD4" s="200"/>
      <c r="FYQ4" s="200"/>
      <c r="FZD4" s="200"/>
      <c r="FZQ4" s="200"/>
      <c r="GAD4" s="200"/>
      <c r="GAQ4" s="200"/>
      <c r="GBD4" s="200"/>
      <c r="GBQ4" s="200"/>
      <c r="GCD4" s="200"/>
      <c r="GCQ4" s="200"/>
      <c r="GDD4" s="200"/>
      <c r="GDQ4" s="200"/>
      <c r="GED4" s="200"/>
      <c r="GEQ4" s="200"/>
      <c r="GFD4" s="200"/>
      <c r="GFQ4" s="200"/>
      <c r="GGD4" s="200"/>
      <c r="GGQ4" s="200"/>
      <c r="GHD4" s="200"/>
      <c r="GHQ4" s="200"/>
      <c r="GID4" s="200"/>
      <c r="GIQ4" s="200"/>
      <c r="GJD4" s="200"/>
      <c r="GJQ4" s="200"/>
      <c r="GKD4" s="200"/>
      <c r="GKQ4" s="200"/>
      <c r="GLD4" s="200"/>
      <c r="GLQ4" s="200"/>
      <c r="GMD4" s="200"/>
      <c r="GMQ4" s="200"/>
      <c r="GND4" s="200"/>
      <c r="GNQ4" s="200"/>
      <c r="GOD4" s="200"/>
      <c r="GOQ4" s="200"/>
      <c r="GPD4" s="200"/>
      <c r="GPQ4" s="200"/>
      <c r="GQD4" s="200"/>
      <c r="GQQ4" s="200"/>
      <c r="GRD4" s="200"/>
      <c r="GRQ4" s="200"/>
      <c r="GSD4" s="200"/>
      <c r="GSQ4" s="200"/>
      <c r="GTD4" s="200"/>
      <c r="GTQ4" s="200"/>
      <c r="GUD4" s="200"/>
      <c r="GUQ4" s="200"/>
      <c r="GVD4" s="200"/>
      <c r="GVQ4" s="200"/>
      <c r="GWD4" s="200"/>
      <c r="GWQ4" s="200"/>
      <c r="GXD4" s="200"/>
      <c r="GXQ4" s="200"/>
      <c r="GYD4" s="200"/>
      <c r="GYQ4" s="200"/>
      <c r="GZD4" s="200"/>
      <c r="GZQ4" s="200"/>
      <c r="HAD4" s="200"/>
      <c r="HAQ4" s="200"/>
      <c r="HBD4" s="200"/>
      <c r="HBQ4" s="200"/>
      <c r="HCD4" s="200"/>
      <c r="HCQ4" s="200"/>
      <c r="HDD4" s="200"/>
      <c r="HDQ4" s="200"/>
      <c r="HED4" s="200"/>
      <c r="HEQ4" s="200"/>
      <c r="HFD4" s="200"/>
      <c r="HFQ4" s="200"/>
      <c r="HGD4" s="200"/>
      <c r="HGQ4" s="200"/>
      <c r="HHD4" s="200"/>
      <c r="HHQ4" s="200"/>
      <c r="HID4" s="200"/>
      <c r="HIQ4" s="200"/>
      <c r="HJD4" s="200"/>
      <c r="HJQ4" s="200"/>
      <c r="HKD4" s="200"/>
      <c r="HKQ4" s="200"/>
      <c r="HLD4" s="200"/>
      <c r="HLQ4" s="200"/>
      <c r="HMD4" s="200"/>
      <c r="HMQ4" s="200"/>
      <c r="HND4" s="200"/>
      <c r="HNQ4" s="200"/>
      <c r="HOD4" s="200"/>
      <c r="HOQ4" s="200"/>
      <c r="HPD4" s="200"/>
      <c r="HPQ4" s="200"/>
      <c r="HQD4" s="200"/>
      <c r="HQQ4" s="200"/>
      <c r="HRD4" s="200"/>
      <c r="HRQ4" s="200"/>
      <c r="HSD4" s="200"/>
      <c r="HSQ4" s="200"/>
      <c r="HTD4" s="200"/>
      <c r="HTQ4" s="200"/>
      <c r="HUD4" s="200"/>
      <c r="HUQ4" s="200"/>
      <c r="HVD4" s="200"/>
      <c r="HVQ4" s="200"/>
      <c r="HWD4" s="200"/>
      <c r="HWQ4" s="200"/>
      <c r="HXD4" s="200"/>
      <c r="HXQ4" s="200"/>
      <c r="HYD4" s="200"/>
      <c r="HYQ4" s="200"/>
      <c r="HZD4" s="200"/>
      <c r="HZQ4" s="200"/>
      <c r="IAD4" s="200"/>
      <c r="IAQ4" s="200"/>
      <c r="IBD4" s="200"/>
      <c r="IBQ4" s="200"/>
      <c r="ICD4" s="200"/>
      <c r="ICQ4" s="200"/>
      <c r="IDD4" s="200"/>
      <c r="IDQ4" s="200"/>
      <c r="IED4" s="200"/>
      <c r="IEQ4" s="200"/>
      <c r="IFD4" s="200"/>
      <c r="IFQ4" s="200"/>
      <c r="IGD4" s="200"/>
      <c r="IGQ4" s="200"/>
      <c r="IHD4" s="200"/>
      <c r="IHQ4" s="200"/>
      <c r="IID4" s="200"/>
      <c r="IIQ4" s="200"/>
      <c r="IJD4" s="200"/>
      <c r="IJQ4" s="200"/>
      <c r="IKD4" s="200"/>
      <c r="IKQ4" s="200"/>
      <c r="ILD4" s="200"/>
      <c r="ILQ4" s="200"/>
      <c r="IMD4" s="200"/>
      <c r="IMQ4" s="200"/>
      <c r="IND4" s="200"/>
      <c r="INQ4" s="200"/>
      <c r="IOD4" s="200"/>
      <c r="IOQ4" s="200"/>
      <c r="IPD4" s="200"/>
      <c r="IPQ4" s="200"/>
      <c r="IQD4" s="200"/>
      <c r="IQQ4" s="200"/>
      <c r="IRD4" s="200"/>
      <c r="IRQ4" s="200"/>
      <c r="ISD4" s="200"/>
      <c r="ISQ4" s="200"/>
      <c r="ITD4" s="200"/>
      <c r="ITQ4" s="200"/>
      <c r="IUD4" s="200"/>
      <c r="IUQ4" s="200"/>
      <c r="IVD4" s="200"/>
      <c r="IVQ4" s="200"/>
      <c r="IWD4" s="200"/>
      <c r="IWQ4" s="200"/>
      <c r="IXD4" s="200"/>
      <c r="IXQ4" s="200"/>
      <c r="IYD4" s="200"/>
      <c r="IYQ4" s="200"/>
      <c r="IZD4" s="200"/>
      <c r="IZQ4" s="200"/>
      <c r="JAD4" s="200"/>
      <c r="JAQ4" s="200"/>
      <c r="JBD4" s="200"/>
      <c r="JBQ4" s="200"/>
      <c r="JCD4" s="200"/>
      <c r="JCQ4" s="200"/>
      <c r="JDD4" s="200"/>
      <c r="JDQ4" s="200"/>
      <c r="JED4" s="200"/>
      <c r="JEQ4" s="200"/>
      <c r="JFD4" s="200"/>
      <c r="JFQ4" s="200"/>
      <c r="JGD4" s="200"/>
      <c r="JGQ4" s="200"/>
      <c r="JHD4" s="200"/>
      <c r="JHQ4" s="200"/>
      <c r="JID4" s="200"/>
      <c r="JIQ4" s="200"/>
      <c r="JJD4" s="200"/>
      <c r="JJQ4" s="200"/>
      <c r="JKD4" s="200"/>
      <c r="JKQ4" s="200"/>
      <c r="JLD4" s="200"/>
      <c r="JLQ4" s="200"/>
      <c r="JMD4" s="200"/>
      <c r="JMQ4" s="200"/>
      <c r="JND4" s="200"/>
      <c r="JNQ4" s="200"/>
      <c r="JOD4" s="200"/>
      <c r="JOQ4" s="200"/>
      <c r="JPD4" s="200"/>
      <c r="JPQ4" s="200"/>
      <c r="JQD4" s="200"/>
      <c r="JQQ4" s="200"/>
      <c r="JRD4" s="200"/>
      <c r="JRQ4" s="200"/>
      <c r="JSD4" s="200"/>
      <c r="JSQ4" s="200"/>
      <c r="JTD4" s="200"/>
      <c r="JTQ4" s="200"/>
      <c r="JUD4" s="200"/>
      <c r="JUQ4" s="200"/>
      <c r="JVD4" s="200"/>
      <c r="JVQ4" s="200"/>
      <c r="JWD4" s="200"/>
      <c r="JWQ4" s="200"/>
      <c r="JXD4" s="200"/>
      <c r="JXQ4" s="200"/>
      <c r="JYD4" s="200"/>
      <c r="JYQ4" s="200"/>
      <c r="JZD4" s="200"/>
      <c r="JZQ4" s="200"/>
      <c r="KAD4" s="200"/>
      <c r="KAQ4" s="200"/>
      <c r="KBD4" s="200"/>
      <c r="KBQ4" s="200"/>
      <c r="KCD4" s="200"/>
      <c r="KCQ4" s="200"/>
      <c r="KDD4" s="200"/>
      <c r="KDQ4" s="200"/>
      <c r="KED4" s="200"/>
      <c r="KEQ4" s="200"/>
      <c r="KFD4" s="200"/>
      <c r="KFQ4" s="200"/>
      <c r="KGD4" s="200"/>
      <c r="KGQ4" s="200"/>
      <c r="KHD4" s="200"/>
      <c r="KHQ4" s="200"/>
      <c r="KID4" s="200"/>
      <c r="KIQ4" s="200"/>
      <c r="KJD4" s="200"/>
      <c r="KJQ4" s="200"/>
      <c r="KKD4" s="200"/>
      <c r="KKQ4" s="200"/>
      <c r="KLD4" s="200"/>
      <c r="KLQ4" s="200"/>
      <c r="KMD4" s="200"/>
      <c r="KMQ4" s="200"/>
      <c r="KND4" s="200"/>
      <c r="KNQ4" s="200"/>
      <c r="KOD4" s="200"/>
      <c r="KOQ4" s="200"/>
      <c r="KPD4" s="200"/>
      <c r="KPQ4" s="200"/>
      <c r="KQD4" s="200"/>
      <c r="KQQ4" s="200"/>
      <c r="KRD4" s="200"/>
      <c r="KRQ4" s="200"/>
      <c r="KSD4" s="200"/>
      <c r="KSQ4" s="200"/>
      <c r="KTD4" s="200"/>
      <c r="KTQ4" s="200"/>
      <c r="KUD4" s="200"/>
      <c r="KUQ4" s="200"/>
      <c r="KVD4" s="200"/>
      <c r="KVQ4" s="200"/>
      <c r="KWD4" s="200"/>
      <c r="KWQ4" s="200"/>
      <c r="KXD4" s="200"/>
      <c r="KXQ4" s="200"/>
      <c r="KYD4" s="200"/>
      <c r="KYQ4" s="200"/>
      <c r="KZD4" s="200"/>
      <c r="KZQ4" s="200"/>
      <c r="LAD4" s="200"/>
      <c r="LAQ4" s="200"/>
      <c r="LBD4" s="200"/>
      <c r="LBQ4" s="200"/>
      <c r="LCD4" s="200"/>
      <c r="LCQ4" s="200"/>
      <c r="LDD4" s="200"/>
      <c r="LDQ4" s="200"/>
      <c r="LED4" s="200"/>
      <c r="LEQ4" s="200"/>
      <c r="LFD4" s="200"/>
      <c r="LFQ4" s="200"/>
      <c r="LGD4" s="200"/>
      <c r="LGQ4" s="200"/>
      <c r="LHD4" s="200"/>
      <c r="LHQ4" s="200"/>
      <c r="LID4" s="200"/>
      <c r="LIQ4" s="200"/>
      <c r="LJD4" s="200"/>
      <c r="LJQ4" s="200"/>
      <c r="LKD4" s="200"/>
      <c r="LKQ4" s="200"/>
      <c r="LLD4" s="200"/>
      <c r="LLQ4" s="200"/>
      <c r="LMD4" s="200"/>
      <c r="LMQ4" s="200"/>
      <c r="LND4" s="200"/>
      <c r="LNQ4" s="200"/>
      <c r="LOD4" s="200"/>
      <c r="LOQ4" s="200"/>
      <c r="LPD4" s="200"/>
      <c r="LPQ4" s="200"/>
      <c r="LQD4" s="200"/>
      <c r="LQQ4" s="200"/>
      <c r="LRD4" s="200"/>
      <c r="LRQ4" s="200"/>
      <c r="LSD4" s="200"/>
      <c r="LSQ4" s="200"/>
      <c r="LTD4" s="200"/>
      <c r="LTQ4" s="200"/>
      <c r="LUD4" s="200"/>
      <c r="LUQ4" s="200"/>
      <c r="LVD4" s="200"/>
      <c r="LVQ4" s="200"/>
      <c r="LWD4" s="200"/>
      <c r="LWQ4" s="200"/>
      <c r="LXD4" s="200"/>
      <c r="LXQ4" s="200"/>
      <c r="LYD4" s="200"/>
      <c r="LYQ4" s="200"/>
      <c r="LZD4" s="200"/>
      <c r="LZQ4" s="200"/>
      <c r="MAD4" s="200"/>
      <c r="MAQ4" s="200"/>
      <c r="MBD4" s="200"/>
      <c r="MBQ4" s="200"/>
      <c r="MCD4" s="200"/>
      <c r="MCQ4" s="200"/>
      <c r="MDD4" s="200"/>
      <c r="MDQ4" s="200"/>
      <c r="MED4" s="200"/>
      <c r="MEQ4" s="200"/>
      <c r="MFD4" s="200"/>
      <c r="MFQ4" s="200"/>
      <c r="MGD4" s="200"/>
      <c r="MGQ4" s="200"/>
      <c r="MHD4" s="200"/>
      <c r="MHQ4" s="200"/>
      <c r="MID4" s="200"/>
      <c r="MIQ4" s="200"/>
      <c r="MJD4" s="200"/>
      <c r="MJQ4" s="200"/>
      <c r="MKD4" s="200"/>
      <c r="MKQ4" s="200"/>
      <c r="MLD4" s="200"/>
      <c r="MLQ4" s="200"/>
      <c r="MMD4" s="200"/>
      <c r="MMQ4" s="200"/>
      <c r="MND4" s="200"/>
      <c r="MNQ4" s="200"/>
      <c r="MOD4" s="200"/>
      <c r="MOQ4" s="200"/>
      <c r="MPD4" s="200"/>
      <c r="MPQ4" s="200"/>
      <c r="MQD4" s="200"/>
      <c r="MQQ4" s="200"/>
      <c r="MRD4" s="200"/>
      <c r="MRQ4" s="200"/>
      <c r="MSD4" s="200"/>
      <c r="MSQ4" s="200"/>
      <c r="MTD4" s="200"/>
      <c r="MTQ4" s="200"/>
      <c r="MUD4" s="200"/>
      <c r="MUQ4" s="200"/>
      <c r="MVD4" s="200"/>
      <c r="MVQ4" s="200"/>
      <c r="MWD4" s="200"/>
      <c r="MWQ4" s="200"/>
      <c r="MXD4" s="200"/>
      <c r="MXQ4" s="200"/>
      <c r="MYD4" s="200"/>
      <c r="MYQ4" s="200"/>
      <c r="MZD4" s="200"/>
      <c r="MZQ4" s="200"/>
      <c r="NAD4" s="200"/>
      <c r="NAQ4" s="200"/>
      <c r="NBD4" s="200"/>
      <c r="NBQ4" s="200"/>
      <c r="NCD4" s="200"/>
      <c r="NCQ4" s="200"/>
      <c r="NDD4" s="200"/>
      <c r="NDQ4" s="200"/>
      <c r="NED4" s="200"/>
      <c r="NEQ4" s="200"/>
      <c r="NFD4" s="200"/>
      <c r="NFQ4" s="200"/>
      <c r="NGD4" s="200"/>
      <c r="NGQ4" s="200"/>
      <c r="NHD4" s="200"/>
      <c r="NHQ4" s="200"/>
      <c r="NID4" s="200"/>
      <c r="NIQ4" s="200"/>
      <c r="NJD4" s="200"/>
      <c r="NJQ4" s="200"/>
      <c r="NKD4" s="200"/>
      <c r="NKQ4" s="200"/>
      <c r="NLD4" s="200"/>
      <c r="NLQ4" s="200"/>
      <c r="NMD4" s="200"/>
      <c r="NMQ4" s="200"/>
      <c r="NND4" s="200"/>
      <c r="NNQ4" s="200"/>
      <c r="NOD4" s="200"/>
      <c r="NOQ4" s="200"/>
      <c r="NPD4" s="200"/>
      <c r="NPQ4" s="200"/>
      <c r="NQD4" s="200"/>
      <c r="NQQ4" s="200"/>
      <c r="NRD4" s="200"/>
      <c r="NRQ4" s="200"/>
      <c r="NSD4" s="200"/>
      <c r="NSQ4" s="200"/>
      <c r="NTD4" s="200"/>
      <c r="NTQ4" s="200"/>
      <c r="NUD4" s="200"/>
      <c r="NUQ4" s="200"/>
      <c r="NVD4" s="200"/>
      <c r="NVQ4" s="200"/>
      <c r="NWD4" s="200"/>
      <c r="NWQ4" s="200"/>
      <c r="NXD4" s="200"/>
      <c r="NXQ4" s="200"/>
      <c r="NYD4" s="200"/>
      <c r="NYQ4" s="200"/>
      <c r="NZD4" s="200"/>
      <c r="NZQ4" s="200"/>
      <c r="OAD4" s="200"/>
      <c r="OAQ4" s="200"/>
      <c r="OBD4" s="200"/>
      <c r="OBQ4" s="200"/>
      <c r="OCD4" s="200"/>
      <c r="OCQ4" s="200"/>
      <c r="ODD4" s="200"/>
      <c r="ODQ4" s="200"/>
      <c r="OED4" s="200"/>
      <c r="OEQ4" s="200"/>
      <c r="OFD4" s="200"/>
      <c r="OFQ4" s="200"/>
      <c r="OGD4" s="200"/>
      <c r="OGQ4" s="200"/>
      <c r="OHD4" s="200"/>
      <c r="OHQ4" s="200"/>
      <c r="OID4" s="200"/>
      <c r="OIQ4" s="200"/>
      <c r="OJD4" s="200"/>
      <c r="OJQ4" s="200"/>
      <c r="OKD4" s="200"/>
      <c r="OKQ4" s="200"/>
      <c r="OLD4" s="200"/>
      <c r="OLQ4" s="200"/>
      <c r="OMD4" s="200"/>
      <c r="OMQ4" s="200"/>
      <c r="OND4" s="200"/>
      <c r="ONQ4" s="200"/>
      <c r="OOD4" s="200"/>
      <c r="OOQ4" s="200"/>
      <c r="OPD4" s="200"/>
      <c r="OPQ4" s="200"/>
      <c r="OQD4" s="200"/>
      <c r="OQQ4" s="200"/>
      <c r="ORD4" s="200"/>
      <c r="ORQ4" s="200"/>
      <c r="OSD4" s="200"/>
      <c r="OSQ4" s="200"/>
      <c r="OTD4" s="200"/>
      <c r="OTQ4" s="200"/>
      <c r="OUD4" s="200"/>
      <c r="OUQ4" s="200"/>
      <c r="OVD4" s="200"/>
      <c r="OVQ4" s="200"/>
      <c r="OWD4" s="200"/>
      <c r="OWQ4" s="200"/>
      <c r="OXD4" s="200"/>
      <c r="OXQ4" s="200"/>
      <c r="OYD4" s="200"/>
      <c r="OYQ4" s="200"/>
      <c r="OZD4" s="200"/>
      <c r="OZQ4" s="200"/>
      <c r="PAD4" s="200"/>
      <c r="PAQ4" s="200"/>
      <c r="PBD4" s="200"/>
      <c r="PBQ4" s="200"/>
      <c r="PCD4" s="200"/>
      <c r="PCQ4" s="200"/>
      <c r="PDD4" s="200"/>
      <c r="PDQ4" s="200"/>
      <c r="PED4" s="200"/>
      <c r="PEQ4" s="200"/>
      <c r="PFD4" s="200"/>
      <c r="PFQ4" s="200"/>
      <c r="PGD4" s="200"/>
      <c r="PGQ4" s="200"/>
      <c r="PHD4" s="200"/>
      <c r="PHQ4" s="200"/>
      <c r="PID4" s="200"/>
      <c r="PIQ4" s="200"/>
      <c r="PJD4" s="200"/>
      <c r="PJQ4" s="200"/>
      <c r="PKD4" s="200"/>
      <c r="PKQ4" s="200"/>
      <c r="PLD4" s="200"/>
      <c r="PLQ4" s="200"/>
      <c r="PMD4" s="200"/>
      <c r="PMQ4" s="200"/>
      <c r="PND4" s="200"/>
      <c r="PNQ4" s="200"/>
      <c r="POD4" s="200"/>
      <c r="POQ4" s="200"/>
      <c r="PPD4" s="200"/>
      <c r="PPQ4" s="200"/>
      <c r="PQD4" s="200"/>
      <c r="PQQ4" s="200"/>
      <c r="PRD4" s="200"/>
      <c r="PRQ4" s="200"/>
      <c r="PSD4" s="200"/>
      <c r="PSQ4" s="200"/>
      <c r="PTD4" s="200"/>
      <c r="PTQ4" s="200"/>
      <c r="PUD4" s="200"/>
      <c r="PUQ4" s="200"/>
      <c r="PVD4" s="200"/>
      <c r="PVQ4" s="200"/>
      <c r="PWD4" s="200"/>
      <c r="PWQ4" s="200"/>
      <c r="PXD4" s="200"/>
      <c r="PXQ4" s="200"/>
      <c r="PYD4" s="200"/>
      <c r="PYQ4" s="200"/>
      <c r="PZD4" s="200"/>
      <c r="PZQ4" s="200"/>
      <c r="QAD4" s="200"/>
      <c r="QAQ4" s="200"/>
      <c r="QBD4" s="200"/>
      <c r="QBQ4" s="200"/>
      <c r="QCD4" s="200"/>
      <c r="QCQ4" s="200"/>
      <c r="QDD4" s="200"/>
      <c r="QDQ4" s="200"/>
      <c r="QED4" s="200"/>
      <c r="QEQ4" s="200"/>
      <c r="QFD4" s="200"/>
      <c r="QFQ4" s="200"/>
      <c r="QGD4" s="200"/>
      <c r="QGQ4" s="200"/>
      <c r="QHD4" s="200"/>
      <c r="QHQ4" s="200"/>
      <c r="QID4" s="200"/>
      <c r="QIQ4" s="200"/>
      <c r="QJD4" s="200"/>
      <c r="QJQ4" s="200"/>
      <c r="QKD4" s="200"/>
      <c r="QKQ4" s="200"/>
      <c r="QLD4" s="200"/>
      <c r="QLQ4" s="200"/>
      <c r="QMD4" s="200"/>
      <c r="QMQ4" s="200"/>
      <c r="QND4" s="200"/>
      <c r="QNQ4" s="200"/>
      <c r="QOD4" s="200"/>
      <c r="QOQ4" s="200"/>
      <c r="QPD4" s="200"/>
      <c r="QPQ4" s="200"/>
      <c r="QQD4" s="200"/>
      <c r="QQQ4" s="200"/>
      <c r="QRD4" s="200"/>
      <c r="QRQ4" s="200"/>
      <c r="QSD4" s="200"/>
      <c r="QSQ4" s="200"/>
      <c r="QTD4" s="200"/>
      <c r="QTQ4" s="200"/>
      <c r="QUD4" s="200"/>
      <c r="QUQ4" s="200"/>
      <c r="QVD4" s="200"/>
      <c r="QVQ4" s="200"/>
      <c r="QWD4" s="200"/>
      <c r="QWQ4" s="200"/>
      <c r="QXD4" s="200"/>
      <c r="QXQ4" s="200"/>
      <c r="QYD4" s="200"/>
      <c r="QYQ4" s="200"/>
      <c r="QZD4" s="200"/>
      <c r="QZQ4" s="200"/>
      <c r="RAD4" s="200"/>
      <c r="RAQ4" s="200"/>
      <c r="RBD4" s="200"/>
      <c r="RBQ4" s="200"/>
      <c r="RCD4" s="200"/>
      <c r="RCQ4" s="200"/>
      <c r="RDD4" s="200"/>
      <c r="RDQ4" s="200"/>
      <c r="RED4" s="200"/>
      <c r="REQ4" s="200"/>
      <c r="RFD4" s="200"/>
      <c r="RFQ4" s="200"/>
      <c r="RGD4" s="200"/>
      <c r="RGQ4" s="200"/>
      <c r="RHD4" s="200"/>
      <c r="RHQ4" s="200"/>
      <c r="RID4" s="200"/>
      <c r="RIQ4" s="200"/>
      <c r="RJD4" s="200"/>
      <c r="RJQ4" s="200"/>
      <c r="RKD4" s="200"/>
      <c r="RKQ4" s="200"/>
      <c r="RLD4" s="200"/>
      <c r="RLQ4" s="200"/>
      <c r="RMD4" s="200"/>
      <c r="RMQ4" s="200"/>
      <c r="RND4" s="200"/>
      <c r="RNQ4" s="200"/>
      <c r="ROD4" s="200"/>
      <c r="ROQ4" s="200"/>
      <c r="RPD4" s="200"/>
      <c r="RPQ4" s="200"/>
      <c r="RQD4" s="200"/>
      <c r="RQQ4" s="200"/>
      <c r="RRD4" s="200"/>
      <c r="RRQ4" s="200"/>
      <c r="RSD4" s="200"/>
      <c r="RSQ4" s="200"/>
      <c r="RTD4" s="200"/>
      <c r="RTQ4" s="200"/>
      <c r="RUD4" s="200"/>
      <c r="RUQ4" s="200"/>
      <c r="RVD4" s="200"/>
      <c r="RVQ4" s="200"/>
      <c r="RWD4" s="200"/>
      <c r="RWQ4" s="200"/>
      <c r="RXD4" s="200"/>
      <c r="RXQ4" s="200"/>
      <c r="RYD4" s="200"/>
      <c r="RYQ4" s="200"/>
      <c r="RZD4" s="200"/>
      <c r="RZQ4" s="200"/>
      <c r="SAD4" s="200"/>
      <c r="SAQ4" s="200"/>
      <c r="SBD4" s="200"/>
      <c r="SBQ4" s="200"/>
      <c r="SCD4" s="200"/>
      <c r="SCQ4" s="200"/>
      <c r="SDD4" s="200"/>
      <c r="SDQ4" s="200"/>
      <c r="SED4" s="200"/>
      <c r="SEQ4" s="200"/>
      <c r="SFD4" s="200"/>
      <c r="SFQ4" s="200"/>
      <c r="SGD4" s="200"/>
      <c r="SGQ4" s="200"/>
      <c r="SHD4" s="200"/>
      <c r="SHQ4" s="200"/>
      <c r="SID4" s="200"/>
      <c r="SIQ4" s="200"/>
      <c r="SJD4" s="200"/>
      <c r="SJQ4" s="200"/>
      <c r="SKD4" s="200"/>
      <c r="SKQ4" s="200"/>
      <c r="SLD4" s="200"/>
      <c r="SLQ4" s="200"/>
      <c r="SMD4" s="200"/>
      <c r="SMQ4" s="200"/>
      <c r="SND4" s="200"/>
      <c r="SNQ4" s="200"/>
      <c r="SOD4" s="200"/>
      <c r="SOQ4" s="200"/>
      <c r="SPD4" s="200"/>
      <c r="SPQ4" s="200"/>
      <c r="SQD4" s="200"/>
      <c r="SQQ4" s="200"/>
      <c r="SRD4" s="200"/>
      <c r="SRQ4" s="200"/>
      <c r="SSD4" s="200"/>
      <c r="SSQ4" s="200"/>
      <c r="STD4" s="200"/>
      <c r="STQ4" s="200"/>
      <c r="SUD4" s="200"/>
      <c r="SUQ4" s="200"/>
      <c r="SVD4" s="200"/>
      <c r="SVQ4" s="200"/>
      <c r="SWD4" s="200"/>
      <c r="SWQ4" s="200"/>
      <c r="SXD4" s="200"/>
      <c r="SXQ4" s="200"/>
      <c r="SYD4" s="200"/>
      <c r="SYQ4" s="200"/>
      <c r="SZD4" s="200"/>
      <c r="SZQ4" s="200"/>
      <c r="TAD4" s="200"/>
      <c r="TAQ4" s="200"/>
      <c r="TBD4" s="200"/>
      <c r="TBQ4" s="200"/>
      <c r="TCD4" s="200"/>
      <c r="TCQ4" s="200"/>
      <c r="TDD4" s="200"/>
      <c r="TDQ4" s="200"/>
      <c r="TED4" s="200"/>
      <c r="TEQ4" s="200"/>
      <c r="TFD4" s="200"/>
      <c r="TFQ4" s="200"/>
      <c r="TGD4" s="200"/>
      <c r="TGQ4" s="200"/>
      <c r="THD4" s="200"/>
      <c r="THQ4" s="200"/>
      <c r="TID4" s="200"/>
      <c r="TIQ4" s="200"/>
      <c r="TJD4" s="200"/>
      <c r="TJQ4" s="200"/>
      <c r="TKD4" s="200"/>
      <c r="TKQ4" s="200"/>
      <c r="TLD4" s="200"/>
      <c r="TLQ4" s="200"/>
      <c r="TMD4" s="200"/>
      <c r="TMQ4" s="200"/>
      <c r="TND4" s="200"/>
      <c r="TNQ4" s="200"/>
      <c r="TOD4" s="200"/>
      <c r="TOQ4" s="200"/>
      <c r="TPD4" s="200"/>
      <c r="TPQ4" s="200"/>
      <c r="TQD4" s="200"/>
      <c r="TQQ4" s="200"/>
      <c r="TRD4" s="200"/>
      <c r="TRQ4" s="200"/>
      <c r="TSD4" s="200"/>
      <c r="TSQ4" s="200"/>
      <c r="TTD4" s="200"/>
      <c r="TTQ4" s="200"/>
      <c r="TUD4" s="200"/>
      <c r="TUQ4" s="200"/>
      <c r="TVD4" s="200"/>
      <c r="TVQ4" s="200"/>
      <c r="TWD4" s="200"/>
      <c r="TWQ4" s="200"/>
      <c r="TXD4" s="200"/>
      <c r="TXQ4" s="200"/>
      <c r="TYD4" s="200"/>
      <c r="TYQ4" s="200"/>
      <c r="TZD4" s="200"/>
      <c r="TZQ4" s="200"/>
      <c r="UAD4" s="200"/>
      <c r="UAQ4" s="200"/>
      <c r="UBD4" s="200"/>
      <c r="UBQ4" s="200"/>
      <c r="UCD4" s="200"/>
      <c r="UCQ4" s="200"/>
      <c r="UDD4" s="200"/>
      <c r="UDQ4" s="200"/>
      <c r="UED4" s="200"/>
      <c r="UEQ4" s="200"/>
      <c r="UFD4" s="200"/>
      <c r="UFQ4" s="200"/>
      <c r="UGD4" s="200"/>
      <c r="UGQ4" s="200"/>
      <c r="UHD4" s="200"/>
      <c r="UHQ4" s="200"/>
      <c r="UID4" s="200"/>
      <c r="UIQ4" s="200"/>
      <c r="UJD4" s="200"/>
      <c r="UJQ4" s="200"/>
      <c r="UKD4" s="200"/>
      <c r="UKQ4" s="200"/>
      <c r="ULD4" s="200"/>
      <c r="ULQ4" s="200"/>
      <c r="UMD4" s="200"/>
      <c r="UMQ4" s="200"/>
      <c r="UND4" s="200"/>
      <c r="UNQ4" s="200"/>
      <c r="UOD4" s="200"/>
      <c r="UOQ4" s="200"/>
      <c r="UPD4" s="200"/>
      <c r="UPQ4" s="200"/>
      <c r="UQD4" s="200"/>
      <c r="UQQ4" s="200"/>
      <c r="URD4" s="200"/>
      <c r="URQ4" s="200"/>
      <c r="USD4" s="200"/>
      <c r="USQ4" s="200"/>
      <c r="UTD4" s="200"/>
      <c r="UTQ4" s="200"/>
      <c r="UUD4" s="200"/>
      <c r="UUQ4" s="200"/>
      <c r="UVD4" s="200"/>
      <c r="UVQ4" s="200"/>
      <c r="UWD4" s="200"/>
      <c r="UWQ4" s="200"/>
      <c r="UXD4" s="200"/>
      <c r="UXQ4" s="200"/>
      <c r="UYD4" s="200"/>
      <c r="UYQ4" s="200"/>
      <c r="UZD4" s="200"/>
      <c r="UZQ4" s="200"/>
      <c r="VAD4" s="200"/>
      <c r="VAQ4" s="200"/>
      <c r="VBD4" s="200"/>
      <c r="VBQ4" s="200"/>
      <c r="VCD4" s="200"/>
      <c r="VCQ4" s="200"/>
      <c r="VDD4" s="200"/>
      <c r="VDQ4" s="200"/>
      <c r="VED4" s="200"/>
      <c r="VEQ4" s="200"/>
      <c r="VFD4" s="200"/>
      <c r="VFQ4" s="200"/>
      <c r="VGD4" s="200"/>
      <c r="VGQ4" s="200"/>
      <c r="VHD4" s="200"/>
      <c r="VHQ4" s="200"/>
      <c r="VID4" s="200"/>
      <c r="VIQ4" s="200"/>
      <c r="VJD4" s="200"/>
      <c r="VJQ4" s="200"/>
      <c r="VKD4" s="200"/>
      <c r="VKQ4" s="200"/>
      <c r="VLD4" s="200"/>
      <c r="VLQ4" s="200"/>
      <c r="VMD4" s="200"/>
      <c r="VMQ4" s="200"/>
      <c r="VND4" s="200"/>
      <c r="VNQ4" s="200"/>
      <c r="VOD4" s="200"/>
      <c r="VOQ4" s="200"/>
      <c r="VPD4" s="200"/>
      <c r="VPQ4" s="200"/>
      <c r="VQD4" s="200"/>
      <c r="VQQ4" s="200"/>
      <c r="VRD4" s="200"/>
      <c r="VRQ4" s="200"/>
      <c r="VSD4" s="200"/>
      <c r="VSQ4" s="200"/>
      <c r="VTD4" s="200"/>
      <c r="VTQ4" s="200"/>
      <c r="VUD4" s="200"/>
      <c r="VUQ4" s="200"/>
      <c r="VVD4" s="200"/>
      <c r="VVQ4" s="200"/>
      <c r="VWD4" s="200"/>
      <c r="VWQ4" s="200"/>
      <c r="VXD4" s="200"/>
      <c r="VXQ4" s="200"/>
      <c r="VYD4" s="200"/>
      <c r="VYQ4" s="200"/>
      <c r="VZD4" s="200"/>
      <c r="VZQ4" s="200"/>
      <c r="WAD4" s="200"/>
      <c r="WAQ4" s="200"/>
      <c r="WBD4" s="200"/>
      <c r="WBQ4" s="200"/>
      <c r="WCD4" s="200"/>
      <c r="WCQ4" s="200"/>
      <c r="WDD4" s="200"/>
      <c r="WDQ4" s="200"/>
      <c r="WED4" s="200"/>
      <c r="WEQ4" s="200"/>
      <c r="WFD4" s="200"/>
      <c r="WFQ4" s="200"/>
      <c r="WGD4" s="200"/>
      <c r="WGQ4" s="200"/>
      <c r="WHD4" s="200"/>
      <c r="WHQ4" s="200"/>
      <c r="WID4" s="200"/>
      <c r="WIQ4" s="200"/>
      <c r="WJD4" s="200"/>
      <c r="WJQ4" s="200"/>
      <c r="WKD4" s="200"/>
      <c r="WKQ4" s="200"/>
      <c r="WLD4" s="200"/>
      <c r="WLQ4" s="200"/>
      <c r="WMD4" s="200"/>
      <c r="WMQ4" s="200"/>
      <c r="WND4" s="200"/>
      <c r="WNQ4" s="200"/>
      <c r="WOD4" s="200"/>
      <c r="WOQ4" s="200"/>
      <c r="WPD4" s="200"/>
      <c r="WPQ4" s="200"/>
      <c r="WQD4" s="200"/>
      <c r="WQQ4" s="200"/>
      <c r="WRD4" s="200"/>
      <c r="WRQ4" s="200"/>
      <c r="WSD4" s="200"/>
      <c r="WSQ4" s="200"/>
      <c r="WTD4" s="200"/>
      <c r="WTQ4" s="200"/>
      <c r="WUD4" s="200"/>
      <c r="WUQ4" s="200"/>
      <c r="WVD4" s="200"/>
      <c r="WVQ4" s="200"/>
      <c r="WWD4" s="200"/>
      <c r="WWQ4" s="200"/>
      <c r="WXD4" s="200"/>
      <c r="WXQ4" s="200"/>
      <c r="WYD4" s="200"/>
      <c r="WYQ4" s="200"/>
      <c r="WZD4" s="200"/>
      <c r="WZQ4" s="200"/>
      <c r="XAD4" s="200"/>
      <c r="XAQ4" s="200"/>
      <c r="XBD4" s="200"/>
      <c r="XBQ4" s="200"/>
      <c r="XCD4" s="200"/>
      <c r="XCQ4" s="200"/>
      <c r="XDD4" s="200"/>
      <c r="XDQ4" s="200"/>
      <c r="XED4" s="200"/>
      <c r="XEQ4" s="200"/>
      <c r="XFD4" s="200"/>
    </row>
    <row r="5" spans="1:1018 1031:2045 2058:3072 3085:4086 4099:5113 5126:6140 6153:7167 7180:8181 8194:9208 9221:10235 10248:11262 11275:12276 12289:13303 13316:14330 14343:15357 15370:16384" ht="13" customHeight="1">
      <c r="A5" s="198"/>
      <c r="B5" s="259" t="str">
        <f>IF('Summary | Sumário'!D$6=Names!B$3,Names!AC4,Names!AD4)</f>
        <v>Interchange</v>
      </c>
      <c r="C5" s="281">
        <v>58152</v>
      </c>
      <c r="D5" s="281">
        <v>137863</v>
      </c>
      <c r="E5" s="281">
        <v>369340</v>
      </c>
      <c r="F5" s="281">
        <v>617552</v>
      </c>
      <c r="G5" s="281">
        <v>820630</v>
      </c>
      <c r="H5" s="281">
        <v>1131024.4148299999</v>
      </c>
      <c r="I5" s="202"/>
      <c r="J5" s="281">
        <v>61188</v>
      </c>
      <c r="K5" s="281">
        <v>78212</v>
      </c>
      <c r="L5" s="281">
        <v>99723</v>
      </c>
      <c r="M5" s="281">
        <v>130217</v>
      </c>
      <c r="N5" s="281">
        <v>127049</v>
      </c>
      <c r="O5" s="281">
        <v>149403</v>
      </c>
      <c r="P5" s="281">
        <v>161418</v>
      </c>
      <c r="Q5" s="281">
        <v>179682</v>
      </c>
      <c r="R5" s="281">
        <v>174929</v>
      </c>
      <c r="S5" s="281">
        <v>185608</v>
      </c>
      <c r="T5" s="281">
        <v>214415</v>
      </c>
      <c r="U5" s="281">
        <v>245678</v>
      </c>
      <c r="V5" s="281">
        <v>241890.53451</v>
      </c>
      <c r="W5" s="281">
        <v>254700.68423000001</v>
      </c>
      <c r="X5" s="281">
        <v>294983.18956000003</v>
      </c>
      <c r="Y5" s="281">
        <v>339450.0065299999</v>
      </c>
      <c r="Z5" s="281">
        <v>308341</v>
      </c>
      <c r="AA5" s="202"/>
      <c r="AB5" s="354">
        <f>Z5/Y5-1</f>
        <v>-9.164532606144038E-2</v>
      </c>
      <c r="AC5" s="354">
        <f>Z5/V5-1</f>
        <v>0.27471296313685589</v>
      </c>
      <c r="AD5" s="202"/>
    </row>
    <row r="6" spans="1:1018 1031:2045 2058:3072 3085:4086 4099:5113 5126:6140 6153:7167 7180:8181 8194:9208 9221:10235 10248:11262 11275:12276 12289:13303 13316:14330 14343:15357 15370:16384" ht="13" customHeight="1">
      <c r="A6" s="198"/>
      <c r="B6" s="15" t="str">
        <f>IF('Summary | Sumário'!D$6=Names!B$3,Names!AC40,Names!AD40)</f>
        <v>Commission and brokerage fees</v>
      </c>
      <c r="C6" s="202">
        <v>18870</v>
      </c>
      <c r="D6" s="202">
        <v>110640</v>
      </c>
      <c r="E6" s="202">
        <v>314586</v>
      </c>
      <c r="F6" s="202">
        <v>523889</v>
      </c>
      <c r="G6" s="202">
        <v>536580</v>
      </c>
      <c r="H6" s="202">
        <v>785975.55267</v>
      </c>
      <c r="I6" s="202"/>
      <c r="J6" s="202">
        <v>57439.66</v>
      </c>
      <c r="K6" s="202">
        <v>71617</v>
      </c>
      <c r="L6" s="202">
        <v>78731</v>
      </c>
      <c r="M6" s="202">
        <v>106798.34</v>
      </c>
      <c r="N6" s="202">
        <v>120069</v>
      </c>
      <c r="O6" s="202">
        <v>134103</v>
      </c>
      <c r="P6" s="202">
        <v>122675</v>
      </c>
      <c r="Q6" s="202">
        <v>147042</v>
      </c>
      <c r="R6" s="202">
        <v>132652</v>
      </c>
      <c r="S6" s="202">
        <v>116633</v>
      </c>
      <c r="T6" s="202">
        <v>142831</v>
      </c>
      <c r="U6" s="202">
        <v>144464</v>
      </c>
      <c r="V6" s="202">
        <v>146067.27165041512</v>
      </c>
      <c r="W6" s="202">
        <v>189250.16493492996</v>
      </c>
      <c r="X6" s="202">
        <v>221396.29507507</v>
      </c>
      <c r="Y6" s="202">
        <v>229261.82100958494</v>
      </c>
      <c r="Z6" s="202">
        <v>193621</v>
      </c>
      <c r="AA6" s="202"/>
      <c r="AB6" s="355">
        <f t="shared" ref="AB6:AB13" si="0">Z6/Y6-1</f>
        <v>-0.155459033050666</v>
      </c>
      <c r="AC6" s="355">
        <f t="shared" ref="AC6:AC13" si="1">Z6/V6-1</f>
        <v>0.32556046137012751</v>
      </c>
      <c r="AD6" s="202"/>
    </row>
    <row r="7" spans="1:1018 1031:2045 2058:3072 3085:4086 4099:5113 5126:6140 6153:7167 7180:8181 8194:9208 9221:10235 10248:11262 11275:12276 12289:13303 13316:14330 14343:15357 15370:16384" ht="13" customHeight="1">
      <c r="A7" s="198"/>
      <c r="B7" s="21" t="str">
        <f>IF('Summary | Sumário'!D$6=Names!B$3,Names!AC39,Names!AD39)</f>
        <v>Banking and credit operations</v>
      </c>
      <c r="C7" s="201">
        <v>29397</v>
      </c>
      <c r="D7" s="201">
        <v>40436</v>
      </c>
      <c r="E7" s="201">
        <v>50992</v>
      </c>
      <c r="F7" s="201">
        <v>62544</v>
      </c>
      <c r="G7" s="201">
        <v>89507</v>
      </c>
      <c r="H7" s="201">
        <v>108135</v>
      </c>
      <c r="I7" s="202"/>
      <c r="J7" s="201">
        <v>11035</v>
      </c>
      <c r="K7" s="201">
        <v>11281</v>
      </c>
      <c r="L7" s="201">
        <v>13664</v>
      </c>
      <c r="M7" s="201">
        <v>15012</v>
      </c>
      <c r="N7" s="201">
        <v>12254</v>
      </c>
      <c r="O7" s="201">
        <v>16155</v>
      </c>
      <c r="P7" s="201">
        <v>16837</v>
      </c>
      <c r="Q7" s="201">
        <v>17298</v>
      </c>
      <c r="R7" s="201">
        <v>14541</v>
      </c>
      <c r="S7" s="201">
        <v>21875.4</v>
      </c>
      <c r="T7" s="201">
        <v>24030</v>
      </c>
      <c r="U7" s="201">
        <v>29060.6</v>
      </c>
      <c r="V7" s="201">
        <v>25837.612680000002</v>
      </c>
      <c r="W7" s="201">
        <v>27809.559130000001</v>
      </c>
      <c r="X7" s="201">
        <v>26119.440870000002</v>
      </c>
      <c r="Y7" s="201">
        <v>28368.387319999994</v>
      </c>
      <c r="Z7" s="201">
        <v>11897</v>
      </c>
      <c r="AA7" s="202"/>
      <c r="AB7" s="356">
        <f t="shared" si="0"/>
        <v>-0.58062473323562891</v>
      </c>
      <c r="AC7" s="356">
        <f t="shared" si="1"/>
        <v>-0.53954724272149746</v>
      </c>
      <c r="AD7" s="202"/>
    </row>
    <row r="8" spans="1:1018 1031:2045 2058:3072 3085:4086 4099:5113 5126:6140 6153:7167 7180:8181 8194:9208 9221:10235 10248:11262 11275:12276 12289:13303 13316:14330 14343:15357 15370:16384" ht="13" customHeight="1">
      <c r="A8" s="198"/>
      <c r="B8" s="15" t="str">
        <f>IF('Summary | Sumário'!D$6=Names!B$3,Names!AC8,Names!AD8)</f>
        <v>Other</v>
      </c>
      <c r="C8" s="202">
        <v>4271</v>
      </c>
      <c r="D8" s="202">
        <v>6005</v>
      </c>
      <c r="E8" s="202">
        <v>9780</v>
      </c>
      <c r="F8" s="202">
        <v>18059</v>
      </c>
      <c r="G8" s="202">
        <v>69945</v>
      </c>
      <c r="H8" s="202">
        <v>90813.390399400101</v>
      </c>
      <c r="I8" s="202"/>
      <c r="J8" s="202">
        <v>1891</v>
      </c>
      <c r="K8" s="202">
        <v>2826</v>
      </c>
      <c r="L8" s="202">
        <v>2715</v>
      </c>
      <c r="M8" s="202">
        <v>2348</v>
      </c>
      <c r="N8" s="202">
        <v>5875</v>
      </c>
      <c r="O8" s="202">
        <v>5182</v>
      </c>
      <c r="P8" s="202">
        <v>3516</v>
      </c>
      <c r="Q8" s="202">
        <v>3486</v>
      </c>
      <c r="R8" s="202">
        <v>7279</v>
      </c>
      <c r="S8" s="202">
        <v>20925</v>
      </c>
      <c r="T8" s="202">
        <v>20957</v>
      </c>
      <c r="U8" s="202">
        <v>20784</v>
      </c>
      <c r="V8" s="202">
        <v>25279.820079759389</v>
      </c>
      <c r="W8" s="202">
        <v>17465.699248099983</v>
      </c>
      <c r="X8" s="202">
        <v>24324.045841900101</v>
      </c>
      <c r="Y8" s="202">
        <v>23743.825229640628</v>
      </c>
      <c r="Z8" s="202">
        <v>16560</v>
      </c>
      <c r="AA8" s="202"/>
      <c r="AB8" s="355">
        <f t="shared" si="0"/>
        <v>-0.30255551328236252</v>
      </c>
      <c r="AC8" s="355">
        <f t="shared" si="1"/>
        <v>-0.34493204667785682</v>
      </c>
      <c r="AD8" s="202"/>
    </row>
    <row r="9" spans="1:1018 1031:2045 2058:3072 3085:4086 4099:5113 5126:6140 6153:7167 7180:8181 8194:9208 9221:10235 10248:11262 11275:12276 12289:13303 13316:14330 14343:15357 15370:16384" ht="13" customHeight="1">
      <c r="A9" s="198"/>
      <c r="B9" s="21" t="str">
        <f>IF('Summary | Sumário'!D$6=Names!B$3,Names!AC38,Names!AD38)</f>
        <v>Fund managament and investment fees</v>
      </c>
      <c r="C9" s="201">
        <v>19767</v>
      </c>
      <c r="D9" s="201">
        <v>22177</v>
      </c>
      <c r="E9" s="201">
        <v>49234</v>
      </c>
      <c r="F9" s="201">
        <v>67433</v>
      </c>
      <c r="G9" s="201">
        <v>90772</v>
      </c>
      <c r="H9" s="201">
        <v>124127.8705302</v>
      </c>
      <c r="I9" s="202"/>
      <c r="J9" s="201">
        <v>7894</v>
      </c>
      <c r="K9" s="201">
        <v>7159</v>
      </c>
      <c r="L9" s="201">
        <v>20258</v>
      </c>
      <c r="M9" s="201">
        <v>13923</v>
      </c>
      <c r="N9" s="201">
        <v>23514</v>
      </c>
      <c r="O9" s="201">
        <v>18922</v>
      </c>
      <c r="P9" s="201">
        <v>22407</v>
      </c>
      <c r="Q9" s="201">
        <v>2590</v>
      </c>
      <c r="R9" s="201">
        <v>20220</v>
      </c>
      <c r="S9" s="201">
        <v>18062</v>
      </c>
      <c r="T9" s="201">
        <v>20848</v>
      </c>
      <c r="U9" s="201">
        <v>31642</v>
      </c>
      <c r="V9" s="201">
        <v>28732</v>
      </c>
      <c r="W9" s="201">
        <v>27595.525853990002</v>
      </c>
      <c r="X9" s="201">
        <v>35583.665756010007</v>
      </c>
      <c r="Y9" s="201">
        <v>32216.678920199993</v>
      </c>
      <c r="Z9" s="201">
        <v>33601</v>
      </c>
      <c r="AA9" s="202"/>
      <c r="AB9" s="356">
        <f t="shared" si="0"/>
        <v>4.2969080805285387E-2</v>
      </c>
      <c r="AC9" s="356">
        <f t="shared" si="1"/>
        <v>0.16946262007517743</v>
      </c>
      <c r="AD9" s="202"/>
    </row>
    <row r="10" spans="1:1018 1031:2045 2058:3072 3085:4086 4099:5113 5126:6140 6153:7167 7180:8181 8194:9208 9221:10235 10248:11262 11275:12276 12289:13303 13316:14330 14343:15357 15370:16384" ht="13" customHeight="1">
      <c r="A10" s="198"/>
      <c r="B10" s="15" t="str">
        <f>IF('Summary | Sumário'!D$6=Names!B$3,Names!AC10,Names!AD10)</f>
        <v>Cashback expenses</v>
      </c>
      <c r="C10" s="202">
        <v>0</v>
      </c>
      <c r="D10" s="202">
        <v>-59976</v>
      </c>
      <c r="E10" s="202">
        <v>-251363</v>
      </c>
      <c r="F10" s="202">
        <v>-321438</v>
      </c>
      <c r="G10" s="202">
        <v>-236482</v>
      </c>
      <c r="H10" s="202">
        <v>-360561.95250999997</v>
      </c>
      <c r="I10" s="202"/>
      <c r="J10" s="202">
        <v>-38482.660000000003</v>
      </c>
      <c r="K10" s="202">
        <v>-60184</v>
      </c>
      <c r="L10" s="202">
        <v>-65808</v>
      </c>
      <c r="M10" s="202">
        <v>-86888.34</v>
      </c>
      <c r="N10" s="202">
        <v>-82542</v>
      </c>
      <c r="O10" s="202">
        <v>-85250</v>
      </c>
      <c r="P10" s="202">
        <v>-76420</v>
      </c>
      <c r="Q10" s="202">
        <v>-77226</v>
      </c>
      <c r="R10" s="202">
        <v>-67268</v>
      </c>
      <c r="S10" s="202">
        <v>-58005</v>
      </c>
      <c r="T10" s="202">
        <v>-48391</v>
      </c>
      <c r="U10" s="202">
        <v>-62818</v>
      </c>
      <c r="V10" s="202">
        <v>-63381.686999999998</v>
      </c>
      <c r="W10" s="202">
        <v>-91044.550029999999</v>
      </c>
      <c r="X10" s="202">
        <v>-104280.54006</v>
      </c>
      <c r="Y10" s="202">
        <v>-101855.17541999999</v>
      </c>
      <c r="Z10" s="202">
        <v>-68120</v>
      </c>
      <c r="AA10" s="202"/>
      <c r="AB10" s="355">
        <f t="shared" si="0"/>
        <v>-0.33120727818584506</v>
      </c>
      <c r="AC10" s="355">
        <f t="shared" si="1"/>
        <v>7.4758391962649995E-2</v>
      </c>
      <c r="AD10" s="202"/>
    </row>
    <row r="11" spans="1:1018 1031:2045 2058:3072 3085:4086 4099:5113 5126:6140 6153:7167 7180:8181 8194:9208 9221:10235 10248:11262 11275:12276 12289:13303 13316:14330 14343:15357 15370:16384" ht="13" customHeight="1">
      <c r="A11" s="198"/>
      <c r="B11" s="21" t="str">
        <f>IF('Summary | Sumário'!D$6=Names!B$3,Names!AC11,Names!AD11)</f>
        <v>Inter Loop</v>
      </c>
      <c r="C11" s="201" t="s">
        <v>1182</v>
      </c>
      <c r="D11" s="201" t="s">
        <v>1182</v>
      </c>
      <c r="E11" s="201" t="s">
        <v>1182</v>
      </c>
      <c r="F11" s="201" t="s">
        <v>1182</v>
      </c>
      <c r="G11" s="201" t="s">
        <v>1182</v>
      </c>
      <c r="H11" s="201" t="s">
        <v>1182</v>
      </c>
      <c r="I11" s="202"/>
      <c r="J11" s="201" t="s">
        <v>1182</v>
      </c>
      <c r="K11" s="201" t="s">
        <v>1182</v>
      </c>
      <c r="L11" s="201" t="s">
        <v>1182</v>
      </c>
      <c r="M11" s="201" t="s">
        <v>1182</v>
      </c>
      <c r="N11" s="201" t="s">
        <v>1182</v>
      </c>
      <c r="O11" s="201" t="s">
        <v>1182</v>
      </c>
      <c r="P11" s="201" t="s">
        <v>1182</v>
      </c>
      <c r="Q11" s="201" t="s">
        <v>1182</v>
      </c>
      <c r="R11" s="201" t="s">
        <v>1182</v>
      </c>
      <c r="S11" s="201" t="s">
        <v>1182</v>
      </c>
      <c r="T11" s="201" t="s">
        <v>1182</v>
      </c>
      <c r="U11" s="201" t="s">
        <v>1182</v>
      </c>
      <c r="V11" s="201" t="s">
        <v>1182</v>
      </c>
      <c r="W11" s="201" t="s">
        <v>1182</v>
      </c>
      <c r="X11" s="201" t="s">
        <v>1182</v>
      </c>
      <c r="Y11" s="201" t="s">
        <v>1182</v>
      </c>
      <c r="Z11" s="201" t="s">
        <v>1182</v>
      </c>
      <c r="AA11" s="202"/>
      <c r="AB11" s="356" t="e">
        <f t="shared" si="0"/>
        <v>#VALUE!</v>
      </c>
      <c r="AC11" s="356" t="e">
        <f t="shared" si="1"/>
        <v>#VALUE!</v>
      </c>
      <c r="AD11" s="202"/>
    </row>
    <row r="12" spans="1:1018 1031:2045 2058:3072 3085:4086 4099:5113 5126:6140 6153:7167 7180:8181 8194:9208 9221:10235 10248:11262 11275:12276 12289:13303 13316:14330 14343:15357 15370:16384" ht="13" customHeight="1">
      <c r="A12" s="198"/>
      <c r="B12" s="15" t="str">
        <f>IF('Summary | Sumário'!D$6=Names!B$3,Names!AC12,Names!AD12)</f>
        <v>Expenses from services and commissions</v>
      </c>
      <c r="C12" s="202">
        <v>-56627.339</v>
      </c>
      <c r="D12" s="202">
        <v>-71611</v>
      </c>
      <c r="E12" s="202">
        <v>-100297</v>
      </c>
      <c r="F12" s="202">
        <v>-129233</v>
      </c>
      <c r="G12" s="202">
        <v>-135582</v>
      </c>
      <c r="H12" s="202">
        <v>-143430.21100000001</v>
      </c>
      <c r="I12" s="202"/>
      <c r="J12" s="202">
        <v>-23279</v>
      </c>
      <c r="K12" s="202">
        <v>-21841</v>
      </c>
      <c r="L12" s="202">
        <v>-26430</v>
      </c>
      <c r="M12" s="202">
        <v>-28747</v>
      </c>
      <c r="N12" s="202">
        <v>-28516</v>
      </c>
      <c r="O12" s="202">
        <v>-33954</v>
      </c>
      <c r="P12" s="202">
        <v>-33404</v>
      </c>
      <c r="Q12" s="202">
        <v>-33359</v>
      </c>
      <c r="R12" s="202">
        <v>-35678</v>
      </c>
      <c r="S12" s="202">
        <v>-31723</v>
      </c>
      <c r="T12" s="202">
        <v>-32271</v>
      </c>
      <c r="U12" s="202">
        <v>-35910</v>
      </c>
      <c r="V12" s="202">
        <v>-34021.773478642281</v>
      </c>
      <c r="W12" s="202">
        <v>-32942.008999999998</v>
      </c>
      <c r="X12" s="202">
        <v>-37676.508000000002</v>
      </c>
      <c r="Y12" s="202">
        <v>-38789.920521357737</v>
      </c>
      <c r="Z12" s="202">
        <v>-40810.6</v>
      </c>
      <c r="AA12" s="202"/>
      <c r="AB12" s="355">
        <f t="shared" si="0"/>
        <v>5.2092900719651558E-2</v>
      </c>
      <c r="AC12" s="355">
        <f t="shared" si="1"/>
        <v>0.19954358127801641</v>
      </c>
      <c r="AD12" s="202"/>
      <c r="AE12" s="175"/>
    </row>
    <row r="13" spans="1:1018 1031:2045 2058:3072 3085:4086 4099:5113 5126:6140 6153:7167 7180:8181 8194:9208 9221:10235 10248:11262 11275:12276 12289:13303 13316:14330 14343:15357 15370:16384" ht="13" customHeight="1">
      <c r="A13" s="198"/>
      <c r="B13" s="286" t="str">
        <f>IF('Summary | Sumário'!D$6=Names!B$3,Names!AC13,Names!AD13)</f>
        <v>Net result from services and commissions</v>
      </c>
      <c r="C13" s="270">
        <f>SUM(C5:C12)</f>
        <v>73829.660999999993</v>
      </c>
      <c r="D13" s="270">
        <f>SUM(D5:D12)</f>
        <v>185534</v>
      </c>
      <c r="E13" s="270">
        <f>SUM(E5:E12)</f>
        <v>442272</v>
      </c>
      <c r="F13" s="270">
        <f>SUM(F5:F12)</f>
        <v>838806</v>
      </c>
      <c r="G13" s="270">
        <f t="shared" ref="G13" si="2">SUM(R13:U13)</f>
        <v>1235370</v>
      </c>
      <c r="H13" s="270">
        <f>SUM(V13:Y13)</f>
        <v>1736084.0649195998</v>
      </c>
      <c r="I13" s="214"/>
      <c r="J13" s="270">
        <f t="shared" ref="J13:V13" si="3">SUM(J5:J12)</f>
        <v>77686</v>
      </c>
      <c r="K13" s="270">
        <f t="shared" si="3"/>
        <v>89070</v>
      </c>
      <c r="L13" s="270">
        <f t="shared" si="3"/>
        <v>122853</v>
      </c>
      <c r="M13" s="270">
        <f t="shared" si="3"/>
        <v>152662.99999999997</v>
      </c>
      <c r="N13" s="270">
        <f t="shared" si="3"/>
        <v>177703</v>
      </c>
      <c r="O13" s="270">
        <f t="shared" si="3"/>
        <v>204561</v>
      </c>
      <c r="P13" s="270">
        <f t="shared" si="3"/>
        <v>217029</v>
      </c>
      <c r="Q13" s="270">
        <f t="shared" si="3"/>
        <v>239513</v>
      </c>
      <c r="R13" s="270">
        <f t="shared" si="3"/>
        <v>246675</v>
      </c>
      <c r="S13" s="270">
        <f t="shared" si="3"/>
        <v>273375.40000000002</v>
      </c>
      <c r="T13" s="270">
        <f t="shared" si="3"/>
        <v>342419</v>
      </c>
      <c r="U13" s="270">
        <f t="shared" si="3"/>
        <v>372900.6</v>
      </c>
      <c r="V13" s="270">
        <f t="shared" si="3"/>
        <v>370403.77844153228</v>
      </c>
      <c r="W13" s="270">
        <f t="shared" ref="W13:X13" si="4">SUM(W5:W12)</f>
        <v>392835.07436701993</v>
      </c>
      <c r="X13" s="270">
        <f t="shared" si="4"/>
        <v>460449.58904297999</v>
      </c>
      <c r="Y13" s="270">
        <f t="shared" ref="Y13:Z13" si="5">SUM(Y5:Y12)</f>
        <v>512395.62306806765</v>
      </c>
      <c r="Z13" s="270">
        <f t="shared" si="5"/>
        <v>455089.4</v>
      </c>
      <c r="AA13" s="214"/>
      <c r="AB13" s="357">
        <f t="shared" si="0"/>
        <v>-0.11183979817184142</v>
      </c>
      <c r="AC13" s="357">
        <f t="shared" si="1"/>
        <v>0.22863055532203558</v>
      </c>
      <c r="AD13" s="202"/>
    </row>
    <row r="14" spans="1:1018 1031:2045 2058:3072 3085:4086 4099:5113 5126:6140 6153:7167 7180:8181 8194:9208 9221:10235 10248:11262 11275:12276 12289:13303 13316:14330 14343:15357 15370:16384" ht="13" customHeight="1">
      <c r="A14" s="198"/>
      <c r="B14" s="508"/>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row>
    <row r="15" spans="1:1018 1031:2045 2058:3072 3085:4086 4099:5113 5126:6140 6153:7167 7180:8181 8194:9208 9221:10235 10248:11262 11275:12276 12289:13303 13316:14330 14343:15357 15370:16384" ht="13" customHeight="1">
      <c r="A15" s="198"/>
      <c r="B15" s="262" t="str">
        <f>IF('Summary | Sumário'!D$6=Names!B$3,Names!AC15,Names!AD15)</f>
        <v>Other revenues + foreign exchange</v>
      </c>
      <c r="C15" s="159"/>
      <c r="D15" s="159"/>
      <c r="E15" s="159"/>
      <c r="F15" s="159"/>
      <c r="G15" s="159"/>
      <c r="H15" s="159"/>
      <c r="I15" s="164"/>
      <c r="J15" s="159"/>
      <c r="K15" s="159"/>
      <c r="L15" s="159"/>
      <c r="M15" s="159"/>
      <c r="N15" s="159"/>
      <c r="O15" s="159"/>
      <c r="P15" s="159"/>
      <c r="Q15" s="159"/>
      <c r="R15" s="159"/>
      <c r="S15" s="159"/>
      <c r="T15" s="159"/>
      <c r="U15" s="159"/>
      <c r="V15" s="159"/>
      <c r="W15" s="159"/>
      <c r="X15" s="159"/>
      <c r="Y15" s="159"/>
      <c r="Z15" s="159"/>
      <c r="AA15" s="164"/>
      <c r="AB15" s="159"/>
      <c r="AC15" s="159"/>
      <c r="AD15" s="202"/>
    </row>
    <row r="16" spans="1:1018 1031:2045 2058:3072 3085:4086 4099:5113 5126:6140 6153:7167 7180:8181 8194:9208 9221:10235 10248:11262 11275:12276 12289:13303 13316:14330 14343:15357 15370:16384" ht="13" customHeight="1">
      <c r="A16" s="198"/>
      <c r="B16" s="264" t="str">
        <f>IF('Summary | Sumário'!D$6=Names!B$3,Names!AC21,Names!AD21)</f>
        <v>Other revenues</v>
      </c>
      <c r="C16" s="287">
        <f t="shared" ref="C16" si="6">SUM(C17:C20)</f>
        <v>46867</v>
      </c>
      <c r="D16" s="287">
        <f t="shared" ref="D16" si="7">SUM(D17:D20)</f>
        <v>92564</v>
      </c>
      <c r="E16" s="287">
        <f t="shared" ref="E16" si="8">SUM(E17:E20)</f>
        <v>165415</v>
      </c>
      <c r="F16" s="287">
        <f t="shared" ref="F16" si="9">SUM(F17:F20)</f>
        <v>288682</v>
      </c>
      <c r="G16" s="287">
        <f t="shared" ref="G16" si="10">SUM(G17:G20)</f>
        <v>286980</v>
      </c>
      <c r="H16" s="287">
        <f t="shared" ref="H16:X16" si="11">SUM(H17:H20)</f>
        <v>333570.52926939994</v>
      </c>
      <c r="I16" s="202"/>
      <c r="J16" s="287">
        <f t="shared" si="11"/>
        <v>41623</v>
      </c>
      <c r="K16" s="287">
        <f t="shared" si="11"/>
        <v>69359</v>
      </c>
      <c r="L16" s="287">
        <f t="shared" si="11"/>
        <v>30496</v>
      </c>
      <c r="M16" s="287">
        <f t="shared" si="11"/>
        <v>23937</v>
      </c>
      <c r="N16" s="287">
        <f t="shared" si="11"/>
        <v>95374</v>
      </c>
      <c r="O16" s="287">
        <f t="shared" si="11"/>
        <v>85809</v>
      </c>
      <c r="P16" s="287">
        <f t="shared" si="11"/>
        <v>46550</v>
      </c>
      <c r="Q16" s="287">
        <f t="shared" si="11"/>
        <v>60949</v>
      </c>
      <c r="R16" s="287">
        <f t="shared" si="11"/>
        <v>50958</v>
      </c>
      <c r="S16" s="287">
        <f t="shared" si="11"/>
        <v>54967</v>
      </c>
      <c r="T16" s="287">
        <f t="shared" si="11"/>
        <v>104770.50028000001</v>
      </c>
      <c r="U16" s="287">
        <f t="shared" si="11"/>
        <v>76284.499719999993</v>
      </c>
      <c r="V16" s="287">
        <f t="shared" si="11"/>
        <v>68201</v>
      </c>
      <c r="W16" s="287">
        <f t="shared" si="11"/>
        <v>72531.218238679983</v>
      </c>
      <c r="X16" s="287">
        <f t="shared" si="11"/>
        <v>81802.620979938802</v>
      </c>
      <c r="Y16" s="287">
        <f>SUM(Y17:Y20)</f>
        <v>111035.69005078121</v>
      </c>
      <c r="Z16" s="287">
        <f>SUM(Z17:Z20)</f>
        <v>56093.4</v>
      </c>
      <c r="AA16" s="202"/>
      <c r="AB16" s="358">
        <f t="shared" ref="AB16:AB22" si="12">Z16/Y16-1</f>
        <v>-0.49481648671390099</v>
      </c>
      <c r="AC16" s="358">
        <f t="shared" ref="AC16:AC22" si="13">Z16/V16-1</f>
        <v>-0.17752818873623555</v>
      </c>
      <c r="AD16" s="202"/>
    </row>
    <row r="17" spans="1:30" ht="13" customHeight="1">
      <c r="A17" s="198"/>
      <c r="B17" s="99" t="str">
        <f>IF('Summary | Sumário'!D$6=Names!B$3,Names!AC42,Names!AD42)</f>
        <v>Credits from payables with credit card networks</v>
      </c>
      <c r="C17" s="201"/>
      <c r="D17" s="201"/>
      <c r="E17" s="201">
        <f>SUM(J17:M17)</f>
        <v>0</v>
      </c>
      <c r="F17" s="201">
        <f>SUM(N17:Q17)</f>
        <v>0</v>
      </c>
      <c r="G17" s="201">
        <f>SUM(R17:U17)</f>
        <v>52316.985379999998</v>
      </c>
      <c r="H17" s="201">
        <f>SUM(V17:Y17)</f>
        <v>81740</v>
      </c>
      <c r="I17" s="202"/>
      <c r="J17" s="201">
        <v>0</v>
      </c>
      <c r="K17" s="201">
        <v>0</v>
      </c>
      <c r="L17" s="201">
        <v>0</v>
      </c>
      <c r="M17" s="201">
        <v>0</v>
      </c>
      <c r="N17" s="201">
        <v>0</v>
      </c>
      <c r="O17" s="201">
        <v>0</v>
      </c>
      <c r="P17" s="201">
        <v>0</v>
      </c>
      <c r="Q17" s="201">
        <v>0</v>
      </c>
      <c r="R17" s="201">
        <v>0</v>
      </c>
      <c r="S17" s="201">
        <v>13028.933999999999</v>
      </c>
      <c r="T17" s="201">
        <v>14002.33604</v>
      </c>
      <c r="U17" s="201">
        <v>25285.715339999995</v>
      </c>
      <c r="V17" s="201">
        <v>17461.62442</v>
      </c>
      <c r="W17" s="201">
        <v>25175.659950000001</v>
      </c>
      <c r="X17" s="201">
        <v>16552.843199999996</v>
      </c>
      <c r="Y17" s="201">
        <v>22549.872430000003</v>
      </c>
      <c r="Z17" s="201">
        <v>35257</v>
      </c>
      <c r="AA17" s="202"/>
      <c r="AB17" s="356">
        <f t="shared" si="12"/>
        <v>0.56351217105311124</v>
      </c>
      <c r="AC17" s="356">
        <f t="shared" si="13"/>
        <v>1.0191134084648925</v>
      </c>
      <c r="AD17" s="202"/>
    </row>
    <row r="18" spans="1:30" ht="13" customHeight="1">
      <c r="A18" s="198"/>
      <c r="B18" s="492" t="str">
        <f>IF('Summary | Sumário'!D$6=Names!B$3,Names!AC16,Names!AD16)</f>
        <v>Performance fees</v>
      </c>
      <c r="C18" s="202">
        <v>24610</v>
      </c>
      <c r="D18" s="202">
        <v>75230</v>
      </c>
      <c r="E18" s="202">
        <f>SUM(J18:M18)</f>
        <v>102863</v>
      </c>
      <c r="F18" s="202">
        <f>SUM(N18:Q18)</f>
        <v>150401</v>
      </c>
      <c r="G18" s="202">
        <f>SUM(R18:U18)</f>
        <v>135260</v>
      </c>
      <c r="H18" s="202">
        <f>SUM(V18:Y18)</f>
        <v>73649.78379999999</v>
      </c>
      <c r="I18" s="202"/>
      <c r="J18" s="202">
        <v>29089</v>
      </c>
      <c r="K18" s="202">
        <v>45719</v>
      </c>
      <c r="L18" s="202">
        <v>18654</v>
      </c>
      <c r="M18" s="202">
        <v>9401</v>
      </c>
      <c r="N18" s="202">
        <v>40734</v>
      </c>
      <c r="O18" s="202">
        <v>52204</v>
      </c>
      <c r="P18" s="202">
        <v>30764</v>
      </c>
      <c r="Q18" s="202">
        <v>26699</v>
      </c>
      <c r="R18" s="202">
        <v>28285</v>
      </c>
      <c r="S18" s="202">
        <v>27910</v>
      </c>
      <c r="T18" s="202">
        <v>48644.500280000007</v>
      </c>
      <c r="U18" s="202">
        <v>30420.499719999993</v>
      </c>
      <c r="V18" s="202">
        <v>24264</v>
      </c>
      <c r="W18" s="202">
        <v>16726.843239999995</v>
      </c>
      <c r="X18" s="202">
        <v>14306.74461</v>
      </c>
      <c r="Y18" s="202">
        <v>18352.195949999994</v>
      </c>
      <c r="Z18" s="202">
        <v>9130.4</v>
      </c>
      <c r="AA18" s="202"/>
      <c r="AB18" s="355">
        <f t="shared" si="12"/>
        <v>-0.50249005487542198</v>
      </c>
      <c r="AC18" s="355">
        <f t="shared" si="13"/>
        <v>-0.62370590174744478</v>
      </c>
      <c r="AD18" s="202"/>
    </row>
    <row r="19" spans="1:30" ht="13" customHeight="1">
      <c r="A19" s="198"/>
      <c r="B19" s="99" t="str">
        <f>IF('Summary | Sumário'!D$6=Names!B$3,Names!AC17,Names!AD17)</f>
        <v>Capital gains (losses)</v>
      </c>
      <c r="C19" s="201">
        <v>0</v>
      </c>
      <c r="D19" s="201">
        <v>0</v>
      </c>
      <c r="E19" s="201">
        <f t="shared" ref="E19" si="14">SUM(J19:M19)</f>
        <v>29330</v>
      </c>
      <c r="F19" s="201">
        <f t="shared" ref="F19" si="15">SUM(N19:Q19)</f>
        <v>66363</v>
      </c>
      <c r="G19" s="201">
        <f t="shared" ref="G19" si="16">SUM(R19:U19)</f>
        <v>41785</v>
      </c>
      <c r="H19" s="201">
        <f t="shared" ref="H19:H21" si="17">SUM(V19:Y19)</f>
        <v>55538.273229999999</v>
      </c>
      <c r="I19" s="202"/>
      <c r="J19" s="201">
        <v>6837</v>
      </c>
      <c r="K19" s="201">
        <v>13917</v>
      </c>
      <c r="L19" s="201">
        <v>4248</v>
      </c>
      <c r="M19" s="201">
        <v>4328</v>
      </c>
      <c r="N19" s="201">
        <v>38486</v>
      </c>
      <c r="O19" s="201">
        <v>22428</v>
      </c>
      <c r="P19" s="201">
        <v>2651</v>
      </c>
      <c r="Q19" s="201">
        <v>2798</v>
      </c>
      <c r="R19" s="201">
        <v>2938</v>
      </c>
      <c r="S19" s="201">
        <v>6149</v>
      </c>
      <c r="T19" s="201">
        <v>25341</v>
      </c>
      <c r="U19" s="201">
        <v>7357</v>
      </c>
      <c r="V19" s="201">
        <v>3255</v>
      </c>
      <c r="W19" s="201">
        <v>5533.7366399999992</v>
      </c>
      <c r="X19" s="201">
        <v>7716.9919500000005</v>
      </c>
      <c r="Y19" s="201">
        <v>39032.54464</v>
      </c>
      <c r="Z19" s="201">
        <v>-1952</v>
      </c>
      <c r="AA19" s="202"/>
      <c r="AB19" s="356">
        <f t="shared" si="12"/>
        <v>-1.0500095501844278</v>
      </c>
      <c r="AC19" s="356">
        <f t="shared" si="13"/>
        <v>-1.5996927803379415</v>
      </c>
      <c r="AD19" s="202"/>
    </row>
    <row r="20" spans="1:30" ht="13" customHeight="1">
      <c r="B20" s="492" t="str">
        <f>IF('Summary | Sumário'!D$6=Names!B$3,Names!AC19,Names!AD19)</f>
        <v>Other revenue</v>
      </c>
      <c r="C20" s="202">
        <v>22257</v>
      </c>
      <c r="D20" s="202">
        <v>17334</v>
      </c>
      <c r="E20" s="202">
        <v>33222</v>
      </c>
      <c r="F20" s="202">
        <v>71918</v>
      </c>
      <c r="G20" s="202">
        <f>SUM(R20:U20)</f>
        <v>57618.014620000009</v>
      </c>
      <c r="H20" s="202">
        <f t="shared" si="17"/>
        <v>122642.4722394</v>
      </c>
      <c r="I20" s="202"/>
      <c r="J20" s="202">
        <v>5697</v>
      </c>
      <c r="K20" s="202">
        <v>9723</v>
      </c>
      <c r="L20" s="202">
        <v>7594</v>
      </c>
      <c r="M20" s="202">
        <v>10208</v>
      </c>
      <c r="N20" s="202">
        <v>16154</v>
      </c>
      <c r="O20" s="202">
        <v>11177</v>
      </c>
      <c r="P20" s="202">
        <v>13135</v>
      </c>
      <c r="Q20" s="202">
        <v>31452</v>
      </c>
      <c r="R20" s="202">
        <v>19735</v>
      </c>
      <c r="S20" s="202">
        <v>7879.0659999999989</v>
      </c>
      <c r="T20" s="202">
        <v>16782.663960000005</v>
      </c>
      <c r="U20" s="202">
        <v>13221.284660000005</v>
      </c>
      <c r="V20" s="202">
        <v>23220.37558</v>
      </c>
      <c r="W20" s="202">
        <v>25094.978408679988</v>
      </c>
      <c r="X20" s="202">
        <v>43226.041219938801</v>
      </c>
      <c r="Y20" s="202">
        <v>31101.07703078122</v>
      </c>
      <c r="Z20" s="202">
        <v>13658</v>
      </c>
      <c r="AA20" s="202"/>
      <c r="AB20" s="355">
        <f t="shared" si="12"/>
        <v>-0.56085122111744024</v>
      </c>
      <c r="AC20" s="355">
        <f t="shared" si="13"/>
        <v>-0.41180968615495583</v>
      </c>
    </row>
    <row r="21" spans="1:30" ht="13" customHeight="1">
      <c r="B21" s="21" t="str">
        <f>_xlfn.CONCAT("(+) ",IF('Summary | Sumário'!D$6=Names!B$3,Names!AC18,Names!AD18))</f>
        <v>(+) Foreign exchange</v>
      </c>
      <c r="C21" s="201">
        <v>5976</v>
      </c>
      <c r="D21" s="201">
        <v>17318</v>
      </c>
      <c r="E21" s="201">
        <f>SUM(J21:M21)</f>
        <v>24667</v>
      </c>
      <c r="F21" s="201">
        <f>SUM(N21:Q21)</f>
        <v>99780</v>
      </c>
      <c r="G21" s="201">
        <f>SUM(R21:U21)</f>
        <v>88708</v>
      </c>
      <c r="H21" s="201">
        <f t="shared" si="17"/>
        <v>74587.800272134002</v>
      </c>
      <c r="I21" s="202"/>
      <c r="J21" s="201">
        <v>5876</v>
      </c>
      <c r="K21" s="201">
        <v>6689</v>
      </c>
      <c r="L21" s="201">
        <v>5791</v>
      </c>
      <c r="M21" s="201">
        <v>6311</v>
      </c>
      <c r="N21" s="201">
        <v>17033</v>
      </c>
      <c r="O21" s="201">
        <v>25563</v>
      </c>
      <c r="P21" s="201">
        <v>31137</v>
      </c>
      <c r="Q21" s="201">
        <v>26047</v>
      </c>
      <c r="R21" s="201">
        <v>14919</v>
      </c>
      <c r="S21" s="201">
        <v>26191</v>
      </c>
      <c r="T21" s="201">
        <v>26659</v>
      </c>
      <c r="U21" s="201">
        <v>20939</v>
      </c>
      <c r="V21" s="201">
        <v>21756</v>
      </c>
      <c r="W21" s="201">
        <v>12197</v>
      </c>
      <c r="X21" s="201">
        <v>29585</v>
      </c>
      <c r="Y21" s="201">
        <v>11049.800272134002</v>
      </c>
      <c r="Z21" s="201">
        <v>16485.3</v>
      </c>
      <c r="AA21" s="202"/>
      <c r="AB21" s="356">
        <f t="shared" si="12"/>
        <v>0.49190931908276592</v>
      </c>
      <c r="AC21" s="356">
        <f t="shared" si="13"/>
        <v>-0.24226420297848872</v>
      </c>
    </row>
    <row r="22" spans="1:30" ht="13" customHeight="1">
      <c r="B22" s="509" t="str">
        <f>IF('Summary | Sumário'!D$6=Names!B$3,Names!AC15,Names!AD15)</f>
        <v>Other revenues + foreign exchange</v>
      </c>
      <c r="C22" s="272">
        <f t="shared" ref="C22" si="18">C16+C21</f>
        <v>52843</v>
      </c>
      <c r="D22" s="272">
        <f t="shared" ref="D22" si="19">D16+D21</f>
        <v>109882</v>
      </c>
      <c r="E22" s="272">
        <f t="shared" ref="E22" si="20">E16+E21</f>
        <v>190082</v>
      </c>
      <c r="F22" s="272">
        <f t="shared" ref="F22" si="21">F16+F21</f>
        <v>388462</v>
      </c>
      <c r="G22" s="272">
        <f t="shared" ref="G22" si="22">G16+G21</f>
        <v>375688</v>
      </c>
      <c r="H22" s="272">
        <f t="shared" ref="H22" si="23">H16+H21</f>
        <v>408158.32954153395</v>
      </c>
      <c r="I22" s="214"/>
      <c r="J22" s="272">
        <f t="shared" ref="J22:X22" si="24">J16+J21</f>
        <v>47499</v>
      </c>
      <c r="K22" s="272">
        <f t="shared" si="24"/>
        <v>76048</v>
      </c>
      <c r="L22" s="272">
        <f t="shared" si="24"/>
        <v>36287</v>
      </c>
      <c r="M22" s="272">
        <f t="shared" si="24"/>
        <v>30248</v>
      </c>
      <c r="N22" s="272">
        <f t="shared" si="24"/>
        <v>112407</v>
      </c>
      <c r="O22" s="272">
        <f t="shared" si="24"/>
        <v>111372</v>
      </c>
      <c r="P22" s="272">
        <f t="shared" si="24"/>
        <v>77687</v>
      </c>
      <c r="Q22" s="272">
        <f t="shared" si="24"/>
        <v>86996</v>
      </c>
      <c r="R22" s="272">
        <f t="shared" si="24"/>
        <v>65877</v>
      </c>
      <c r="S22" s="272">
        <f t="shared" si="24"/>
        <v>81158</v>
      </c>
      <c r="T22" s="272">
        <f t="shared" si="24"/>
        <v>131429.50028000001</v>
      </c>
      <c r="U22" s="272">
        <f t="shared" si="24"/>
        <v>97223.499719999993</v>
      </c>
      <c r="V22" s="272">
        <f t="shared" si="24"/>
        <v>89957</v>
      </c>
      <c r="W22" s="272">
        <f t="shared" si="24"/>
        <v>84728.218238679983</v>
      </c>
      <c r="X22" s="272">
        <f t="shared" si="24"/>
        <v>111387.6209799388</v>
      </c>
      <c r="Y22" s="272">
        <f>Y16+Y21</f>
        <v>122085.49032291521</v>
      </c>
      <c r="Z22" s="272">
        <f>Z16+Z21</f>
        <v>72578.7</v>
      </c>
      <c r="AA22" s="214"/>
      <c r="AB22" s="359">
        <f t="shared" si="12"/>
        <v>-0.40550920663848034</v>
      </c>
      <c r="AC22" s="359">
        <f t="shared" si="13"/>
        <v>-0.19318452149360255</v>
      </c>
    </row>
    <row r="23" spans="1:30" ht="13" customHeight="1">
      <c r="B23" s="7"/>
      <c r="C23" s="162"/>
      <c r="D23" s="162"/>
      <c r="E23" s="162"/>
      <c r="F23" s="162"/>
      <c r="G23" s="162"/>
      <c r="H23" s="162"/>
      <c r="J23" s="162"/>
      <c r="K23" s="162"/>
      <c r="L23" s="162"/>
      <c r="M23" s="162"/>
      <c r="N23" s="162"/>
      <c r="O23" s="162"/>
      <c r="P23" s="162"/>
      <c r="Q23" s="162"/>
      <c r="R23" s="162"/>
      <c r="S23" s="162"/>
      <c r="T23" s="162"/>
      <c r="U23" s="162"/>
      <c r="V23" s="162"/>
      <c r="W23" s="162"/>
      <c r="X23" s="162"/>
      <c r="Y23" s="162"/>
      <c r="Z23" s="162"/>
      <c r="AB23" s="162"/>
      <c r="AC23" s="162"/>
    </row>
    <row r="24" spans="1:30" ht="13" customHeight="1">
      <c r="B24" s="258" t="str">
        <f>IF('Summary | Sumário'!D$6=Names!B$3,Names!AC23,Names!AD23)</f>
        <v>Fee revenues</v>
      </c>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row>
    <row r="25" spans="1:30" ht="13" customHeight="1">
      <c r="B25" s="259" t="str">
        <f>IF('Summary | Sumário'!D$6=Names!B$3,Names!AC24,Names!AD24)</f>
        <v>Net result from services and commissions</v>
      </c>
      <c r="C25" s="281">
        <v>73829.660999999993</v>
      </c>
      <c r="D25" s="281">
        <v>185534</v>
      </c>
      <c r="E25" s="281">
        <f>SUM(J25:M25)</f>
        <v>442272</v>
      </c>
      <c r="F25" s="281">
        <f>SUM(N25:Q25)</f>
        <v>838806</v>
      </c>
      <c r="G25" s="281">
        <f t="shared" ref="G25:G27" si="25">SUM(R25:U25)</f>
        <v>1168800.6000000001</v>
      </c>
      <c r="H25" s="281">
        <f t="shared" ref="H25:H27" si="26">SUM(V25:Y25)</f>
        <v>1609850.2739999997</v>
      </c>
      <c r="I25" s="202"/>
      <c r="J25" s="281">
        <v>77686</v>
      </c>
      <c r="K25" s="281">
        <v>89070</v>
      </c>
      <c r="L25" s="281">
        <v>122853</v>
      </c>
      <c r="M25" s="281">
        <v>152663</v>
      </c>
      <c r="N25" s="281">
        <v>177703</v>
      </c>
      <c r="O25" s="281">
        <v>204561</v>
      </c>
      <c r="P25" s="281">
        <v>217029</v>
      </c>
      <c r="Q25" s="281">
        <v>239513</v>
      </c>
      <c r="R25" s="281">
        <v>246675</v>
      </c>
      <c r="S25" s="281">
        <v>266801</v>
      </c>
      <c r="T25" s="281">
        <v>315509</v>
      </c>
      <c r="U25" s="281">
        <v>339815.6</v>
      </c>
      <c r="V25" s="281">
        <v>340317.39485153224</v>
      </c>
      <c r="W25" s="281">
        <v>364200.86699999997</v>
      </c>
      <c r="X25" s="281">
        <v>429990.49199999997</v>
      </c>
      <c r="Y25" s="281">
        <v>475341.5201484678</v>
      </c>
      <c r="Z25" s="281">
        <v>419113.4</v>
      </c>
      <c r="AA25" s="202"/>
      <c r="AB25" s="354">
        <f t="shared" ref="AB25:AB27" si="27">Z25/Y25-1</f>
        <v>-0.11828994052719299</v>
      </c>
      <c r="AC25" s="354">
        <f t="shared" ref="AC25:AC27" si="28">Z25/V25-1</f>
        <v>0.23153681339986609</v>
      </c>
    </row>
    <row r="26" spans="1:30" ht="13" customHeight="1">
      <c r="A26" s="198"/>
      <c r="B26" s="15" t="str">
        <f>IF('Summary | Sumário'!D$6=Names!B$3,Names!AC15,Names!AD15)</f>
        <v>Other revenues + foreign exchange</v>
      </c>
      <c r="C26" s="202">
        <f>C22</f>
        <v>52843</v>
      </c>
      <c r="D26" s="202">
        <f t="shared" ref="D26:R26" si="29">D22</f>
        <v>109882</v>
      </c>
      <c r="E26" s="202">
        <f t="shared" si="29"/>
        <v>190082</v>
      </c>
      <c r="F26" s="202">
        <f t="shared" si="29"/>
        <v>388462</v>
      </c>
      <c r="G26" s="202">
        <f t="shared" si="25"/>
        <v>375688</v>
      </c>
      <c r="H26" s="202">
        <f t="shared" si="26"/>
        <v>408158.32954153401</v>
      </c>
      <c r="I26" s="202"/>
      <c r="J26" s="202">
        <f t="shared" si="29"/>
        <v>47499</v>
      </c>
      <c r="K26" s="202">
        <f t="shared" si="29"/>
        <v>76048</v>
      </c>
      <c r="L26" s="202">
        <f t="shared" si="29"/>
        <v>36287</v>
      </c>
      <c r="M26" s="202">
        <f t="shared" si="29"/>
        <v>30248</v>
      </c>
      <c r="N26" s="202">
        <f t="shared" si="29"/>
        <v>112407</v>
      </c>
      <c r="O26" s="202">
        <f t="shared" si="29"/>
        <v>111372</v>
      </c>
      <c r="P26" s="202">
        <f t="shared" si="29"/>
        <v>77687</v>
      </c>
      <c r="Q26" s="202">
        <f t="shared" si="29"/>
        <v>86996</v>
      </c>
      <c r="R26" s="202">
        <f t="shared" si="29"/>
        <v>65877</v>
      </c>
      <c r="S26" s="202">
        <f t="shared" ref="S26:T26" si="30">S22</f>
        <v>81158</v>
      </c>
      <c r="T26" s="202">
        <f t="shared" si="30"/>
        <v>131429.50028000001</v>
      </c>
      <c r="U26" s="202">
        <f t="shared" ref="U26:V26" si="31">U22</f>
        <v>97223.499719999993</v>
      </c>
      <c r="V26" s="202">
        <f t="shared" si="31"/>
        <v>89957</v>
      </c>
      <c r="W26" s="202">
        <f t="shared" ref="W26:X26" si="32">W22</f>
        <v>84728.218238679983</v>
      </c>
      <c r="X26" s="202">
        <f t="shared" si="32"/>
        <v>111387.6209799388</v>
      </c>
      <c r="Y26" s="202">
        <f t="shared" ref="Y26:Z26" si="33">Y22</f>
        <v>122085.49032291521</v>
      </c>
      <c r="Z26" s="202">
        <f t="shared" si="33"/>
        <v>72578.7</v>
      </c>
      <c r="AA26" s="202"/>
      <c r="AB26" s="355">
        <f t="shared" si="27"/>
        <v>-0.40550920663848034</v>
      </c>
      <c r="AC26" s="355">
        <f t="shared" si="28"/>
        <v>-0.19318452149360255</v>
      </c>
      <c r="AD26" s="202"/>
    </row>
    <row r="27" spans="1:30" ht="13" customHeight="1">
      <c r="B27" s="286" t="str">
        <f>IF('Summary | Sumário'!D$6=Names!B$3,Names!AC26,Names!AD26)</f>
        <v>Net fee revenues</v>
      </c>
      <c r="C27" s="270">
        <f>SUM(C25:C26)</f>
        <v>126672.66099999999</v>
      </c>
      <c r="D27" s="270">
        <f t="shared" ref="D27:R27" si="34">SUM(D25:D26)</f>
        <v>295416</v>
      </c>
      <c r="E27" s="270">
        <f t="shared" si="34"/>
        <v>632354</v>
      </c>
      <c r="F27" s="270">
        <f t="shared" si="34"/>
        <v>1227268</v>
      </c>
      <c r="G27" s="270">
        <f t="shared" si="25"/>
        <v>1544488.6</v>
      </c>
      <c r="H27" s="270">
        <f t="shared" si="26"/>
        <v>2018008.6035415339</v>
      </c>
      <c r="I27" s="214"/>
      <c r="J27" s="270">
        <f t="shared" si="34"/>
        <v>125185</v>
      </c>
      <c r="K27" s="270">
        <f t="shared" si="34"/>
        <v>165118</v>
      </c>
      <c r="L27" s="270">
        <f t="shared" si="34"/>
        <v>159140</v>
      </c>
      <c r="M27" s="270">
        <f t="shared" si="34"/>
        <v>182911</v>
      </c>
      <c r="N27" s="270">
        <f t="shared" si="34"/>
        <v>290110</v>
      </c>
      <c r="O27" s="270">
        <f t="shared" si="34"/>
        <v>315933</v>
      </c>
      <c r="P27" s="270">
        <f t="shared" si="34"/>
        <v>294716</v>
      </c>
      <c r="Q27" s="270">
        <f t="shared" si="34"/>
        <v>326509</v>
      </c>
      <c r="R27" s="270">
        <f t="shared" si="34"/>
        <v>312552</v>
      </c>
      <c r="S27" s="270">
        <f t="shared" ref="S27:T27" si="35">SUM(S25:S26)</f>
        <v>347959</v>
      </c>
      <c r="T27" s="270">
        <f t="shared" si="35"/>
        <v>446938.50028000004</v>
      </c>
      <c r="U27" s="270">
        <f t="shared" ref="U27:V27" si="36">SUM(U25:U26)</f>
        <v>437039.09971999994</v>
      </c>
      <c r="V27" s="270">
        <f t="shared" si="36"/>
        <v>430274.39485153224</v>
      </c>
      <c r="W27" s="270">
        <f t="shared" ref="W27:X27" si="37">SUM(W25:W26)</f>
        <v>448929.08523867995</v>
      </c>
      <c r="X27" s="270">
        <f t="shared" si="37"/>
        <v>541378.11297993874</v>
      </c>
      <c r="Y27" s="270">
        <f t="shared" ref="Y27:Z27" si="38">SUM(Y25:Y26)</f>
        <v>597427.01047138299</v>
      </c>
      <c r="Z27" s="270">
        <f t="shared" si="38"/>
        <v>491692.10000000003</v>
      </c>
      <c r="AA27" s="214"/>
      <c r="AB27" s="357">
        <f t="shared" si="27"/>
        <v>-0.17698381328282398</v>
      </c>
      <c r="AC27" s="357">
        <f t="shared" si="28"/>
        <v>0.14274078560882097</v>
      </c>
    </row>
    <row r="29" spans="1:30" ht="13" customHeight="1">
      <c r="B29" s="262" t="str">
        <f>IF('Summary | Sumário'!D$6=Names!B$3,Names!AC28,Names!AD28)</f>
        <v>Fee income ratio</v>
      </c>
      <c r="C29" s="159"/>
      <c r="D29" s="159"/>
      <c r="E29" s="159"/>
      <c r="F29" s="159"/>
      <c r="G29" s="159"/>
      <c r="H29" s="159"/>
      <c r="I29" s="164"/>
      <c r="J29" s="159"/>
      <c r="K29" s="159"/>
      <c r="L29" s="159"/>
      <c r="M29" s="159"/>
      <c r="N29" s="159"/>
      <c r="O29" s="159"/>
      <c r="P29" s="159"/>
      <c r="Q29" s="159"/>
      <c r="R29" s="159"/>
      <c r="S29" s="159"/>
      <c r="T29" s="159"/>
      <c r="U29" s="159"/>
      <c r="V29" s="159"/>
      <c r="W29" s="159"/>
      <c r="X29" s="159"/>
      <c r="Y29" s="159"/>
      <c r="Z29" s="159"/>
      <c r="AA29" s="164"/>
      <c r="AB29" s="159"/>
      <c r="AC29" s="159"/>
    </row>
    <row r="30" spans="1:30" ht="13" customHeight="1">
      <c r="B30" s="510" t="str">
        <f>IF('Summary | Sumário'!D$6=Names!B$3,Names!AC29,Names!AD29)</f>
        <v>Net fee revenues</v>
      </c>
      <c r="C30" s="511">
        <f>C27</f>
        <v>126672.66099999999</v>
      </c>
      <c r="D30" s="511">
        <f t="shared" ref="D30:R30" si="39">D27</f>
        <v>295416</v>
      </c>
      <c r="E30" s="511">
        <f t="shared" si="39"/>
        <v>632354</v>
      </c>
      <c r="F30" s="511">
        <f t="shared" si="39"/>
        <v>1227268</v>
      </c>
      <c r="G30" s="511">
        <f t="shared" ref="G30:H30" si="40">G27</f>
        <v>1544488.6</v>
      </c>
      <c r="H30" s="511">
        <f t="shared" si="40"/>
        <v>2018008.6035415339</v>
      </c>
      <c r="I30" s="175"/>
      <c r="J30" s="511">
        <f t="shared" si="39"/>
        <v>125185</v>
      </c>
      <c r="K30" s="511">
        <f t="shared" si="39"/>
        <v>165118</v>
      </c>
      <c r="L30" s="511">
        <f t="shared" si="39"/>
        <v>159140</v>
      </c>
      <c r="M30" s="511">
        <f t="shared" si="39"/>
        <v>182911</v>
      </c>
      <c r="N30" s="511">
        <f t="shared" si="39"/>
        <v>290110</v>
      </c>
      <c r="O30" s="511">
        <f t="shared" si="39"/>
        <v>315933</v>
      </c>
      <c r="P30" s="511">
        <f t="shared" si="39"/>
        <v>294716</v>
      </c>
      <c r="Q30" s="511">
        <f t="shared" si="39"/>
        <v>326509</v>
      </c>
      <c r="R30" s="511">
        <f t="shared" si="39"/>
        <v>312552</v>
      </c>
      <c r="S30" s="511">
        <f t="shared" ref="S30:T30" si="41">S27</f>
        <v>347959</v>
      </c>
      <c r="T30" s="511">
        <f t="shared" si="41"/>
        <v>446938.50028000004</v>
      </c>
      <c r="U30" s="511">
        <f t="shared" ref="U30:V30" si="42">U27</f>
        <v>437039.09971999994</v>
      </c>
      <c r="V30" s="511">
        <f t="shared" si="42"/>
        <v>430274.39485153224</v>
      </c>
      <c r="W30" s="511">
        <f t="shared" ref="W30:X30" si="43">W27</f>
        <v>448929.08523867995</v>
      </c>
      <c r="X30" s="511">
        <f t="shared" si="43"/>
        <v>541378.11297993874</v>
      </c>
      <c r="Y30" s="511">
        <f t="shared" ref="Y30:Z30" si="44">Y27</f>
        <v>597427.01047138299</v>
      </c>
      <c r="Z30" s="511">
        <f t="shared" si="44"/>
        <v>491692.10000000003</v>
      </c>
      <c r="AA30" s="175"/>
      <c r="AB30" s="512">
        <f t="shared" ref="AB30:AB37" si="45">Z30/Y30-1</f>
        <v>-0.17698381328282398</v>
      </c>
      <c r="AC30" s="512">
        <f t="shared" ref="AC30:AC37" si="46">Z30/V30-1</f>
        <v>0.14274078560882097</v>
      </c>
    </row>
    <row r="31" spans="1:30" ht="13" customHeight="1">
      <c r="B31" s="77" t="str">
        <f>IF('Summary | Sumário'!D$6=Names!B$3,Names!AC30,Names!AD30)</f>
        <v>(÷) Total net revenues</v>
      </c>
      <c r="C31" s="203">
        <f t="shared" ref="C31:U31" si="47">C32+C37</f>
        <v>712223.66099999996</v>
      </c>
      <c r="D31" s="203">
        <f t="shared" si="47"/>
        <v>1011378.89518</v>
      </c>
      <c r="E31" s="203">
        <f t="shared" si="47"/>
        <v>2221821.912</v>
      </c>
      <c r="F31" s="203">
        <f t="shared" si="47"/>
        <v>3562697.1850000001</v>
      </c>
      <c r="G31" s="203">
        <f t="shared" si="47"/>
        <v>4752577.5950000007</v>
      </c>
      <c r="H31" s="203">
        <f t="shared" si="47"/>
        <v>6400165.737558065</v>
      </c>
      <c r="I31" s="175"/>
      <c r="J31" s="203">
        <f t="shared" si="47"/>
        <v>416766.33899999998</v>
      </c>
      <c r="K31" s="203">
        <f t="shared" si="47"/>
        <v>467413.34700000007</v>
      </c>
      <c r="L31" s="203">
        <f t="shared" si="47"/>
        <v>606509.88</v>
      </c>
      <c r="M31" s="203">
        <f t="shared" si="47"/>
        <v>731132.3459999999</v>
      </c>
      <c r="N31" s="203">
        <f t="shared" si="47"/>
        <v>833521.01500000001</v>
      </c>
      <c r="O31" s="203">
        <f t="shared" si="47"/>
        <v>877020.3110000001</v>
      </c>
      <c r="P31" s="203">
        <f t="shared" si="47"/>
        <v>850303.46700000006</v>
      </c>
      <c r="Q31" s="203">
        <f t="shared" si="47"/>
        <v>1001852.392</v>
      </c>
      <c r="R31" s="203">
        <f t="shared" si="47"/>
        <v>1024114.1240000001</v>
      </c>
      <c r="S31" s="203">
        <f t="shared" si="47"/>
        <v>1150034</v>
      </c>
      <c r="T31" s="203">
        <f t="shared" si="47"/>
        <v>1265495.60824</v>
      </c>
      <c r="U31" s="203">
        <f t="shared" si="47"/>
        <v>1312933.8627599999</v>
      </c>
      <c r="V31" s="203">
        <f t="shared" ref="V31:W31" si="48">V32+V37</f>
        <v>1400939.115371532</v>
      </c>
      <c r="W31" s="203">
        <f t="shared" si="48"/>
        <v>1478597.81104253</v>
      </c>
      <c r="X31" s="203">
        <f t="shared" ref="X31:Y31" si="49">X32+X37</f>
        <v>1676143.2445535718</v>
      </c>
      <c r="Y31" s="203">
        <f t="shared" si="49"/>
        <v>1844485.5665904321</v>
      </c>
      <c r="Z31" s="203">
        <f t="shared" ref="Z31" si="50">Z32+Z37</f>
        <v>1837801.1</v>
      </c>
      <c r="AA31" s="175"/>
      <c r="AB31" s="360">
        <f t="shared" si="45"/>
        <v>-3.6240275942025502E-3</v>
      </c>
      <c r="AC31" s="360">
        <f t="shared" si="46"/>
        <v>0.31183509678264021</v>
      </c>
    </row>
    <row r="32" spans="1:30" ht="13" customHeight="1">
      <c r="B32" s="53" t="str">
        <f>IF('Summary | Sumário'!D$6=Names!B$3,Names!AC31,Names!AD31)</f>
        <v>NII</v>
      </c>
      <c r="C32" s="164">
        <f t="shared" ref="C32" si="51">SUM(C33:C36)</f>
        <v>585551</v>
      </c>
      <c r="D32" s="164">
        <f t="shared" ref="D32" si="52">SUM(D33:D36)</f>
        <v>715962.89517999999</v>
      </c>
      <c r="E32" s="164">
        <f t="shared" ref="E32" si="53">SUM(E33:E36)</f>
        <v>1589467.912</v>
      </c>
      <c r="F32" s="164">
        <f t="shared" ref="F32" si="54">SUM(F33:F36)</f>
        <v>2335429.1850000001</v>
      </c>
      <c r="G32" s="164">
        <f t="shared" ref="G32" si="55">SUM(G33:G36)</f>
        <v>3208088.9950000001</v>
      </c>
      <c r="H32" s="164">
        <f t="shared" ref="H32" si="56">SUM(H33:H36)</f>
        <v>4382157.1340165315</v>
      </c>
      <c r="I32" s="164"/>
      <c r="J32" s="164">
        <f t="shared" ref="J32" si="57">SUM(J33:J36)</f>
        <v>291581.33899999998</v>
      </c>
      <c r="K32" s="164">
        <f t="shared" ref="K32" si="58">SUM(K33:K36)</f>
        <v>302295.34700000007</v>
      </c>
      <c r="L32" s="164">
        <f t="shared" ref="L32" si="59">SUM(L33:L36)</f>
        <v>447369.88</v>
      </c>
      <c r="M32" s="164">
        <f t="shared" ref="M32" si="60">SUM(M33:M36)</f>
        <v>548221.3459999999</v>
      </c>
      <c r="N32" s="164">
        <f t="shared" ref="N32" si="61">SUM(N33:N36)</f>
        <v>543411.01500000001</v>
      </c>
      <c r="O32" s="164">
        <f t="shared" ref="O32" si="62">SUM(O33:O36)</f>
        <v>561087.3110000001</v>
      </c>
      <c r="P32" s="164">
        <f t="shared" ref="P32" si="63">SUM(P33:P36)</f>
        <v>555587.46700000006</v>
      </c>
      <c r="Q32" s="164">
        <f t="shared" ref="Q32" si="64">SUM(Q33:Q36)</f>
        <v>675343.39199999999</v>
      </c>
      <c r="R32" s="164">
        <f t="shared" ref="R32" si="65">SUM(R33:R36)</f>
        <v>711562.12400000007</v>
      </c>
      <c r="S32" s="164">
        <f t="shared" ref="S32" si="66">SUM(S33:S36)</f>
        <v>802075</v>
      </c>
      <c r="T32" s="164">
        <f t="shared" ref="T32" si="67">SUM(T33:T36)</f>
        <v>818557.10796000005</v>
      </c>
      <c r="U32" s="164">
        <f t="shared" ref="U32" si="68">SUM(U33:U36)</f>
        <v>875894.76303999987</v>
      </c>
      <c r="V32" s="164">
        <f t="shared" ref="V32" si="69">SUM(V33:V36)</f>
        <v>970664.72051999974</v>
      </c>
      <c r="W32" s="164">
        <f t="shared" ref="W32" si="70">SUM(W33:W36)</f>
        <v>1029668.72580385</v>
      </c>
      <c r="X32" s="164">
        <f t="shared" ref="X32" si="71">SUM(X33:X36)</f>
        <v>1134765.1315736331</v>
      </c>
      <c r="Y32" s="164">
        <f t="shared" ref="Y32:Z32" si="72">SUM(Y33:Y36)</f>
        <v>1247058.5561190492</v>
      </c>
      <c r="Z32" s="164">
        <f t="shared" si="72"/>
        <v>1346109</v>
      </c>
      <c r="AA32" s="164"/>
      <c r="AB32" s="345">
        <f t="shared" si="45"/>
        <v>7.9427259766537306E-2</v>
      </c>
      <c r="AC32" s="345">
        <f t="shared" si="46"/>
        <v>0.38679089859047222</v>
      </c>
    </row>
    <row r="33" spans="2:29" ht="13" customHeight="1">
      <c r="B33" s="67" t="str">
        <f>IF('Summary | Sumário'!D$6=Names!B$3,Names!O32,Names!Z32)</f>
        <v>Interest income</v>
      </c>
      <c r="C33" s="177">
        <f>'Credit | Crédito (old)'!C42</f>
        <v>775515</v>
      </c>
      <c r="D33" s="177">
        <f>'Credit | Crédito (old)'!D42</f>
        <v>942655.89517999999</v>
      </c>
      <c r="E33" s="177">
        <f>'Credit | Crédito (old)'!E42</f>
        <v>1435427.246</v>
      </c>
      <c r="F33" s="177">
        <f>'Credit | Crédito (old)'!F42</f>
        <v>2802658.0819999999</v>
      </c>
      <c r="G33" s="177">
        <f>'Credit | Crédito (old)'!G42</f>
        <v>4549827</v>
      </c>
      <c r="H33" s="177">
        <f>'Credit | Crédito (old)'!H42</f>
        <v>5139213.5399445314</v>
      </c>
      <c r="I33" s="178"/>
      <c r="J33" s="177">
        <f>'Credit | Crédito (old)'!J42</f>
        <v>289003.935</v>
      </c>
      <c r="K33" s="177">
        <f>'Credit | Crédito (old)'!K42</f>
        <v>305659.75100000005</v>
      </c>
      <c r="L33" s="177">
        <f>'Credit | Crédito (old)'!L42</f>
        <v>367405.88</v>
      </c>
      <c r="M33" s="177">
        <f>'Credit | Crédito (old)'!M42</f>
        <v>473357.68</v>
      </c>
      <c r="N33" s="177">
        <f>'Credit | Crédito (old)'!N42</f>
        <v>521159.63199999993</v>
      </c>
      <c r="O33" s="177">
        <f>'Credit | Crédito (old)'!O42</f>
        <v>622312.6370000001</v>
      </c>
      <c r="P33" s="177">
        <f>'Credit | Crédito (old)'!P42</f>
        <v>788342.73100000003</v>
      </c>
      <c r="Q33" s="177">
        <f>'Credit | Crédito (old)'!Q42</f>
        <v>870843.08199999994</v>
      </c>
      <c r="R33" s="177">
        <f>'Credit | Crédito (old)'!R42</f>
        <v>1012926.822</v>
      </c>
      <c r="S33" s="177">
        <f>'Credit | Crédito (old)'!S42</f>
        <v>1151105</v>
      </c>
      <c r="T33" s="177">
        <f>'Credit | Crédito (old)'!T42</f>
        <v>1106935.08874</v>
      </c>
      <c r="U33" s="177">
        <f>'Credit | Crédito (old)'!U42</f>
        <v>1278860.08926</v>
      </c>
      <c r="V33" s="177">
        <f>'Credit | Crédito (old)'!V42</f>
        <v>1217530.9999999998</v>
      </c>
      <c r="W33" s="177">
        <f>'Credit | Crédito (old)'!W42</f>
        <v>1172415.139</v>
      </c>
      <c r="X33" s="177">
        <f>'Credit | Crédito (old)'!X42</f>
        <v>1412226.140133633</v>
      </c>
      <c r="Y33" s="177">
        <f>'Credit | Crédito (old)'!Y42</f>
        <v>1337041.2608108988</v>
      </c>
      <c r="Z33" s="177">
        <f>'Credit | Crédito (old)'!Z42</f>
        <v>1806870</v>
      </c>
      <c r="AA33" s="178"/>
      <c r="AB33" s="361">
        <f t="shared" si="45"/>
        <v>0.35139434582905538</v>
      </c>
      <c r="AC33" s="361">
        <f t="shared" si="46"/>
        <v>0.48404434876812208</v>
      </c>
    </row>
    <row r="34" spans="2:29" ht="13" customHeight="1">
      <c r="B34" s="62" t="str">
        <f>IF('Summary | Sumário'!D$6=Names!B$3,Names!O42,Names!Z42)</f>
        <v>Interest expenses</v>
      </c>
      <c r="C34" s="178">
        <f>'Credit | Crédito (old)'!C51</f>
        <v>-256717</v>
      </c>
      <c r="D34" s="178">
        <f>'Credit | Crédito (old)'!D51</f>
        <v>-184335</v>
      </c>
      <c r="E34" s="178">
        <f>'Credit | Crédito (old)'!E51</f>
        <v>-543242</v>
      </c>
      <c r="F34" s="178">
        <f>'Credit | Crédito (old)'!F51</f>
        <v>-1972850</v>
      </c>
      <c r="G34" s="178">
        <f>'Credit | Crédito (old)'!G51</f>
        <v>-2887573.0049999999</v>
      </c>
      <c r="H34" s="178">
        <f>'Credit | Crédito (old)'!H51</f>
        <v>-3311638.4190579997</v>
      </c>
      <c r="I34" s="178"/>
      <c r="J34" s="178">
        <f>'Credit | Crédito (old)'!J51</f>
        <v>-65559</v>
      </c>
      <c r="K34" s="178">
        <f>'Credit | Crédito (old)'!K51</f>
        <v>-86261</v>
      </c>
      <c r="L34" s="178">
        <f>'Credit | Crédito (old)'!L51</f>
        <v>-138587</v>
      </c>
      <c r="M34" s="178">
        <f>'Credit | Crédito (old)'!M51</f>
        <v>-252835</v>
      </c>
      <c r="N34" s="178">
        <f>'Credit | Crédito (old)'!N51</f>
        <v>-336771</v>
      </c>
      <c r="O34" s="178">
        <f>'Credit | Crédito (old)'!O51</f>
        <v>-465041</v>
      </c>
      <c r="P34" s="178">
        <f>'Credit | Crédito (old)'!P51</f>
        <v>-579678</v>
      </c>
      <c r="Q34" s="178">
        <f>'Credit | Crédito (old)'!Q51</f>
        <v>-591360</v>
      </c>
      <c r="R34" s="178">
        <f>'Credit | Crédito (old)'!R51</f>
        <v>-672771</v>
      </c>
      <c r="S34" s="178">
        <f>'Credit | Crédito (old)'!S51</f>
        <v>-692206</v>
      </c>
      <c r="T34" s="178">
        <f>'Credit | Crédito (old)'!T51</f>
        <v>-770398</v>
      </c>
      <c r="U34" s="178">
        <f>'Credit | Crédito (old)'!U51</f>
        <v>-752198.00500000012</v>
      </c>
      <c r="V34" s="178">
        <f>'Credit | Crédito (old)'!V51</f>
        <v>-762246.89030000009</v>
      </c>
      <c r="W34" s="178">
        <f>'Credit | Crédito (old)'!W51</f>
        <v>-772642.60900000005</v>
      </c>
      <c r="X34" s="178">
        <f>'Credit | Crédito (old)'!X51</f>
        <v>-835616.71799999999</v>
      </c>
      <c r="Y34" s="178">
        <f>'Credit | Crédito (old)'!Y51</f>
        <v>-941132.20175799984</v>
      </c>
      <c r="Z34" s="178">
        <f>'Credit | Crédito (old)'!Z51</f>
        <v>-1179020</v>
      </c>
      <c r="AA34" s="178"/>
      <c r="AB34" s="366">
        <f t="shared" si="45"/>
        <v>0.25276767471948647</v>
      </c>
      <c r="AC34" s="366">
        <f t="shared" si="46"/>
        <v>0.54676918332322622</v>
      </c>
    </row>
    <row r="35" spans="2:29" ht="13" customHeight="1">
      <c r="B35" s="67" t="str">
        <f>IF('Summary | Sumário'!D$6=Names!B$3,Names!O57,Names!Z57)</f>
        <v>Income from securities</v>
      </c>
      <c r="C35" s="177">
        <f>'Credit | Crédito (old)'!C58</f>
        <v>62518</v>
      </c>
      <c r="D35" s="177">
        <f>'Credit | Crédito (old)'!D58</f>
        <v>12060</v>
      </c>
      <c r="E35" s="177">
        <f>'Credit | Crédito (old)'!E58</f>
        <v>745613</v>
      </c>
      <c r="F35" s="177">
        <f>'Credit | Crédito (old)'!F58</f>
        <v>1471737</v>
      </c>
      <c r="G35" s="177">
        <f>'Credit | Crédito (old)'!G58</f>
        <v>1615108</v>
      </c>
      <c r="H35" s="177">
        <f>'Credit | Crédito (old)'!H58</f>
        <v>2007869.4701800002</v>
      </c>
      <c r="I35" s="178"/>
      <c r="J35" s="177">
        <f>'Credit | Crédito (old)'!J58</f>
        <v>88068</v>
      </c>
      <c r="K35" s="177">
        <f>'Credit | Crédito (old)'!K58</f>
        <v>106662</v>
      </c>
      <c r="L35" s="177">
        <f>'Credit | Crédito (old)'!L58</f>
        <v>228420</v>
      </c>
      <c r="M35" s="177">
        <f>'Credit | Crédito (old)'!M58</f>
        <v>322463</v>
      </c>
      <c r="N35" s="177">
        <f>'Credit | Crédito (old)'!N58</f>
        <v>348013</v>
      </c>
      <c r="O35" s="177">
        <f>'Credit | Crédito (old)'!O58</f>
        <v>406846</v>
      </c>
      <c r="P35" s="177">
        <f>'Credit | Crédito (old)'!P58</f>
        <v>340982</v>
      </c>
      <c r="Q35" s="177">
        <f>'Credit | Crédito (old)'!Q58</f>
        <v>375896</v>
      </c>
      <c r="R35" s="177">
        <f>'Credit | Crédito (old)'!R58</f>
        <v>370924</v>
      </c>
      <c r="S35" s="177">
        <f>'Credit | Crédito (old)'!S58</f>
        <v>402038</v>
      </c>
      <c r="T35" s="177">
        <f>'Credit | Crédito (old)'!T58</f>
        <v>417887</v>
      </c>
      <c r="U35" s="177">
        <f>'Credit | Crédito (old)'!U58</f>
        <v>424259</v>
      </c>
      <c r="V35" s="177">
        <f>'Credit | Crédito (old)'!V58</f>
        <v>446719</v>
      </c>
      <c r="W35" s="177">
        <f>'Credit | Crédito (old)'!W58</f>
        <v>456585.37339384999</v>
      </c>
      <c r="X35" s="177">
        <f>'Credit | Crédito (old)'!X58</f>
        <v>513731</v>
      </c>
      <c r="Y35" s="177">
        <f>'Credit | Crédito (old)'!Y58</f>
        <v>590834.09678615024</v>
      </c>
      <c r="Z35" s="177">
        <f>'Credit | Crédito (old)'!Z58</f>
        <v>737446</v>
      </c>
      <c r="AA35" s="178"/>
      <c r="AB35" s="361">
        <f t="shared" si="45"/>
        <v>0.24814394431761322</v>
      </c>
      <c r="AC35" s="361">
        <f t="shared" si="46"/>
        <v>0.65080509223919281</v>
      </c>
    </row>
    <row r="36" spans="2:29" ht="13" customHeight="1">
      <c r="B36" s="62" t="str">
        <f>IF('Summary | Sumário'!D$6=Names!B$3,Names!O61,Names!Z61)</f>
        <v>Income from derivatives</v>
      </c>
      <c r="C36" s="178">
        <f>'Credit | Crédito (old)'!C62</f>
        <v>4235</v>
      </c>
      <c r="D36" s="178">
        <f>'Credit | Crédito (old)'!D62</f>
        <v>-54418</v>
      </c>
      <c r="E36" s="178">
        <f>'Credit | Crédito (old)'!E62</f>
        <v>-48330.334000000003</v>
      </c>
      <c r="F36" s="178">
        <f>'Credit | Crédito (old)'!F62</f>
        <v>33884.103000000003</v>
      </c>
      <c r="G36" s="178">
        <f>'Credit | Crédito (old)'!G62</f>
        <v>-69273</v>
      </c>
      <c r="H36" s="178">
        <f>'Credit | Crédito (old)'!H62</f>
        <v>546712.54295000003</v>
      </c>
      <c r="I36" s="178"/>
      <c r="J36" s="178">
        <f>'Credit | Crédito (old)'!J62</f>
        <v>-19931.596000000001</v>
      </c>
      <c r="K36" s="178">
        <f>'Credit | Crédito (old)'!K62</f>
        <v>-23765.403999999999</v>
      </c>
      <c r="L36" s="178">
        <f>'Credit | Crédito (old)'!L62</f>
        <v>-9869</v>
      </c>
      <c r="M36" s="178">
        <f>'Credit | Crédito (old)'!M62</f>
        <v>5235.6660000000011</v>
      </c>
      <c r="N36" s="178">
        <f>'Credit | Crédito (old)'!N62</f>
        <v>11009.383</v>
      </c>
      <c r="O36" s="178">
        <f>'Credit | Crédito (old)'!O62</f>
        <v>-3030.3259999999982</v>
      </c>
      <c r="P36" s="178">
        <f>'Credit | Crédito (old)'!P62</f>
        <v>5940.735999999999</v>
      </c>
      <c r="Q36" s="178">
        <f>'Credit | Crédito (old)'!Q62</f>
        <v>19964.310000000001</v>
      </c>
      <c r="R36" s="178">
        <f>'Credit | Crédito (old)'!R62</f>
        <v>482.30199999999877</v>
      </c>
      <c r="S36" s="178">
        <f>'Credit | Crédito (old)'!S62</f>
        <v>-58862</v>
      </c>
      <c r="T36" s="178">
        <f>'Credit | Crédito (old)'!T62</f>
        <v>64133.019220000024</v>
      </c>
      <c r="U36" s="178">
        <f>'Credit | Crédito (old)'!U62</f>
        <v>-75026.321220000013</v>
      </c>
      <c r="V36" s="178">
        <f>'Credit | Crédito (old)'!V62</f>
        <v>68661.610820000031</v>
      </c>
      <c r="W36" s="178">
        <f>'Credit | Crédito (old)'!W62</f>
        <v>173310.82241000002</v>
      </c>
      <c r="X36" s="178">
        <f>'Credit | Crédito (old)'!X62</f>
        <v>44424.709440000101</v>
      </c>
      <c r="Y36" s="178">
        <f>'Credit | Crédito (old)'!Y62</f>
        <v>260315.40027999989</v>
      </c>
      <c r="Z36" s="178">
        <f>'Credit | Crédito (old)'!Z62</f>
        <v>-19187</v>
      </c>
      <c r="AA36" s="178"/>
      <c r="AB36" s="366">
        <f t="shared" si="45"/>
        <v>-1.0737067418192012</v>
      </c>
      <c r="AC36" s="366">
        <f t="shared" si="46"/>
        <v>-1.279442905152629</v>
      </c>
    </row>
    <row r="37" spans="2:29" ht="13" customHeight="1">
      <c r="B37" s="58" t="str">
        <f>IF('Summary | Sumário'!D$6=Names!B$3,Names!AC34,Names!AD34)</f>
        <v>Net fee revenues</v>
      </c>
      <c r="C37" s="203">
        <f>C27</f>
        <v>126672.66099999999</v>
      </c>
      <c r="D37" s="203">
        <f t="shared" ref="D37:R37" si="73">D27</f>
        <v>295416</v>
      </c>
      <c r="E37" s="203">
        <f t="shared" si="73"/>
        <v>632354</v>
      </c>
      <c r="F37" s="203">
        <f t="shared" si="73"/>
        <v>1227268</v>
      </c>
      <c r="G37" s="203">
        <f t="shared" ref="G37:H37" si="74">G27</f>
        <v>1544488.6</v>
      </c>
      <c r="H37" s="203">
        <f t="shared" si="74"/>
        <v>2018008.6035415339</v>
      </c>
      <c r="I37" s="175"/>
      <c r="J37" s="203">
        <f t="shared" si="73"/>
        <v>125185</v>
      </c>
      <c r="K37" s="203">
        <f t="shared" si="73"/>
        <v>165118</v>
      </c>
      <c r="L37" s="203">
        <f t="shared" si="73"/>
        <v>159140</v>
      </c>
      <c r="M37" s="203">
        <f t="shared" si="73"/>
        <v>182911</v>
      </c>
      <c r="N37" s="203">
        <f t="shared" si="73"/>
        <v>290110</v>
      </c>
      <c r="O37" s="203">
        <f t="shared" si="73"/>
        <v>315933</v>
      </c>
      <c r="P37" s="203">
        <f t="shared" si="73"/>
        <v>294716</v>
      </c>
      <c r="Q37" s="203">
        <f t="shared" si="73"/>
        <v>326509</v>
      </c>
      <c r="R37" s="203">
        <f t="shared" si="73"/>
        <v>312552</v>
      </c>
      <c r="S37" s="203">
        <f t="shared" ref="S37:T37" si="75">S27</f>
        <v>347959</v>
      </c>
      <c r="T37" s="203">
        <f t="shared" si="75"/>
        <v>446938.50028000004</v>
      </c>
      <c r="U37" s="203">
        <f t="shared" ref="U37:V37" si="76">U27</f>
        <v>437039.09971999994</v>
      </c>
      <c r="V37" s="203">
        <f t="shared" si="76"/>
        <v>430274.39485153224</v>
      </c>
      <c r="W37" s="203">
        <f t="shared" ref="W37:Y37" si="77">W27</f>
        <v>448929.08523867995</v>
      </c>
      <c r="X37" s="203">
        <f t="shared" si="77"/>
        <v>541378.11297993874</v>
      </c>
      <c r="Y37" s="203">
        <f t="shared" si="77"/>
        <v>597427.01047138299</v>
      </c>
      <c r="Z37" s="203">
        <f t="shared" ref="Z37" si="78">Z27</f>
        <v>491692.10000000003</v>
      </c>
      <c r="AA37" s="175"/>
      <c r="AB37" s="360">
        <f t="shared" si="45"/>
        <v>-0.17698381328282398</v>
      </c>
      <c r="AC37" s="360">
        <f t="shared" si="46"/>
        <v>0.14274078560882097</v>
      </c>
    </row>
    <row r="38" spans="2:29" ht="13" customHeight="1">
      <c r="B38" s="509" t="str">
        <f>IF('Summary | Sumário'!D$6=Names!B$3,Names!AC35,Names!AD35)</f>
        <v>Fee income ratio (%)</v>
      </c>
      <c r="C38" s="328">
        <f>C30/C31</f>
        <v>0.17785517097556802</v>
      </c>
      <c r="D38" s="328">
        <f t="shared" ref="D38:R38" si="79">D30/D31</f>
        <v>0.29209231219663073</v>
      </c>
      <c r="E38" s="328">
        <f t="shared" si="79"/>
        <v>0.2846105696341697</v>
      </c>
      <c r="F38" s="328">
        <f t="shared" si="79"/>
        <v>0.34447721382753443</v>
      </c>
      <c r="G38" s="328">
        <f t="shared" ref="G38:H38" si="80">G30/G31</f>
        <v>0.32497914429106756</v>
      </c>
      <c r="H38" s="328">
        <f t="shared" si="80"/>
        <v>0.31530567899191464</v>
      </c>
      <c r="I38" s="324"/>
      <c r="J38" s="328">
        <f t="shared" si="79"/>
        <v>0.30037214689740094</v>
      </c>
      <c r="K38" s="328">
        <f t="shared" si="79"/>
        <v>0.35325906087144743</v>
      </c>
      <c r="L38" s="328">
        <f t="shared" si="79"/>
        <v>0.26238649236843431</v>
      </c>
      <c r="M38" s="328">
        <f t="shared" si="79"/>
        <v>0.25017495259332984</v>
      </c>
      <c r="N38" s="328">
        <f t="shared" si="79"/>
        <v>0.34805361206159868</v>
      </c>
      <c r="O38" s="328">
        <f t="shared" si="79"/>
        <v>0.36023453053187038</v>
      </c>
      <c r="P38" s="328">
        <f t="shared" si="79"/>
        <v>0.34660096240675448</v>
      </c>
      <c r="Q38" s="328">
        <f t="shared" si="79"/>
        <v>0.32590529563760329</v>
      </c>
      <c r="R38" s="328">
        <f t="shared" si="79"/>
        <v>0.30519254902884241</v>
      </c>
      <c r="S38" s="328">
        <f t="shared" ref="S38:T38" si="81">S30/S31</f>
        <v>0.30256409810492557</v>
      </c>
      <c r="T38" s="328">
        <f t="shared" si="81"/>
        <v>0.35317269958888597</v>
      </c>
      <c r="U38" s="328">
        <f t="shared" ref="U38:V38" si="82">U30/U31</f>
        <v>0.33287213630187956</v>
      </c>
      <c r="V38" s="328">
        <f t="shared" si="82"/>
        <v>0.30713282977856077</v>
      </c>
      <c r="W38" s="328">
        <f t="shared" ref="W38:Y38" si="83">W30/W31</f>
        <v>0.30361811838619518</v>
      </c>
      <c r="X38" s="328">
        <f t="shared" si="83"/>
        <v>0.32299036179579671</v>
      </c>
      <c r="Y38" s="328">
        <f t="shared" si="83"/>
        <v>0.32389898912342185</v>
      </c>
      <c r="Z38" s="328">
        <f t="shared" ref="Z38" si="84">Z30/Z31</f>
        <v>0.26754369664921845</v>
      </c>
      <c r="AA38" s="324"/>
      <c r="AB38" s="513">
        <f>(Z38-Y38)*100</f>
        <v>-5.6355292474203402</v>
      </c>
      <c r="AC38" s="513">
        <f>(Y38-U38)*100</f>
        <v>-0.89731471784577077</v>
      </c>
    </row>
    <row r="39" spans="2:29" ht="13" customHeight="1">
      <c r="AB39" s="164"/>
      <c r="AC39" s="164"/>
    </row>
    <row r="40" spans="2:29" ht="13" customHeight="1">
      <c r="B40" s="781"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40" s="120" t="s">
        <v>1181</v>
      </c>
    </row>
    <row r="41" spans="2:29" ht="13" customHeight="1">
      <c r="B41" s="781"/>
    </row>
    <row r="43" spans="2:29" ht="13" customHeight="1">
      <c r="E43" s="170"/>
    </row>
  </sheetData>
  <sheetProtection algorithmName="SHA-512" hashValue="o5UELqNqvMYoF//ZXINTOSlKtqoNMtnklv/P9eOUPC26+IHBAppT108cPY6j+6M2DrhKepQ9VSGTzcepTYNdWA==" saltValue="Mh1LmZyOVh2ZcTtncVbenw==" spinCount="100000" sheet="1" formatCells="0" formatColumns="0" formatRows="0" insertColumns="0" insertRows="0" insertHyperlinks="0" deleteColumns="0" deleteRows="0" sort="0" autoFilter="0" pivotTables="0"/>
  <mergeCells count="1">
    <mergeCell ref="B40:B41"/>
  </mergeCells>
  <phoneticPr fontId="6"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F2FD-FBF4-9C48-B72B-97B3EE321880}">
  <sheetPr codeName="Sheet6">
    <tabColor rgb="FFEB7100"/>
  </sheetPr>
  <dimension ref="A1:AB35"/>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baseColWidth="10" defaultColWidth="10.83203125" defaultRowHeight="13" customHeight="1"/>
  <cols>
    <col min="1" max="1" width="3.33203125" style="155" customWidth="1"/>
    <col min="2" max="2" width="68.33203125" style="14" bestFit="1" customWidth="1"/>
    <col min="3" max="15" width="10.83203125" style="240" customWidth="1"/>
    <col min="16" max="16" width="4.83203125" style="240" customWidth="1"/>
    <col min="17" max="21" width="10.83203125" style="240" customWidth="1"/>
    <col min="22" max="25" width="10.83203125" style="240"/>
    <col min="26" max="16384" width="10.83203125" style="155"/>
  </cols>
  <sheetData>
    <row r="1" spans="1:28" s="228" customFormat="1" ht="13" customHeight="1">
      <c r="B1" s="8"/>
      <c r="C1" s="229"/>
      <c r="D1" s="229"/>
      <c r="E1" s="229"/>
      <c r="F1" s="229"/>
      <c r="G1" s="229"/>
      <c r="H1" s="229"/>
      <c r="I1" s="229"/>
      <c r="J1" s="229"/>
      <c r="K1" s="229"/>
      <c r="L1" s="229"/>
      <c r="M1" s="229"/>
      <c r="N1" s="229"/>
      <c r="O1" s="229"/>
      <c r="P1" s="229"/>
      <c r="Q1" s="229"/>
      <c r="R1" s="229"/>
      <c r="S1" s="229"/>
      <c r="T1" s="229"/>
      <c r="U1" s="229"/>
      <c r="V1" s="229"/>
      <c r="W1" s="229"/>
      <c r="X1" s="229"/>
      <c r="Y1" s="229"/>
    </row>
    <row r="2" spans="1:28" s="9" customFormat="1" ht="13" customHeight="1">
      <c r="B2" s="255" t="str">
        <f>IF('Summary | Sumário'!D6=Names!B3,Names!BV1,Names!BW1)</f>
        <v>Highlights of the Quarter | 1Q26</v>
      </c>
      <c r="C2" s="19" t="str">
        <f>IF('Summary | Sumário'!D6=Names!B3,Names!C14,Names!D14)</f>
        <v>1Q23</v>
      </c>
      <c r="D2" s="19" t="str">
        <f>IF('Summary | Sumário'!D6=Names!B3,Names!C15,Names!D15)</f>
        <v>2Q23</v>
      </c>
      <c r="E2" s="19" t="str">
        <f>IF('Summary | Sumário'!D6=Names!B3,Names!C16,Names!D16)</f>
        <v>3Q23</v>
      </c>
      <c r="F2" s="19" t="str">
        <f>IF('Summary | Sumário'!D6=Names!B3,Names!C17,Names!D17)</f>
        <v>4Q23</v>
      </c>
      <c r="G2" s="19" t="str">
        <f>IF('Summary | Sumário'!D6=Names!B3,Names!C19,Names!D19)</f>
        <v>1Q24</v>
      </c>
      <c r="H2" s="19" t="str">
        <f>IF('Summary | Sumário'!D6=Names!B3,Names!C20,Names!D20)</f>
        <v>2Q24</v>
      </c>
      <c r="I2" s="19" t="str">
        <f>IF('Summary | Sumário'!D6=Names!B3,Names!C21,Names!D21)</f>
        <v>3Q24</v>
      </c>
      <c r="J2" s="19" t="str">
        <f>IF('Summary | Sumário'!D6=Names!B3,Names!C22,Names!D22)</f>
        <v>4Q24</v>
      </c>
      <c r="K2" s="19" t="str">
        <f>IF('Summary | Sumário'!D6=Names!B3,Names!C24,Names!D24)</f>
        <v>1Q25</v>
      </c>
      <c r="L2" s="19" t="str">
        <f>IF('Summary | Sumário'!D6=Names!B3,Names!C25,Names!D25)</f>
        <v>2Q25</v>
      </c>
      <c r="M2" s="19" t="str">
        <f>IF('Summary | Sumário'!D6=Names!B3,Names!C26,Names!D26)</f>
        <v>3Q25</v>
      </c>
      <c r="N2" s="19" t="str">
        <f>IF('Summary | Sumário'!D6=Names!B3,Names!C27,Names!D27)</f>
        <v>4Q25</v>
      </c>
      <c r="O2" s="257" t="str">
        <f>IF('Summary | Sumário'!D6=Names!B3,Names!C28,Names!D28)</f>
        <v>1Q26</v>
      </c>
      <c r="P2" s="315"/>
      <c r="Q2" s="104" t="str">
        <f>IF('Summary | Sumário'!$D$6=Names!$B$3,Names!$I$24,Names!$J$24)</f>
        <v>QoQ Variation</v>
      </c>
      <c r="R2" s="104" t="str">
        <f>IF('Summary | Sumário'!D6=Names!$B$3,Names!$I$25,Names!$J$25)</f>
        <v>YoY Variation</v>
      </c>
      <c r="S2" s="20"/>
      <c r="T2" s="20"/>
      <c r="U2" s="20"/>
      <c r="V2" s="20"/>
      <c r="W2" s="20"/>
      <c r="X2" s="57"/>
      <c r="Y2" s="10"/>
      <c r="AA2" s="11"/>
      <c r="AB2" s="12"/>
    </row>
    <row r="3" spans="1:28" s="127" customFormat="1" ht="13" customHeight="1">
      <c r="B3" s="18"/>
      <c r="C3" s="122"/>
      <c r="D3" s="123"/>
      <c r="E3" s="123"/>
      <c r="F3" s="123"/>
      <c r="G3" s="123"/>
      <c r="H3" s="123"/>
      <c r="I3" s="123"/>
      <c r="J3" s="123"/>
      <c r="K3" s="123"/>
      <c r="L3" s="123"/>
      <c r="M3" s="123"/>
      <c r="N3" s="123"/>
      <c r="O3" s="123"/>
      <c r="P3" s="123"/>
      <c r="Q3" s="122"/>
      <c r="R3" s="122"/>
      <c r="S3" s="123"/>
      <c r="T3" s="123"/>
      <c r="U3" s="123"/>
      <c r="V3" s="123"/>
      <c r="W3" s="123"/>
      <c r="X3" s="125"/>
      <c r="Y3" s="126"/>
      <c r="AA3" s="128"/>
      <c r="AB3" s="129"/>
    </row>
    <row r="4" spans="1:28" ht="13" customHeight="1">
      <c r="A4" s="225"/>
      <c r="B4" s="258" t="str">
        <f>IF('Summary | Sumário'!D6=Names!B3,Names!BV4,Names!BW4)</f>
        <v>Unit Economics</v>
      </c>
      <c r="C4" s="155"/>
      <c r="D4" s="155"/>
      <c r="E4" s="155"/>
      <c r="F4" s="155"/>
      <c r="G4" s="155"/>
      <c r="H4" s="155"/>
      <c r="I4" s="155"/>
      <c r="J4" s="155"/>
      <c r="K4" s="155"/>
      <c r="L4" s="155"/>
      <c r="M4" s="155"/>
      <c r="N4" s="155"/>
      <c r="O4" s="155"/>
      <c r="P4" s="155"/>
      <c r="Q4" s="155"/>
      <c r="R4" s="155"/>
      <c r="T4" s="233"/>
      <c r="U4" s="233"/>
      <c r="V4" s="233"/>
      <c r="W4" s="233"/>
      <c r="X4" s="233"/>
      <c r="Y4" s="233"/>
    </row>
    <row r="5" spans="1:28" ht="13" customHeight="1">
      <c r="A5" s="225"/>
      <c r="B5" s="259" t="str">
        <f>IF('Summary | Sumário'!D6=Names!B3,Names!BV5,Names!BW5)</f>
        <v>Total Clients (mm)</v>
      </c>
      <c r="C5" s="260">
        <f>'1. Oper. KPIs | KPIs Oper.'!M5</f>
        <v>26.288263000000001</v>
      </c>
      <c r="D5" s="260">
        <f>'1. Oper. KPIs | KPIs Oper.'!N5</f>
        <v>27.774601000000001</v>
      </c>
      <c r="E5" s="260">
        <f>'1. Oper. KPIs | KPIs Oper.'!O5</f>
        <v>29.374635000000001</v>
      </c>
      <c r="F5" s="260">
        <f>'1. Oper. KPIs | KPIs Oper.'!P5</f>
        <v>30.363865000000001</v>
      </c>
      <c r="G5" s="260">
        <f>'1. Oper. KPIs | KPIs Oper.'!Q5</f>
        <v>31.722895999999999</v>
      </c>
      <c r="H5" s="260">
        <f>'1. Oper. KPIs | KPIs Oper.'!R5</f>
        <v>33.270463999999997</v>
      </c>
      <c r="I5" s="260">
        <f>'1. Oper. KPIs | KPIs Oper.'!S5</f>
        <v>34.922488000000001</v>
      </c>
      <c r="J5" s="260">
        <f>'1. Oper. KPIs | KPIs Oper.'!T5</f>
        <v>36.142020000000002</v>
      </c>
      <c r="K5" s="260">
        <f>'1. Oper. KPIs | KPIs Oper.'!U5</f>
        <v>37.700344999999999</v>
      </c>
      <c r="L5" s="260">
        <f>'1. Oper. KPIs | KPIs Oper.'!V5</f>
        <v>39.328280999999997</v>
      </c>
      <c r="M5" s="260">
        <f>'1. Oper. KPIs | KPIs Oper.'!W5</f>
        <v>41.296011</v>
      </c>
      <c r="N5" s="260">
        <f>'1. Oper. KPIs | KPIs Oper.'!X5</f>
        <v>43.095855999999998</v>
      </c>
      <c r="O5" s="260">
        <f>'1. Oper. KPIs | KPIs Oper.'!Y5</f>
        <v>44.011738999999999</v>
      </c>
      <c r="P5" s="243"/>
      <c r="Q5" s="261">
        <f>O5/N5-1</f>
        <v>2.1252228984615096E-2</v>
      </c>
      <c r="R5" s="261">
        <f>O5/K5-1</f>
        <v>0.16740944943607272</v>
      </c>
      <c r="T5" s="233"/>
      <c r="U5" s="233"/>
      <c r="V5" s="233"/>
      <c r="W5" s="233"/>
      <c r="X5" s="233"/>
      <c r="Y5" s="233"/>
    </row>
    <row r="6" spans="1:28" ht="13" customHeight="1">
      <c r="A6" s="225"/>
      <c r="B6" s="15" t="str">
        <f>IF('Summary | Sumário'!D6=Names!B3,Names!BV6,Names!BW6)</f>
        <v>Active Clients (mm)</v>
      </c>
      <c r="C6" s="243">
        <f>'1. Oper. KPIs | KPIs Oper.'!M6</f>
        <v>13.540568</v>
      </c>
      <c r="D6" s="243">
        <f>'1. Oper. KPIs | KPIs Oper.'!N6</f>
        <v>14.494907</v>
      </c>
      <c r="E6" s="243">
        <f>'1. Oper. KPIs | KPIs Oper.'!O6</f>
        <v>15.47322</v>
      </c>
      <c r="F6" s="243">
        <f>'1. Oper. KPIs | KPIs Oper.'!P6</f>
        <v>16.405394000000001</v>
      </c>
      <c r="G6" s="243">
        <f>'1. Oper. KPIs | KPIs Oper.'!Q6</f>
        <v>17.413702000000001</v>
      </c>
      <c r="H6" s="243">
        <f>'1. Oper. KPIs | KPIs Oper.'!R6</f>
        <v>18.401989</v>
      </c>
      <c r="I6" s="243">
        <f>'1. Oper. KPIs | KPIs Oper.'!S6</f>
        <v>19.538504</v>
      </c>
      <c r="J6" s="243">
        <f>'1. Oper. KPIs | KPIs Oper.'!T6</f>
        <v>20.561736</v>
      </c>
      <c r="K6" s="243">
        <f>'1. Oper. KPIs | KPIs Oper.'!U6</f>
        <v>21.578842000000002</v>
      </c>
      <c r="L6" s="243">
        <f>'1. Oper. KPIs | KPIs Oper.'!V6</f>
        <v>22.710922</v>
      </c>
      <c r="M6" s="243">
        <f>'1. Oper. KPIs | KPIs Oper.'!W6</f>
        <v>23.926410000000001</v>
      </c>
      <c r="N6" s="243">
        <f>'1. Oper. KPIs | KPIs Oper.'!X6</f>
        <v>24.984497000000001</v>
      </c>
      <c r="O6" s="243">
        <f>'1. Oper. KPIs | KPIs Oper.'!Y6</f>
        <v>25.809269</v>
      </c>
      <c r="P6" s="243"/>
      <c r="Q6" s="244">
        <f>O6/N6-1</f>
        <v>3.3011350998981559E-2</v>
      </c>
      <c r="R6" s="244">
        <f>O6/K6-1</f>
        <v>0.19604513532283141</v>
      </c>
      <c r="T6" s="233"/>
      <c r="U6" s="233"/>
      <c r="V6" s="233"/>
      <c r="W6" s="233"/>
      <c r="X6" s="233"/>
      <c r="Y6" s="233"/>
    </row>
    <row r="7" spans="1:28" ht="13" customHeight="1">
      <c r="A7" s="225"/>
      <c r="B7" s="21" t="str">
        <f>IF('Summary | Sumário'!D6=Names!B3,Names!BV7,Names!BW7)</f>
        <v>Gross ARPAC (R$)</v>
      </c>
      <c r="C7" s="241">
        <f>'9.6 ARPAC'!S16</f>
        <v>45.928754143736498</v>
      </c>
      <c r="D7" s="241">
        <f>'9.6 ARPAC'!T16</f>
        <v>46.097358198258931</v>
      </c>
      <c r="E7" s="241">
        <f>'9.6 ARPAC'!U16</f>
        <v>47.683229324275089</v>
      </c>
      <c r="F7" s="241">
        <f>'9.6 ARPAC'!V16</f>
        <v>45.943985472726851</v>
      </c>
      <c r="G7" s="241">
        <f>'9.6 ARPAC'!W16</f>
        <v>45.155471724025865</v>
      </c>
      <c r="H7" s="241">
        <f>'9.6 ARPAC'!X16</f>
        <v>44.744988009538986</v>
      </c>
      <c r="I7" s="241">
        <f>'9.6 ARPAC'!Y16</f>
        <v>47.164658772595494</v>
      </c>
      <c r="J7" s="241">
        <f>'9.6 ARPAC'!Z16</f>
        <v>49.265202333247132</v>
      </c>
      <c r="K7" s="241">
        <f>'9.6 ARPAC'!AA16</f>
        <v>50.018736493520954</v>
      </c>
      <c r="L7" s="241">
        <f>'9.6 ARPAC'!AB16</f>
        <v>53.691072576799762</v>
      </c>
      <c r="M7" s="241">
        <f>'9.6 ARPAC'!AC16</f>
        <v>56.844732598911676</v>
      </c>
      <c r="N7" s="241">
        <f>'9.6 ARPAC'!AD16</f>
        <v>58.522364619681532</v>
      </c>
      <c r="O7" s="241">
        <f>'9.6 ARPAC'!AE16</f>
        <v>57.04311561908338</v>
      </c>
      <c r="P7" s="243"/>
      <c r="Q7" s="242">
        <f>O7/N7-1</f>
        <v>-2.5276644411266092E-2</v>
      </c>
      <c r="R7" s="242">
        <f>O7/K7-1</f>
        <v>0.14043495733788292</v>
      </c>
      <c r="U7" s="233"/>
      <c r="V7" s="233"/>
      <c r="W7" s="233"/>
      <c r="X7" s="233"/>
      <c r="Y7" s="233"/>
    </row>
    <row r="8" spans="1:28" ht="13" customHeight="1">
      <c r="A8" s="225"/>
      <c r="B8" s="15" t="str">
        <f>IF('Summary | Sumário'!D6=Names!B3,Names!BV8,Names!BW8)</f>
        <v>CTS (R$)</v>
      </c>
      <c r="C8" s="243">
        <f>'9.5 CTS | Custo de servir '!S13</f>
        <v>15.198842445968298</v>
      </c>
      <c r="D8" s="243">
        <f>'9.5 CTS | Custo de servir '!T13</f>
        <v>13.67902630506528</v>
      </c>
      <c r="E8" s="243">
        <f>'9.5 CTS | Custo de servir '!U13</f>
        <v>13.661825890331194</v>
      </c>
      <c r="F8" s="243">
        <f>'9.5 CTS | Custo de servir '!V13</f>
        <v>13.123678045308578</v>
      </c>
      <c r="G8" s="243">
        <f>'9.5 CTS | Custo de servir '!W13</f>
        <v>12.371846564635158</v>
      </c>
      <c r="H8" s="243">
        <f>'9.5 CTS | Custo de servir '!X13</f>
        <v>12.286397015579938</v>
      </c>
      <c r="I8" s="243">
        <f>'9.5 CTS | Custo de servir '!Y13</f>
        <v>13.830950210724284</v>
      </c>
      <c r="J8" s="243">
        <f>'9.5 CTS | Custo de servir '!Z13</f>
        <v>13.978975088428397</v>
      </c>
      <c r="K8" s="243">
        <f>'9.5 CTS | Custo de servir '!AA13</f>
        <v>13.138845255832354</v>
      </c>
      <c r="L8" s="243">
        <f>'9.5 CTS | Custo de servir '!AB13</f>
        <v>13.147140123242322</v>
      </c>
      <c r="M8" s="243">
        <f>'9.5 CTS | Custo de servir '!AC13</f>
        <v>13.052704930319202</v>
      </c>
      <c r="N8" s="243">
        <f>'9.5 CTS | Custo de servir '!AD13</f>
        <v>13.829302599792996</v>
      </c>
      <c r="O8" s="243">
        <f>'9.5 CTS | Custo de servir '!AE13</f>
        <v>13.073021598752886</v>
      </c>
      <c r="P8" s="243"/>
      <c r="Q8" s="244">
        <f>O8/N8-1</f>
        <v>-5.4686850300855405E-2</v>
      </c>
      <c r="R8" s="244">
        <f>O8/K8-1</f>
        <v>-5.0098510027164478E-3</v>
      </c>
      <c r="U8" s="233"/>
      <c r="V8" s="233"/>
      <c r="W8" s="233"/>
      <c r="X8" s="233"/>
      <c r="Y8" s="233"/>
    </row>
    <row r="9" spans="1:28" ht="13" customHeight="1">
      <c r="A9" s="225"/>
      <c r="B9" s="21"/>
      <c r="C9" s="232"/>
      <c r="D9" s="232"/>
      <c r="E9" s="232"/>
      <c r="F9" s="232"/>
      <c r="G9" s="232"/>
      <c r="H9" s="232"/>
      <c r="I9" s="232"/>
      <c r="J9" s="232"/>
      <c r="K9" s="232"/>
      <c r="L9" s="232"/>
      <c r="M9" s="232"/>
      <c r="N9" s="232"/>
      <c r="O9" s="232"/>
      <c r="P9" s="233"/>
      <c r="Q9" s="551"/>
      <c r="R9" s="551"/>
      <c r="U9" s="233"/>
      <c r="V9" s="233"/>
      <c r="W9" s="233"/>
      <c r="X9" s="233"/>
      <c r="Y9" s="233"/>
    </row>
    <row r="10" spans="1:28" ht="13" customHeight="1">
      <c r="A10" s="225"/>
      <c r="B10" s="258" t="str">
        <f>IF('Summary | Sumário'!$D$6=Names!$B$3,Names!BV11,Names!BW11)</f>
        <v>Income Statement</v>
      </c>
      <c r="Q10" s="555"/>
      <c r="R10" s="555"/>
      <c r="U10" s="233"/>
      <c r="V10" s="233"/>
      <c r="W10" s="233"/>
      <c r="X10" s="233"/>
      <c r="Y10" s="233"/>
    </row>
    <row r="11" spans="1:28" ht="13" customHeight="1">
      <c r="A11" s="225"/>
      <c r="B11" s="259" t="str">
        <f>IF('Summary | Sumário'!$D$6=Names!$B$3,Names!BV12,Names!BW12)</f>
        <v>Gross Revenue (R$ mm)</v>
      </c>
      <c r="C11" s="546">
        <f>'9.6 ARPAC'!S6/1000</f>
        <v>1799.831124</v>
      </c>
      <c r="D11" s="546">
        <f>'9.6 ARPAC'!T6/1000</f>
        <v>1938.5419999999999</v>
      </c>
      <c r="E11" s="546">
        <f>'9.6 ARPAC'!U6/1000</f>
        <v>2143.4656082400002</v>
      </c>
      <c r="F11" s="546">
        <f>'9.6 ARPAC'!V6/1000</f>
        <v>2196.9458677600005</v>
      </c>
      <c r="G11" s="546">
        <f>'9.6 ARPAC'!W6/1000</f>
        <v>2290.6758497401747</v>
      </c>
      <c r="H11" s="546">
        <f>'9.6 ARPAC'!X6/1000</f>
        <v>2403.8589965225306</v>
      </c>
      <c r="I11" s="546">
        <f>'9.6 ARPAC'!Y6/1000</f>
        <v>2684.1756090135718</v>
      </c>
      <c r="J11" s="546">
        <f>'9.6 ARPAC'!Z6/1000</f>
        <v>2963.3196558176555</v>
      </c>
      <c r="K11" s="546">
        <f>'9.6 ARPAC'!AA6/1000</f>
        <v>3161.7276999999999</v>
      </c>
      <c r="L11" s="546">
        <f>'9.6 ARPAC'!AB6/1000</f>
        <v>3566.9474</v>
      </c>
      <c r="M11" s="546">
        <f>'9.6 ARPAC'!AC6/1000</f>
        <v>3976.63</v>
      </c>
      <c r="N11" s="546">
        <f>'9.6 ARPAC'!AD6/1000</f>
        <v>4293.5729000000001</v>
      </c>
      <c r="O11" s="546">
        <f>'9.6 ARPAC'!AE6/1000</f>
        <v>4346.152</v>
      </c>
      <c r="P11" s="233"/>
      <c r="Q11" s="261">
        <f>O11/N11-1</f>
        <v>1.2246001459530254E-2</v>
      </c>
      <c r="R11" s="261">
        <f>O11/K11-1</f>
        <v>0.37461300035420519</v>
      </c>
      <c r="U11" s="233"/>
      <c r="V11" s="233"/>
      <c r="W11" s="233"/>
      <c r="X11" s="233"/>
      <c r="Y11" s="233"/>
    </row>
    <row r="12" spans="1:28" ht="13" customHeight="1">
      <c r="A12" s="225"/>
      <c r="B12" s="15" t="str">
        <f>IF('Summary | Sumário'!$D$6=Names!$B$3,Names!BV13,Names!BW13)</f>
        <v>Net Revenues (R$ mm)</v>
      </c>
      <c r="C12" s="202">
        <f>'3. IS | DRE'!S12/1000</f>
        <v>1024.1141240000002</v>
      </c>
      <c r="D12" s="202">
        <f>'3. IS | DRE'!T12/1000</f>
        <v>1150.0340000000001</v>
      </c>
      <c r="E12" s="202">
        <f>'3. IS | DRE'!U12/1000</f>
        <v>1265.4956082399999</v>
      </c>
      <c r="F12" s="202">
        <f>'3. IS | DRE'!V12/1000</f>
        <v>1312.93386276</v>
      </c>
      <c r="G12" s="202">
        <f>'3. IS | DRE'!W12/1000</f>
        <v>1400.9401153715321</v>
      </c>
      <c r="H12" s="202">
        <f>'3. IS | DRE'!X12/1000</f>
        <v>1478.5978110425297</v>
      </c>
      <c r="I12" s="202">
        <f>'3. IS | DRE'!Y12/1000</f>
        <v>1676.142244553572</v>
      </c>
      <c r="J12" s="202">
        <f>'3. IS | DRE'!Z12/1000</f>
        <v>1844.4850262437662</v>
      </c>
      <c r="K12" s="202">
        <f>'3. IS | DRE'!AA12/1000</f>
        <v>1837.8011000000001</v>
      </c>
      <c r="L12" s="202">
        <f>'3. IS | DRE'!AB12/1000</f>
        <v>2003.0824</v>
      </c>
      <c r="M12" s="202">
        <f>'3. IS | DRE'!AC12/1000</f>
        <v>2162.1640000000002</v>
      </c>
      <c r="N12" s="202">
        <f>'3. IS | DRE'!AD12/1000</f>
        <v>2397.8905</v>
      </c>
      <c r="O12" s="202">
        <f>'3. IS | DRE'!AE12/1000</f>
        <v>2440.9870000000001</v>
      </c>
      <c r="P12" s="202"/>
      <c r="Q12" s="244">
        <f>O12/N12-1</f>
        <v>1.7972672230028852E-2</v>
      </c>
      <c r="R12" s="244">
        <f>O12/K12-1</f>
        <v>0.32821065348148926</v>
      </c>
      <c r="U12" s="233"/>
      <c r="V12" s="233"/>
      <c r="W12" s="233"/>
      <c r="X12" s="233"/>
      <c r="Y12" s="233"/>
    </row>
    <row r="13" spans="1:28" ht="13" customHeight="1">
      <c r="A13" s="225"/>
      <c r="B13" s="21" t="str">
        <f>IF('Summary | Sumário'!$D$6=Names!$B$3,Names!BV14,Names!BW14)</f>
        <v>Pre Tax Net Income (R$ mm)</v>
      </c>
      <c r="C13" s="552">
        <f>'3. IS | DRE'!S23/1000</f>
        <v>5.8971240000000691</v>
      </c>
      <c r="D13" s="552">
        <f>'3. IS | DRE'!T23/1000</f>
        <v>80.299000000000007</v>
      </c>
      <c r="E13" s="552">
        <f>'3. IS | DRE'!U23/1000</f>
        <v>145.35400000000001</v>
      </c>
      <c r="F13" s="552">
        <f>'3. IS | DRE'!V23/1000</f>
        <v>208.29187599999995</v>
      </c>
      <c r="G13" s="552">
        <f>'3. IS | DRE'!W23/1000</f>
        <v>273.73200000000003</v>
      </c>
      <c r="H13" s="552">
        <f>'3. IS | DRE'!X23/1000</f>
        <v>297.60700000000003</v>
      </c>
      <c r="I13" s="552">
        <f>'3. IS | DRE'!Y23/1000</f>
        <v>293.95208107357217</v>
      </c>
      <c r="J13" s="552">
        <f>'3. IS | DRE'!Z23/1000</f>
        <v>340.25850124376643</v>
      </c>
      <c r="K13" s="552">
        <f>'3. IS | DRE'!AA23/1000</f>
        <v>357.54690000000016</v>
      </c>
      <c r="L13" s="552">
        <f>'3. IS | DRE'!AB23/1000</f>
        <v>383.52819999999997</v>
      </c>
      <c r="M13" s="552">
        <f>'3. IS | DRE'!AC23/1000</f>
        <v>417.92540000000002</v>
      </c>
      <c r="N13" s="552">
        <f>'3. IS | DRE'!AD23/1000</f>
        <v>465.18649999999974</v>
      </c>
      <c r="O13" s="552">
        <f>'3. IS | DRE'!AE23/1000</f>
        <v>477.11799999999999</v>
      </c>
      <c r="P13" s="245"/>
      <c r="Q13" s="242">
        <f>O13/N13-1</f>
        <v>2.564885266446959E-2</v>
      </c>
      <c r="R13" s="242">
        <f>O13/K13-1</f>
        <v>0.33442074312488734</v>
      </c>
      <c r="U13" s="233"/>
      <c r="V13" s="233"/>
      <c r="W13" s="233"/>
      <c r="X13" s="233"/>
      <c r="Y13" s="233"/>
    </row>
    <row r="14" spans="1:28" ht="13" customHeight="1">
      <c r="A14" s="225"/>
      <c r="B14" s="15" t="str">
        <f>IF('Summary | Sumário'!$D$6=Names!$B$3,Names!BV16,Names!BW16)</f>
        <v>Net Income (R$ mm)</v>
      </c>
      <c r="C14" s="202">
        <f>'3. IS | DRE'!S29/1000</f>
        <v>11.404999999999999</v>
      </c>
      <c r="D14" s="202">
        <f>'3. IS | DRE'!T29/1000</f>
        <v>48.746000000000002</v>
      </c>
      <c r="E14" s="202">
        <f>'3. IS | DRE'!U29/1000</f>
        <v>91.290999999999997</v>
      </c>
      <c r="F14" s="202">
        <f>'3. IS | DRE'!V29/1000</f>
        <v>150.90100000000001</v>
      </c>
      <c r="G14" s="202">
        <f>'3. IS | DRE'!W29/1000</f>
        <v>182.79300000000001</v>
      </c>
      <c r="H14" s="202">
        <f>'3. IS | DRE'!X29/1000</f>
        <v>206.47900000000001</v>
      </c>
      <c r="I14" s="202">
        <f>'3. IS | DRE'!Y29/1000</f>
        <v>242.67099999999999</v>
      </c>
      <c r="J14" s="202">
        <f>'3. IS | DRE'!Z29/1000</f>
        <v>275.18900000000002</v>
      </c>
      <c r="K14" s="202">
        <f>'3. IS | DRE'!AA29/1000</f>
        <v>286.52199999999999</v>
      </c>
      <c r="L14" s="202">
        <f>'3. IS | DRE'!AB29/1000</f>
        <v>315.13079999999997</v>
      </c>
      <c r="M14" s="202">
        <f>'3. IS | DRE'!AC29/1000</f>
        <v>336.34520000000003</v>
      </c>
      <c r="N14" s="202">
        <f>'3. IS | DRE'!AD29/1000</f>
        <v>374.392</v>
      </c>
      <c r="O14" s="202">
        <f>'3. IS | DRE'!AE29/1000</f>
        <v>394.78800000000001</v>
      </c>
      <c r="P14" s="202"/>
      <c r="Q14" s="244">
        <f>O14/N14-1</f>
        <v>5.4477659779055054E-2</v>
      </c>
      <c r="R14" s="244">
        <f>O14/K14-1</f>
        <v>0.37786278191552491</v>
      </c>
      <c r="U14" s="233"/>
      <c r="V14" s="233"/>
      <c r="W14" s="233"/>
      <c r="X14" s="233"/>
      <c r="Y14" s="233"/>
    </row>
    <row r="15" spans="1:28" s="704" customFormat="1" ht="13" customHeight="1">
      <c r="A15" s="700"/>
      <c r="B15" s="696"/>
      <c r="C15" s="701"/>
      <c r="D15" s="701"/>
      <c r="E15" s="701"/>
      <c r="F15" s="701"/>
      <c r="G15" s="701"/>
      <c r="H15" s="701"/>
      <c r="I15" s="701"/>
      <c r="J15" s="701"/>
      <c r="K15" s="701"/>
      <c r="L15" s="701"/>
      <c r="M15" s="701"/>
      <c r="N15" s="701"/>
      <c r="O15" s="701"/>
      <c r="P15" s="202"/>
      <c r="Q15" s="702"/>
      <c r="R15" s="702"/>
      <c r="S15" s="703"/>
      <c r="T15" s="703"/>
      <c r="U15" s="701"/>
      <c r="V15" s="701"/>
      <c r="W15" s="701"/>
      <c r="X15" s="701"/>
      <c r="Y15" s="701"/>
    </row>
    <row r="16" spans="1:28" s="704" customFormat="1" ht="13" customHeight="1">
      <c r="A16" s="700"/>
      <c r="B16" s="23" t="str">
        <f>IF('Summary | Sumário'!$D$6=Names!$B$3,Names!BV17,Names!BW17)</f>
        <v>Balance Sheet &amp; Capital</v>
      </c>
      <c r="C16" s="263"/>
      <c r="D16" s="263"/>
      <c r="E16" s="263"/>
      <c r="F16" s="263"/>
      <c r="G16" s="263"/>
      <c r="H16" s="263"/>
      <c r="I16" s="263"/>
      <c r="J16" s="263"/>
      <c r="K16" s="263"/>
      <c r="L16" s="263"/>
      <c r="M16" s="263"/>
      <c r="N16" s="263"/>
      <c r="O16" s="263"/>
      <c r="P16" s="240"/>
      <c r="Q16" s="650"/>
      <c r="R16" s="650"/>
      <c r="S16" s="703"/>
      <c r="T16" s="703"/>
      <c r="U16" s="705"/>
      <c r="V16" s="705"/>
      <c r="W16" s="705"/>
      <c r="X16" s="705"/>
      <c r="Y16" s="705"/>
      <c r="Z16" s="706"/>
    </row>
    <row r="17" spans="1:26" s="704" customFormat="1" ht="13" customHeight="1">
      <c r="A17" s="700"/>
      <c r="B17" s="707" t="str">
        <f>IF('Summary | Sumário'!$D$6=Names!$B$3,Names!BV18,Names!BW18)</f>
        <v>Gross Loan Portfolio (R$ bn)</v>
      </c>
      <c r="C17" s="708">
        <f>'9.1 Asset Quality'!S5/1000000</f>
        <v>23.832874</v>
      </c>
      <c r="D17" s="708">
        <f>'9.1 Asset Quality'!T5/1000000</f>
        <v>25.141383000000001</v>
      </c>
      <c r="E17" s="708">
        <f>'9.1 Asset Quality'!U5/1000000</f>
        <v>27.043600999999999</v>
      </c>
      <c r="F17" s="708">
        <f>'9.1 Asset Quality'!V5/1000000</f>
        <v>29.784300999999999</v>
      </c>
      <c r="G17" s="708">
        <f>'9.1 Asset Quality'!W5/1000000</f>
        <v>30.858626881090203</v>
      </c>
      <c r="H17" s="708">
        <f>'9.1 Asset Quality'!X5/1000000</f>
        <v>32.971552000000003</v>
      </c>
      <c r="I17" s="708">
        <f>'9.1 Asset Quality'!Y5/1000000</f>
        <v>33.705888000000002</v>
      </c>
      <c r="J17" s="708">
        <f>'9.1 Asset Quality'!Z5/1000000</f>
        <v>35.596293000000003</v>
      </c>
      <c r="K17" s="708">
        <f>'9.1 Asset Quality'!AA5/1000000</f>
        <v>37.395324000000002</v>
      </c>
      <c r="L17" s="708">
        <f>'9.1 Asset Quality'!AB5/1000000</f>
        <v>40.236766000000003</v>
      </c>
      <c r="M17" s="708">
        <f>'9.1 Asset Quality'!AC5/1000000</f>
        <v>43.81812</v>
      </c>
      <c r="N17" s="708">
        <f>'9.1 Asset Quality'!AD5/1000000</f>
        <v>48.251179999999998</v>
      </c>
      <c r="O17" s="708">
        <f>'9.1 Asset Quality'!AE5/1000000</f>
        <v>49.822074999999998</v>
      </c>
      <c r="P17" s="243"/>
      <c r="Q17" s="710">
        <f>O17/N17-1</f>
        <v>3.2556613123243761E-2</v>
      </c>
      <c r="R17" s="711">
        <f>O17/K17-1</f>
        <v>0.33230761685605392</v>
      </c>
      <c r="S17" s="703"/>
      <c r="T17" s="703"/>
      <c r="U17" s="705"/>
      <c r="V17" s="705"/>
      <c r="W17" s="705"/>
      <c r="X17" s="705"/>
      <c r="Y17" s="705"/>
    </row>
    <row r="18" spans="1:26" s="704" customFormat="1" ht="13" customHeight="1">
      <c r="A18" s="700"/>
      <c r="B18" s="21" t="str">
        <f>IF('Summary | Sumário'!$D$6=Names!$B$3,Names!BV19,Names!BW19)</f>
        <v>Funding (R$ bn)</v>
      </c>
      <c r="C18" s="241">
        <f>'4. Funding'!S15/1000000</f>
        <v>33.532685000000001</v>
      </c>
      <c r="D18" s="241">
        <f>'4. Funding'!T15/1000000</f>
        <v>35.665087040739998</v>
      </c>
      <c r="E18" s="241">
        <f>'4. Funding'!U15/1000000</f>
        <v>39.571626560479999</v>
      </c>
      <c r="F18" s="241">
        <f>'4. Funding'!V15/1000000</f>
        <v>43.513032000000003</v>
      </c>
      <c r="G18" s="241">
        <f>'4. Funding'!W15/1000000</f>
        <v>43.783581005715945</v>
      </c>
      <c r="H18" s="241">
        <f>'4. Funding'!X15/1000000</f>
        <v>47.759601090000004</v>
      </c>
      <c r="I18" s="241">
        <f>'4. Funding'!Y15/1000000</f>
        <v>50.267847091739995</v>
      </c>
      <c r="J18" s="241">
        <f>'4. Funding'!Z15/1000000</f>
        <v>55.065296396439997</v>
      </c>
      <c r="K18" s="241">
        <f>'4. Funding'!AA15/1000000</f>
        <v>59.074108000000003</v>
      </c>
      <c r="L18" s="241">
        <f>'4. Funding'!AB15/1000000</f>
        <v>62.241709999999998</v>
      </c>
      <c r="M18" s="241">
        <f>'4. Funding'!AC15/1000000</f>
        <v>67.948663999999994</v>
      </c>
      <c r="N18" s="241">
        <f>'4. Funding'!AD15/1000000</f>
        <v>72.919606000000002</v>
      </c>
      <c r="O18" s="241">
        <f>'4. Funding'!AE15/1000000</f>
        <v>74.065933000000001</v>
      </c>
      <c r="P18" s="243"/>
      <c r="Q18" s="242">
        <f>O18/N18-1</f>
        <v>1.572042229630255E-2</v>
      </c>
      <c r="R18" s="554">
        <f>O18/K18-1</f>
        <v>0.25377996397338753</v>
      </c>
      <c r="S18" s="703"/>
      <c r="T18" s="703"/>
      <c r="U18" s="701"/>
      <c r="V18" s="701"/>
      <c r="W18" s="701"/>
      <c r="X18" s="701"/>
      <c r="Y18" s="701"/>
    </row>
    <row r="19" spans="1:26" s="704" customFormat="1" ht="13" customHeight="1">
      <c r="A19" s="700"/>
      <c r="B19" s="696" t="str">
        <f>IF('Summary | Sumário'!$D$6=Names!$B$3,Names!BV20,Names!BW20)</f>
        <v>Shareholders` Equity (R$ bn)</v>
      </c>
      <c r="C19" s="709">
        <f>'2. BS | BP'!S36/1000000</f>
        <v>7.1399059999999999</v>
      </c>
      <c r="D19" s="709">
        <f>'2. BS | BP'!T36/1000000</f>
        <v>7.3176579999999998</v>
      </c>
      <c r="E19" s="709">
        <f>'2. BS | BP'!U36/1000000</f>
        <v>7.3682270000000001</v>
      </c>
      <c r="F19" s="709">
        <f>'2. BS | BP'!V36/1000000</f>
        <v>7.5966909999999999</v>
      </c>
      <c r="G19" s="709">
        <f>'2. BS | BP'!W36/1000000</f>
        <v>8.5384520009060338</v>
      </c>
      <c r="H19" s="709">
        <f>'2. BS | BP'!X36/1000000</f>
        <v>8.6075355620000007</v>
      </c>
      <c r="I19" s="709">
        <f>'2. BS | BP'!Y36/1000000</f>
        <v>8.8673380000000002</v>
      </c>
      <c r="J19" s="709">
        <f>'2. BS | BP'!Z36/1000000</f>
        <v>9.0723070000000003</v>
      </c>
      <c r="K19" s="709">
        <f>'2. BS | BP'!AA36/1000000</f>
        <v>9.0128500000000003</v>
      </c>
      <c r="L19" s="709">
        <f>'2. BS | BP'!AB36/1000000</f>
        <v>9.3878319999999995</v>
      </c>
      <c r="M19" s="709">
        <f>'2. BS | BP'!AC36/1000000</f>
        <v>9.8081320000000005</v>
      </c>
      <c r="N19" s="709">
        <f>'2. BS | BP'!AD36/1000000</f>
        <v>10.392962000000001</v>
      </c>
      <c r="O19" s="709">
        <f>'2. BS | BP'!AE36/1000000</f>
        <v>10.413729999999999</v>
      </c>
      <c r="P19" s="243"/>
      <c r="Q19" s="702">
        <f>O19/N19-1</f>
        <v>1.9982753713521095E-3</v>
      </c>
      <c r="R19" s="712">
        <f>O19/K19-1</f>
        <v>0.15543141181757147</v>
      </c>
      <c r="S19" s="703"/>
      <c r="T19" s="703"/>
      <c r="U19" s="701"/>
      <c r="V19" s="701"/>
      <c r="W19" s="701"/>
      <c r="X19" s="701"/>
      <c r="Y19" s="701"/>
      <c r="Z19" s="713"/>
    </row>
    <row r="20" spans="1:26" s="704" customFormat="1" ht="13" customHeight="1">
      <c r="A20" s="700"/>
      <c r="B20" s="21"/>
      <c r="C20" s="232"/>
      <c r="D20" s="232"/>
      <c r="E20" s="232"/>
      <c r="F20" s="232"/>
      <c r="G20" s="232"/>
      <c r="H20" s="232"/>
      <c r="I20" s="232"/>
      <c r="J20" s="232"/>
      <c r="K20" s="232"/>
      <c r="L20" s="232"/>
      <c r="M20" s="232"/>
      <c r="N20" s="232"/>
      <c r="O20" s="232"/>
      <c r="P20" s="233"/>
      <c r="Q20" s="551"/>
      <c r="R20" s="247"/>
      <c r="S20" s="703"/>
      <c r="T20" s="703"/>
      <c r="U20" s="701"/>
      <c r="V20" s="701"/>
      <c r="W20" s="701"/>
      <c r="X20" s="701"/>
      <c r="Y20" s="701"/>
    </row>
    <row r="21" spans="1:26" ht="13" customHeight="1">
      <c r="A21" s="225"/>
      <c r="B21" s="613" t="str">
        <f>IF('Summary | Sumário'!$D$6=Names!$B$3,Names!BV28,Names!BW28)</f>
        <v>Asset Quality</v>
      </c>
      <c r="Q21" s="555"/>
      <c r="R21" s="555"/>
      <c r="U21" s="237"/>
      <c r="V21" s="237"/>
      <c r="W21" s="237"/>
      <c r="X21" s="237"/>
      <c r="Y21" s="214"/>
    </row>
    <row r="22" spans="1:26" s="704" customFormat="1" ht="13" customHeight="1">
      <c r="A22" s="700"/>
      <c r="B22" s="749" t="str">
        <f>IF('Summary | Sumário'!$D$6=Names!$B$3,Names!BV29,Names!BW29)</f>
        <v>NPL &gt; 90 days (%)</v>
      </c>
      <c r="C22" s="750">
        <f>'9.1 Asset Quality'!S27</f>
        <v>4.6662962679196812E-2</v>
      </c>
      <c r="D22" s="750">
        <f>'9.1 Asset Quality'!T27</f>
        <v>4.9425852547570676E-2</v>
      </c>
      <c r="E22" s="750">
        <f>'9.1 Asset Quality'!U27</f>
        <v>4.897935840718845E-2</v>
      </c>
      <c r="F22" s="750">
        <f>'9.1 Asset Quality'!V27</f>
        <v>4.7856496246126444E-2</v>
      </c>
      <c r="G22" s="750">
        <f>'9.1 Asset Quality'!W27</f>
        <v>5.0319540600866214E-2</v>
      </c>
      <c r="H22" s="750">
        <f>'9.1 Asset Quality'!X27</f>
        <v>5.0439663352820033E-2</v>
      </c>
      <c r="I22" s="750">
        <f>'9.1 Asset Quality'!Y27</f>
        <v>5.1018439999266599E-2</v>
      </c>
      <c r="J22" s="750">
        <f>'9.1 Asset Quality'!Z27</f>
        <v>4.8799437543959982E-2</v>
      </c>
      <c r="K22" s="750">
        <f>'9.1 Asset Quality'!AA27</f>
        <v>4.638002809709578E-2</v>
      </c>
      <c r="L22" s="750">
        <f>'9.1 Asset Quality'!AB27</f>
        <v>4.5774257349360532E-2</v>
      </c>
      <c r="M22" s="750">
        <f>'9.1 Asset Quality'!AC27</f>
        <v>4.5249910785309821E-2</v>
      </c>
      <c r="N22" s="750">
        <f>'9.1 Asset Quality'!AD27</f>
        <v>4.6958359058369141E-2</v>
      </c>
      <c r="O22" s="750">
        <f>'9.1 Asset Quality'!AE27</f>
        <v>5.1099706461844467E-2</v>
      </c>
      <c r="P22" s="248"/>
      <c r="Q22" s="751">
        <f>(O22-N22)*100</f>
        <v>0.41413474034753261</v>
      </c>
      <c r="R22" s="752">
        <f>(O22-K22)*100</f>
        <v>0.47196783647486873</v>
      </c>
      <c r="S22" s="703"/>
      <c r="T22" s="703"/>
      <c r="U22" s="705"/>
      <c r="V22" s="705"/>
      <c r="W22" s="705"/>
      <c r="X22" s="705"/>
      <c r="Y22" s="705"/>
    </row>
    <row r="23" spans="1:26" s="704" customFormat="1" ht="13" customHeight="1">
      <c r="A23" s="700"/>
      <c r="B23" s="753" t="str">
        <f>IF('Summary | Sumário'!$D$6=Names!$B$3,Names!BV30,Names!BW30)</f>
        <v>NPL 15-90 days (%)</v>
      </c>
      <c r="C23" s="248">
        <f>'9.1 Asset Quality'!S22</f>
        <v>4.5822062207017081E-2</v>
      </c>
      <c r="D23" s="248">
        <f>'9.1 Asset Quality'!T22</f>
        <v>4.4189658142513487E-2</v>
      </c>
      <c r="E23" s="248">
        <f>'9.1 Asset Quality'!U22</f>
        <v>4.4552352735865317E-2</v>
      </c>
      <c r="F23" s="248">
        <f>'9.1 Asset Quality'!V22</f>
        <v>4.1734808783996644E-2</v>
      </c>
      <c r="G23" s="248">
        <f>'9.1 Asset Quality'!W22</f>
        <v>4.5923253875511862E-2</v>
      </c>
      <c r="H23" s="248">
        <f>'9.1 Asset Quality'!X22</f>
        <v>4.2510326089897139E-2</v>
      </c>
      <c r="I23" s="248">
        <f>'9.1 Asset Quality'!Y22</f>
        <v>4.0660487638836278E-2</v>
      </c>
      <c r="J23" s="248">
        <f>'9.1 Asset Quality'!Z22</f>
        <v>3.9660437991675145E-2</v>
      </c>
      <c r="K23" s="248">
        <f>'9.1 Asset Quality'!AA22</f>
        <v>4.27586329804229E-2</v>
      </c>
      <c r="L23" s="248">
        <f>'9.1 Asset Quality'!AB22</f>
        <v>4.0856053728075457E-2</v>
      </c>
      <c r="M23" s="248">
        <f>'9.1 Asset Quality'!AC22</f>
        <v>4.0506467799850843E-2</v>
      </c>
      <c r="N23" s="248">
        <f>'9.1 Asset Quality'!AD22</f>
        <v>4.0136741538756154E-2</v>
      </c>
      <c r="O23" s="248">
        <f>'9.1 Asset Quality'!AE22</f>
        <v>4.5854962355542199E-2</v>
      </c>
      <c r="P23" s="248"/>
      <c r="Q23" s="754">
        <f>(O23-N23)*100</f>
        <v>0.57182208167860449</v>
      </c>
      <c r="R23" s="755">
        <f>(O23-K23)*100</f>
        <v>0.30963293751192988</v>
      </c>
      <c r="S23" s="703"/>
      <c r="T23" s="703"/>
      <c r="U23" s="705"/>
      <c r="V23" s="705"/>
      <c r="W23" s="705"/>
      <c r="X23" s="705"/>
      <c r="Y23" s="705"/>
    </row>
    <row r="24" spans="1:26" s="704" customFormat="1" ht="13" customHeight="1">
      <c r="A24" s="700"/>
      <c r="B24" s="762" t="str">
        <f>IF('Summary | Sumário'!$D$6=Names!$B$3,Names!BV31,Names!BW31)</f>
        <v>Coverage Ratio (%)</v>
      </c>
      <c r="C24" s="313">
        <f>'9.1 Asset Quality'!S34</f>
        <v>1.3416430321424944</v>
      </c>
      <c r="D24" s="313">
        <f>'9.1 Asset Quality'!T34</f>
        <v>1.3296856642590198</v>
      </c>
      <c r="E24" s="313">
        <f>'9.1 Asset Quality'!U34</f>
        <v>1.3188960574080884</v>
      </c>
      <c r="F24" s="313">
        <f>'9.1 Asset Quality'!V34</f>
        <v>1.343397801947867</v>
      </c>
      <c r="G24" s="313">
        <f>'9.1 Asset Quality'!W34</f>
        <v>1.325796015185797</v>
      </c>
      <c r="H24" s="313">
        <f>'9.1 Asset Quality'!X34</f>
        <v>1.3017531336546826</v>
      </c>
      <c r="I24" s="313">
        <f>'9.1 Asset Quality'!Y34</f>
        <v>1.2953231740838689</v>
      </c>
      <c r="J24" s="313">
        <f>'9.1 Asset Quality'!Z34</f>
        <v>1.3625649121395018</v>
      </c>
      <c r="K24" s="313">
        <f>'9.1 Asset Quality'!AA34</f>
        <v>1.4254534411552315</v>
      </c>
      <c r="L24" s="313">
        <f>'9.1 Asset Quality'!AB34</f>
        <v>1.4339593935505011</v>
      </c>
      <c r="M24" s="313">
        <f>'9.1 Asset Quality'!AC34</f>
        <v>1.4631857564609239</v>
      </c>
      <c r="N24" s="313">
        <f>'9.1 Asset Quality'!AD34</f>
        <v>1.4144886243011037</v>
      </c>
      <c r="O24" s="313">
        <f>'9.1 Asset Quality'!AE34</f>
        <v>1.3739412613488764</v>
      </c>
      <c r="P24" s="248"/>
      <c r="Q24" s="763">
        <f>(O24-N24)*100</f>
        <v>-4.0547362952227273</v>
      </c>
      <c r="R24" s="764">
        <f>(O24-K24)*100</f>
        <v>-5.1512179806355141</v>
      </c>
      <c r="S24" s="703"/>
      <c r="T24" s="703"/>
      <c r="U24" s="714"/>
      <c r="V24" s="714"/>
      <c r="W24" s="714"/>
      <c r="X24" s="714"/>
      <c r="Y24" s="714"/>
    </row>
    <row r="25" spans="1:26" s="704" customFormat="1" ht="13" customHeight="1">
      <c r="A25" s="700"/>
      <c r="B25" s="756"/>
      <c r="C25" s="233"/>
      <c r="D25" s="233"/>
      <c r="E25" s="233"/>
      <c r="F25" s="233"/>
      <c r="G25" s="233"/>
      <c r="H25" s="233"/>
      <c r="I25" s="233"/>
      <c r="J25" s="233"/>
      <c r="K25" s="233"/>
      <c r="L25" s="233"/>
      <c r="M25" s="233"/>
      <c r="N25" s="233"/>
      <c r="O25" s="233"/>
      <c r="P25" s="233"/>
      <c r="Q25" s="757"/>
      <c r="R25" s="758"/>
      <c r="S25" s="703"/>
      <c r="T25" s="703"/>
      <c r="U25" s="701"/>
      <c r="V25" s="701"/>
      <c r="W25" s="701"/>
      <c r="X25" s="701"/>
      <c r="Y25" s="701"/>
    </row>
    <row r="26" spans="1:26" s="704" customFormat="1" ht="13" customHeight="1">
      <c r="A26" s="700"/>
      <c r="B26" s="765" t="str">
        <f>IF('Summary | Sumário'!$D$6=Names!$B$3,Names!BV33,Names!BW33)</f>
        <v>Performance KPIs</v>
      </c>
      <c r="C26" s="766"/>
      <c r="D26" s="766"/>
      <c r="E26" s="766"/>
      <c r="F26" s="766"/>
      <c r="G26" s="766"/>
      <c r="H26" s="766"/>
      <c r="I26" s="766"/>
      <c r="J26" s="766"/>
      <c r="K26" s="766"/>
      <c r="L26" s="766"/>
      <c r="M26" s="766"/>
      <c r="N26" s="766"/>
      <c r="O26" s="766"/>
      <c r="P26" s="240"/>
      <c r="Q26" s="767"/>
      <c r="R26" s="767"/>
      <c r="S26" s="703"/>
      <c r="T26" s="703"/>
      <c r="U26" s="701"/>
      <c r="V26" s="701"/>
      <c r="W26" s="701"/>
      <c r="X26" s="701"/>
      <c r="Y26" s="701"/>
    </row>
    <row r="27" spans="1:26" s="704" customFormat="1" ht="13" customHeight="1">
      <c r="A27" s="700"/>
      <c r="B27" s="264" t="str">
        <f>IF('Summary | Sumário'!D$6=Names!B$3,Names!Q7,Names!R7)</f>
        <v>NIM 2.0 (%)</v>
      </c>
      <c r="C27" s="759">
        <f>'9.2 NIM &amp; Yields'!S9</f>
        <v>7.7923974174730459E-2</v>
      </c>
      <c r="D27" s="759">
        <f>'9.2 NIM &amp; Yields'!T9</f>
        <v>8.5539472440613981E-2</v>
      </c>
      <c r="E27" s="759">
        <f>'9.2 NIM &amp; Yields'!U9</f>
        <v>8.1482839464113735E-2</v>
      </c>
      <c r="F27" s="759">
        <f>'9.2 NIM &amp; Yields'!V9</f>
        <v>7.8697434892860935E-2</v>
      </c>
      <c r="G27" s="759">
        <f>'9.2 NIM &amp; Yields'!W9</f>
        <v>8.2180472229888515E-2</v>
      </c>
      <c r="H27" s="759">
        <f>'9.2 NIM &amp; Yields'!X9</f>
        <v>8.2371027681412398E-2</v>
      </c>
      <c r="I27" s="759">
        <f>'9.2 NIM &amp; Yields'!Y9</f>
        <v>8.6757681580365315E-2</v>
      </c>
      <c r="J27" s="759">
        <f>'9.2 NIM &amp; Yields'!Z9</f>
        <v>8.7425087440085245E-2</v>
      </c>
      <c r="K27" s="759">
        <f>'9.2 NIM &amp; Yields'!AA9</f>
        <v>8.8434242308333022E-2</v>
      </c>
      <c r="L27" s="759">
        <f>'9.2 NIM &amp; Yields'!AB9</f>
        <v>9.0695418380868989E-2</v>
      </c>
      <c r="M27" s="759">
        <f>'9.2 NIM &amp; Yields'!AC9</f>
        <v>9.279500492766278E-2</v>
      </c>
      <c r="N27" s="759">
        <f>'9.2 NIM &amp; Yields'!AD9</f>
        <v>9.5655044278617249E-2</v>
      </c>
      <c r="O27" s="759">
        <f>'9.2 NIM &amp; Yields'!AE9</f>
        <v>9.5391516057075132E-2</v>
      </c>
      <c r="P27" s="233"/>
      <c r="Q27" s="760">
        <f>(O27-N27)*100</f>
        <v>-2.6352822154211697E-2</v>
      </c>
      <c r="R27" s="761">
        <f>(O27-K27)*100</f>
        <v>0.69572737487421099</v>
      </c>
      <c r="S27" s="703"/>
      <c r="T27" s="703"/>
      <c r="U27" s="701"/>
      <c r="V27" s="701"/>
      <c r="W27" s="701"/>
      <c r="X27" s="701"/>
      <c r="Y27" s="701"/>
    </row>
    <row r="28" spans="1:26" s="704" customFormat="1" ht="13" customHeight="1">
      <c r="A28" s="700"/>
      <c r="B28" s="762" t="str">
        <f>IF('Summary | Sumário'!D$6=Names!B$3,Names!Q9,Names!R9)</f>
        <v>Risk-Adjusted NIM 2.0 (%)</v>
      </c>
      <c r="C28" s="768">
        <f>'9.2 NIM &amp; Yields'!S18</f>
        <v>4.0309153521016335E-2</v>
      </c>
      <c r="D28" s="768">
        <f>'9.2 NIM &amp; Yields'!T18</f>
        <v>4.4378043460152256E-2</v>
      </c>
      <c r="E28" s="768">
        <f>'9.2 NIM &amp; Yields'!U18</f>
        <v>4.2159442262429708E-2</v>
      </c>
      <c r="F28" s="768">
        <f>'9.2 NIM &amp; Yields'!V18</f>
        <v>4.4962357215369848E-2</v>
      </c>
      <c r="G28" s="768">
        <f>'9.2 NIM &amp; Yields'!W18</f>
        <v>4.8142369184789452E-2</v>
      </c>
      <c r="H28" s="768">
        <f>'9.2 NIM &amp; Yields'!X18</f>
        <v>4.9066733389372438E-2</v>
      </c>
      <c r="I28" s="768">
        <f>'9.2 NIM &amp; Yields'!Y18</f>
        <v>5.163089103848454E-2</v>
      </c>
      <c r="J28" s="768">
        <f>'9.2 NIM &amp; Yields'!Z18</f>
        <v>5.2977147751792485E-2</v>
      </c>
      <c r="K28" s="768">
        <f>'9.2 NIM &amp; Yields'!AA18</f>
        <v>5.5095613637360492E-2</v>
      </c>
      <c r="L28" s="768">
        <f>'9.2 NIM &amp; Yields'!AB18</f>
        <v>5.5562359322360734E-2</v>
      </c>
      <c r="M28" s="768">
        <f>'9.2 NIM &amp; Yields'!AC18</f>
        <v>5.615052487716235E-2</v>
      </c>
      <c r="N28" s="768">
        <f>'9.2 NIM &amp; Yields'!AD18</f>
        <v>5.9232693748222001E-2</v>
      </c>
      <c r="O28" s="768">
        <f>'9.2 NIM &amp; Yields'!AE18</f>
        <v>5.578671256730286E-2</v>
      </c>
      <c r="P28" s="312"/>
      <c r="Q28" s="763">
        <f>(O28-N28)*100</f>
        <v>-0.34459811809191415</v>
      </c>
      <c r="R28" s="764">
        <f>(O28-K28)*100</f>
        <v>6.9109892994236727E-2</v>
      </c>
      <c r="S28" s="703"/>
      <c r="T28" s="703"/>
      <c r="U28" s="701"/>
      <c r="V28" s="701"/>
      <c r="W28" s="701"/>
      <c r="X28" s="701"/>
      <c r="Y28" s="701"/>
    </row>
    <row r="29" spans="1:26" s="704" customFormat="1" ht="13" customHeight="1">
      <c r="A29" s="700"/>
      <c r="B29" s="15" t="str">
        <f>IF('Summary | Sumário'!$D$6=Names!$B$3,Names!BV36,Names!BW36)</f>
        <v>All-in Cost of Funding (% of CDI)</v>
      </c>
      <c r="C29" s="209">
        <f>'9.7 Cost of Funding'!S12</f>
        <v>0.59697348816995932</v>
      </c>
      <c r="D29" s="209">
        <f>'9.7 Cost of Funding'!T12</f>
        <v>0.5862739307988849</v>
      </c>
      <c r="E29" s="209">
        <f>'9.7 Cost of Funding'!U12</f>
        <v>0.61707902823666128</v>
      </c>
      <c r="F29" s="209">
        <f>'9.7 Cost of Funding'!V12</f>
        <v>0.59171705967014232</v>
      </c>
      <c r="G29" s="209">
        <f>'9.7 Cost of Funding'!W12</f>
        <v>0.61920574215306567</v>
      </c>
      <c r="H29" s="209">
        <f>'9.7 Cost of Funding'!X12</f>
        <v>0.64262556661987569</v>
      </c>
      <c r="I29" s="209">
        <f>'9.7 Cost of Funding'!Y12</f>
        <v>0.65381139242560993</v>
      </c>
      <c r="J29" s="209">
        <f>'9.7 Cost of Funding'!Z12</f>
        <v>0.64151962469828561</v>
      </c>
      <c r="K29" s="209">
        <f>'9.7 Cost of Funding'!AA12</f>
        <v>0.63796352317117477</v>
      </c>
      <c r="L29" s="209">
        <f>'9.7 Cost of Funding'!AB12</f>
        <v>0.64839876062799318</v>
      </c>
      <c r="M29" s="209">
        <f>'9.7 Cost of Funding'!AC12</f>
        <v>0.68201992821835933</v>
      </c>
      <c r="N29" s="209">
        <f>'9.7 Cost of Funding'!AD12</f>
        <v>0.6557185155032148</v>
      </c>
      <c r="O29" s="209">
        <f>'9.7 Cost of Funding'!AE12</f>
        <v>0.64137308259787518</v>
      </c>
      <c r="P29" s="209"/>
      <c r="Q29" s="754">
        <f>(O29-N29)*100</f>
        <v>-1.4345432905339628</v>
      </c>
      <c r="R29" s="755">
        <f>(O29-K29)*100</f>
        <v>0.34095594267004037</v>
      </c>
      <c r="S29" s="703"/>
      <c r="T29" s="703"/>
      <c r="U29" s="701"/>
      <c r="V29" s="701"/>
      <c r="W29" s="701"/>
      <c r="X29" s="701"/>
      <c r="Y29" s="701"/>
    </row>
    <row r="30" spans="1:26" s="704" customFormat="1" ht="13" customHeight="1">
      <c r="A30" s="700"/>
      <c r="B30" s="769" t="str">
        <f>IF('Summary | Sumário'!$D$6=Names!$B$3,Names!BV37,Names!BW37)</f>
        <v>Efficiency Ratio (%)</v>
      </c>
      <c r="C30" s="770">
        <f>'9.4 Efficiency | Eficiência'!S15</f>
        <v>0.62351037661067732</v>
      </c>
      <c r="D30" s="770">
        <f>'9.4 Efficiency | Eficiência'!T15</f>
        <v>0.53383674950420901</v>
      </c>
      <c r="E30" s="770">
        <f>'9.4 Efficiency | Eficiência'!U15</f>
        <v>0.51720803695273643</v>
      </c>
      <c r="F30" s="770">
        <f>'9.4 Efficiency | Eficiência'!V15</f>
        <v>0.51364353479126668</v>
      </c>
      <c r="G30" s="770">
        <f>'9.4 Efficiency | Eficiência'!W15</f>
        <v>0.47740995408553893</v>
      </c>
      <c r="H30" s="770">
        <f>'9.4 Efficiency | Eficiência'!X15</f>
        <v>0.47563347568986319</v>
      </c>
      <c r="I30" s="770">
        <f>'9.4 Efficiency | Eficiência'!Y15</f>
        <v>0.50398313974470588</v>
      </c>
      <c r="J30" s="770">
        <f>'9.4 Efficiency | Eficiência'!Z15</f>
        <v>0.48499584933379458</v>
      </c>
      <c r="K30" s="770">
        <f>'9.4 Efficiency | Eficiência'!AA15</f>
        <v>0.48281649047197628</v>
      </c>
      <c r="L30" s="770">
        <f>'9.4 Efficiency | Eficiência'!AB15</f>
        <v>0.47147874699369585</v>
      </c>
      <c r="M30" s="770">
        <f>'9.4 Efficiency | Eficiência'!AC15</f>
        <v>0.45172619796749802</v>
      </c>
      <c r="N30" s="770">
        <f>'9.4 Efficiency | Eficiência'!AD15</f>
        <v>0.45485613628967569</v>
      </c>
      <c r="O30" s="770">
        <f>'9.4 Efficiency | Eficiência'!AE15</f>
        <v>0.43769752684958957</v>
      </c>
      <c r="P30" s="249"/>
      <c r="Q30" s="763">
        <f>(O30-N30)*100</f>
        <v>-1.7158609440086126</v>
      </c>
      <c r="R30" s="764">
        <f>(O30-K30)*100</f>
        <v>-4.5118963622386712</v>
      </c>
      <c r="S30" s="703"/>
      <c r="T30" s="703"/>
      <c r="U30" s="715"/>
      <c r="V30" s="715"/>
      <c r="W30" s="715"/>
      <c r="X30" s="715"/>
      <c r="Y30" s="705"/>
    </row>
    <row r="31" spans="1:26" s="704" customFormat="1" ht="13" customHeight="1">
      <c r="A31" s="700"/>
      <c r="B31" s="15" t="str">
        <f>IF('Summary | Sumário'!$D$6=Names!$B$3,Names!BV42,Names!BW42)</f>
        <v>ROE (%)</v>
      </c>
      <c r="C31" s="209">
        <f>'9.8 ROE &amp; ROTE'!S16</f>
        <v>6.506292220659432E-3</v>
      </c>
      <c r="D31" s="209">
        <f>'9.8 ROE &amp; ROTE'!T16</f>
        <v>2.7395160479617629E-2</v>
      </c>
      <c r="E31" s="209">
        <f>'9.8 ROE &amp; ROTE'!U16</f>
        <v>5.0491675207795732E-2</v>
      </c>
      <c r="F31" s="209">
        <f>'9.8 ROE &amp; ROTE'!V16</f>
        <v>8.194362028479428E-2</v>
      </c>
      <c r="G31" s="209">
        <f>'9.8 ROE &amp; ROTE'!W16</f>
        <v>9.2178380059035961E-2</v>
      </c>
      <c r="H31" s="209">
        <f>'9.8 ROE &amp; ROTE'!X16</f>
        <v>9.8005602972595141E-2</v>
      </c>
      <c r="I31" s="209">
        <f>'9.8 ROE &amp; ROTE'!Y16</f>
        <v>0.1130724353464666</v>
      </c>
      <c r="J31" s="209">
        <f>'9.8 ROE &amp; ROTE'!Z16</f>
        <v>0.12506866951180479</v>
      </c>
      <c r="K31" s="209">
        <f>'9.8 ROE &amp; ROTE'!AA16</f>
        <v>0.12880482403335947</v>
      </c>
      <c r="L31" s="209">
        <f>'9.8 ROE &amp; ROTE'!AB16</f>
        <v>0.13859393461213435</v>
      </c>
      <c r="M31" s="209">
        <f>'9.8 ROE &amp; ROTE'!AC16</f>
        <v>0.1418473086925206</v>
      </c>
      <c r="N31" s="209">
        <f>'9.8 ROE &amp; ROTE'!AD16</f>
        <v>0.15089299406672363</v>
      </c>
      <c r="O31" s="209">
        <f>'9.8 ROE &amp; ROTE'!AE16</f>
        <v>0.15508841889759542</v>
      </c>
      <c r="P31" s="209"/>
      <c r="Q31" s="754">
        <f>(O31-N31)*100</f>
        <v>0.41954248308717912</v>
      </c>
      <c r="R31" s="755">
        <f>(O31-K31)*100</f>
        <v>2.6283594864235953</v>
      </c>
      <c r="S31" s="703"/>
      <c r="T31" s="703"/>
      <c r="U31" s="701"/>
      <c r="V31" s="701"/>
      <c r="W31" s="701"/>
      <c r="X31" s="701"/>
      <c r="Y31" s="701"/>
    </row>
    <row r="32" spans="1:26" ht="13" customHeight="1">
      <c r="B32" s="17"/>
      <c r="C32" s="238"/>
      <c r="D32" s="238"/>
      <c r="E32" s="238"/>
      <c r="F32" s="238"/>
      <c r="G32" s="238"/>
      <c r="H32" s="238"/>
      <c r="I32" s="238"/>
      <c r="J32" s="238"/>
      <c r="K32" s="238"/>
      <c r="L32" s="238"/>
      <c r="M32" s="238"/>
      <c r="N32" s="238"/>
      <c r="O32" s="238"/>
      <c r="P32" s="238"/>
      <c r="Q32" s="238"/>
      <c r="R32" s="238"/>
      <c r="S32" s="238"/>
      <c r="T32" s="238"/>
      <c r="U32" s="238"/>
      <c r="V32" s="238"/>
      <c r="W32" s="238"/>
      <c r="X32" s="238"/>
      <c r="Y32" s="238"/>
    </row>
    <row r="33" spans="2:25" ht="13" customHeight="1">
      <c r="B33" s="17"/>
      <c r="C33" s="238"/>
      <c r="D33" s="238"/>
      <c r="E33" s="238"/>
      <c r="F33" s="238"/>
      <c r="G33" s="238"/>
      <c r="H33" s="238"/>
      <c r="I33" s="238"/>
      <c r="J33" s="238"/>
      <c r="K33" s="238"/>
      <c r="L33" s="238"/>
      <c r="M33" s="238"/>
      <c r="N33" s="238"/>
      <c r="O33" s="238"/>
      <c r="P33" s="238"/>
      <c r="Q33" s="238"/>
      <c r="R33" s="238"/>
      <c r="S33" s="238"/>
      <c r="T33" s="238"/>
      <c r="U33" s="238"/>
      <c r="V33" s="238"/>
      <c r="W33" s="238"/>
      <c r="X33" s="238"/>
      <c r="Y33" s="238"/>
    </row>
    <row r="35" spans="2:25" ht="13" customHeight="1">
      <c r="C35" s="239"/>
    </row>
  </sheetData>
  <sheetProtection algorithmName="SHA-512" hashValue="0RhhnH12umHr5zqTYV0OwV0U9VUMKTfw2a4gHczZFd5GeU0Vk4Xg2MV8E0oC9QM6yfMulnXaZ82mMJSlm11Ugw==" saltValue="pCXLN0gGTSz+7EUx5+kHE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1F96-96B0-404C-B04E-D3393ACCD1B8}">
  <sheetPr codeName="Sheet34">
    <tabColor theme="0" tint="-0.34998626667073579"/>
  </sheetPr>
  <dimension ref="B1:AG54"/>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1" customWidth="1"/>
    <col min="9" max="9" width="2.83203125" style="121" customWidth="1"/>
    <col min="10" max="26" width="10.83203125" style="121" customWidth="1"/>
    <col min="27" max="27" width="5.83203125" style="121" customWidth="1"/>
    <col min="28" max="29" width="10.83203125" style="121" customWidth="1"/>
    <col min="30" max="16384" width="10.83203125" style="120"/>
  </cols>
  <sheetData>
    <row r="1" spans="2:33" ht="13" customHeight="1">
      <c r="AD1" s="121"/>
    </row>
    <row r="2" spans="2:33" s="9" customFormat="1" ht="13" customHeight="1">
      <c r="B2" s="255" t="str">
        <f>IF('Summary | Sumário'!D$6=Names!B$3,Names!AJ1,Names!AK1)</f>
        <v>NIMs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316"/>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6" t="str">
        <f>IF('Summary | Sumário'!D6=Names!B3,Names!C24,Names!D24)</f>
        <v>1Q25</v>
      </c>
      <c r="AA2" s="315"/>
      <c r="AB2" s="104" t="str">
        <f>IF('Summary | Sumário'!$D$6=Names!$B$3,Names!$I$24,Names!$J$24)</f>
        <v>QoQ Variation</v>
      </c>
      <c r="AC2" s="104" t="str">
        <f>IF('Summary | Sumário'!$D$6=Names!$B$3,Names!$I$25,Names!$J$25)</f>
        <v>YoY Variation</v>
      </c>
      <c r="AD2" s="10"/>
      <c r="AF2" s="11"/>
      <c r="AG2" s="12"/>
    </row>
    <row r="3" spans="2:33"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31"/>
    </row>
    <row r="4" spans="2:33" ht="13" customHeight="1">
      <c r="B4" s="3" t="str">
        <f>IF('Summary | Sumário'!D$6=Names!B$3,Names!AJ3,Names!AK3)</f>
        <v>NIM 1.0 - IEP + non-interest credit card receivables</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row>
    <row r="5" spans="2:33" ht="13" customHeight="1">
      <c r="B5" s="276" t="str">
        <f>IF('Summary | Sumário'!D$6=Names!B$3,Names!AJ4,Names!AK4)</f>
        <v>Annualized NII</v>
      </c>
      <c r="C5" s="277">
        <f>C6</f>
        <v>585551</v>
      </c>
      <c r="D5" s="277">
        <f>D6</f>
        <v>715962.89517999999</v>
      </c>
      <c r="E5" s="277">
        <f t="shared" ref="E5:H5" si="0">E6</f>
        <v>1589467.912</v>
      </c>
      <c r="F5" s="277">
        <f t="shared" si="0"/>
        <v>2335429.1850000001</v>
      </c>
      <c r="G5" s="277">
        <f t="shared" si="0"/>
        <v>3208088.9950000001</v>
      </c>
      <c r="H5" s="277">
        <f t="shared" si="0"/>
        <v>4382157.1340165315</v>
      </c>
      <c r="I5" s="164"/>
      <c r="J5" s="277">
        <f>J6*4</f>
        <v>1166325.3559999999</v>
      </c>
      <c r="K5" s="277">
        <f t="shared" ref="K5:Z5" si="1">K6*4</f>
        <v>1209181.3880000003</v>
      </c>
      <c r="L5" s="277">
        <f t="shared" si="1"/>
        <v>1789479.52</v>
      </c>
      <c r="M5" s="277">
        <f t="shared" si="1"/>
        <v>2192885.3839999996</v>
      </c>
      <c r="N5" s="277">
        <f t="shared" si="1"/>
        <v>2173644.06</v>
      </c>
      <c r="O5" s="277">
        <f t="shared" si="1"/>
        <v>2244349.2440000004</v>
      </c>
      <c r="P5" s="277">
        <f t="shared" si="1"/>
        <v>2222349.8680000002</v>
      </c>
      <c r="Q5" s="277">
        <f t="shared" si="1"/>
        <v>2701373.568</v>
      </c>
      <c r="R5" s="277">
        <f t="shared" si="1"/>
        <v>2846248.4960000003</v>
      </c>
      <c r="S5" s="277">
        <f t="shared" si="1"/>
        <v>3208300</v>
      </c>
      <c r="T5" s="277">
        <f t="shared" si="1"/>
        <v>3274228.4318400002</v>
      </c>
      <c r="U5" s="277">
        <f t="shared" si="1"/>
        <v>3503579.0521599995</v>
      </c>
      <c r="V5" s="277">
        <f t="shared" si="1"/>
        <v>3882658.882079999</v>
      </c>
      <c r="W5" s="277">
        <f t="shared" si="1"/>
        <v>4118674.9032153999</v>
      </c>
      <c r="X5" s="277">
        <f t="shared" si="1"/>
        <v>4539060.5262945322</v>
      </c>
      <c r="Y5" s="277">
        <f t="shared" si="1"/>
        <v>4988234.2244761968</v>
      </c>
      <c r="Z5" s="277">
        <f t="shared" si="1"/>
        <v>5384436</v>
      </c>
      <c r="AA5" s="164"/>
      <c r="AB5" s="344">
        <f>Z5/Y5-1</f>
        <v>7.9427259766537306E-2</v>
      </c>
      <c r="AC5" s="344">
        <f>Z5/V5-1</f>
        <v>0.38679089859047222</v>
      </c>
    </row>
    <row r="6" spans="2:33" ht="13" customHeight="1">
      <c r="B6" s="54" t="str">
        <f>IF('Summary | Sumário'!D$6=Names!B$3,Names!AJ5,Names!AK5)</f>
        <v>NII</v>
      </c>
      <c r="C6" s="164">
        <f>'Credit | Crédito (old)'!C77</f>
        <v>585551</v>
      </c>
      <c r="D6" s="164">
        <f>'Credit | Crédito (old)'!D77</f>
        <v>715962.89517999999</v>
      </c>
      <c r="E6" s="164">
        <f>'Credit | Crédito (old)'!E77</f>
        <v>1589467.912</v>
      </c>
      <c r="F6" s="164">
        <f>'Credit | Crédito (old)'!F77</f>
        <v>2335429.1850000001</v>
      </c>
      <c r="G6" s="164">
        <f>'Credit | Crédito (old)'!G77</f>
        <v>3208088.9950000001</v>
      </c>
      <c r="H6" s="164">
        <f>'Credit | Crédito (old)'!H77</f>
        <v>4382157.1340165315</v>
      </c>
      <c r="I6" s="164"/>
      <c r="J6" s="164">
        <f>'Credit | Crédito (old)'!J77</f>
        <v>291581.33899999998</v>
      </c>
      <c r="K6" s="164">
        <f>'Credit | Crédito (old)'!K77</f>
        <v>302295.34700000007</v>
      </c>
      <c r="L6" s="164">
        <f>'Credit | Crédito (old)'!L77</f>
        <v>447369.88</v>
      </c>
      <c r="M6" s="164">
        <f>'Credit | Crédito (old)'!M77</f>
        <v>548221.3459999999</v>
      </c>
      <c r="N6" s="164">
        <f>'Credit | Crédito (old)'!N77</f>
        <v>543411.01500000001</v>
      </c>
      <c r="O6" s="164">
        <f>'Credit | Crédito (old)'!O77</f>
        <v>561087.3110000001</v>
      </c>
      <c r="P6" s="164">
        <f>'Credit | Crédito (old)'!P77</f>
        <v>555587.46700000006</v>
      </c>
      <c r="Q6" s="164">
        <f>'Credit | Crédito (old)'!Q77</f>
        <v>675343.39199999999</v>
      </c>
      <c r="R6" s="164">
        <f>'Credit | Crédito (old)'!R77</f>
        <v>711562.12400000007</v>
      </c>
      <c r="S6" s="164">
        <f>'Credit | Crédito (old)'!S77</f>
        <v>802075</v>
      </c>
      <c r="T6" s="164">
        <f>'Credit | Crédito (old)'!T77</f>
        <v>818557.10796000005</v>
      </c>
      <c r="U6" s="164">
        <f>'Credit | Crédito (old)'!U77</f>
        <v>875894.76303999987</v>
      </c>
      <c r="V6" s="164">
        <f>'Credit | Crédito (old)'!V77</f>
        <v>970664.72051999974</v>
      </c>
      <c r="W6" s="164">
        <f>'Credit | Crédito (old)'!W77</f>
        <v>1029668.72580385</v>
      </c>
      <c r="X6" s="164">
        <f>'Credit | Crédito (old)'!X77</f>
        <v>1134765.1315736331</v>
      </c>
      <c r="Y6" s="164">
        <f>'Credit | Crédito (old)'!Y77</f>
        <v>1247058.5561190492</v>
      </c>
      <c r="Z6" s="164">
        <f>'Credit | Crédito (old)'!Z77</f>
        <v>1346109</v>
      </c>
      <c r="AA6" s="164"/>
      <c r="AB6" s="345">
        <f t="shared" ref="AB6:AB12" si="2">Z6/Y6-1</f>
        <v>7.9427259766537306E-2</v>
      </c>
      <c r="AC6" s="345">
        <f t="shared" ref="AC6:AC12" si="3">Z6/V6-1</f>
        <v>0.38679089859047222</v>
      </c>
    </row>
    <row r="7" spans="2:33" ht="13" customHeight="1">
      <c r="B7" s="69" t="str">
        <f>IF('Summary | Sumário'!D$6=Names!B$3,Names!AJ8,Names!AK8)</f>
        <v>(÷) Avg of the last two periods of IEP + non-interest credit card receivables</v>
      </c>
      <c r="C7" s="177" t="e">
        <f>C8</f>
        <v>#N/A</v>
      </c>
      <c r="D7" s="177" t="e">
        <f>(D8+C8)/2</f>
        <v>#N/A</v>
      </c>
      <c r="E7" s="177" t="e">
        <f t="shared" ref="E7:H7" si="4">(E8+D8)/2</f>
        <v>#N/A</v>
      </c>
      <c r="F7" s="177" t="e">
        <f t="shared" si="4"/>
        <v>#N/A</v>
      </c>
      <c r="G7" s="177" t="e">
        <f t="shared" si="4"/>
        <v>#N/A</v>
      </c>
      <c r="H7" s="177" t="e">
        <f t="shared" si="4"/>
        <v>#N/A</v>
      </c>
      <c r="I7" s="160"/>
      <c r="J7" s="177" t="e">
        <f>AVERAGE(J8,D8)</f>
        <v>#N/A</v>
      </c>
      <c r="K7" s="177" t="e">
        <f>AVERAGE(K8,J8)</f>
        <v>#N/A</v>
      </c>
      <c r="L7" s="177" t="e">
        <f t="shared" ref="L7:Z7" si="5">AVERAGE(L8,K8)</f>
        <v>#N/A</v>
      </c>
      <c r="M7" s="177" t="e">
        <f t="shared" si="5"/>
        <v>#N/A</v>
      </c>
      <c r="N7" s="177" t="e">
        <f t="shared" si="5"/>
        <v>#N/A</v>
      </c>
      <c r="O7" s="177" t="e">
        <f t="shared" si="5"/>
        <v>#N/A</v>
      </c>
      <c r="P7" s="177" t="e">
        <f t="shared" si="5"/>
        <v>#N/A</v>
      </c>
      <c r="Q7" s="177" t="e">
        <f t="shared" si="5"/>
        <v>#N/A</v>
      </c>
      <c r="R7" s="177" t="e">
        <f t="shared" si="5"/>
        <v>#N/A</v>
      </c>
      <c r="S7" s="177" t="e">
        <f t="shared" si="5"/>
        <v>#N/A</v>
      </c>
      <c r="T7" s="177" t="e">
        <f t="shared" si="5"/>
        <v>#N/A</v>
      </c>
      <c r="U7" s="177" t="e">
        <f t="shared" si="5"/>
        <v>#N/A</v>
      </c>
      <c r="V7" s="177" t="e">
        <f t="shared" si="5"/>
        <v>#N/A</v>
      </c>
      <c r="W7" s="177" t="e">
        <f t="shared" si="5"/>
        <v>#N/A</v>
      </c>
      <c r="X7" s="177" t="e">
        <f t="shared" si="5"/>
        <v>#N/A</v>
      </c>
      <c r="Y7" s="177" t="e">
        <f t="shared" si="5"/>
        <v>#N/A</v>
      </c>
      <c r="Z7" s="177" t="e">
        <f t="shared" si="5"/>
        <v>#N/A</v>
      </c>
      <c r="AA7" s="178"/>
      <c r="AB7" s="361" t="e">
        <f t="shared" si="2"/>
        <v>#N/A</v>
      </c>
      <c r="AC7" s="361" t="e">
        <f t="shared" si="3"/>
        <v>#N/A</v>
      </c>
    </row>
    <row r="8" spans="2:33" ht="13" customHeight="1">
      <c r="B8" s="64" t="str">
        <f>IF('Summary | Sumário'!D$6=Names!B$3,Names!AJ9,Names!AK9)</f>
        <v>IEP + non-interest credit card receivables</v>
      </c>
      <c r="C8" s="180" t="e">
        <f>SUM(C9:C12)</f>
        <v>#N/A</v>
      </c>
      <c r="D8" s="180" t="e">
        <f>SUM(D9:D12)</f>
        <v>#N/A</v>
      </c>
      <c r="E8" s="180" t="e">
        <f t="shared" ref="E8:F8" si="6">SUM(E9:E12)</f>
        <v>#N/A</v>
      </c>
      <c r="F8" s="180" t="e">
        <f t="shared" si="6"/>
        <v>#N/A</v>
      </c>
      <c r="G8" s="180" t="e">
        <f t="shared" ref="G8:H8" si="7">SUM(G9:G12)</f>
        <v>#N/A</v>
      </c>
      <c r="H8" s="180" t="e">
        <f t="shared" si="7"/>
        <v>#N/A</v>
      </c>
      <c r="I8" s="180"/>
      <c r="J8" s="180" t="e">
        <f t="shared" ref="J8:K8" si="8">SUM(J9:J12)</f>
        <v>#N/A</v>
      </c>
      <c r="K8" s="180" t="e">
        <f t="shared" si="8"/>
        <v>#N/A</v>
      </c>
      <c r="L8" s="180" t="e">
        <f t="shared" ref="L8" si="9">SUM(L9:L12)</f>
        <v>#N/A</v>
      </c>
      <c r="M8" s="180" t="e">
        <f t="shared" ref="M8" si="10">SUM(M9:M12)</f>
        <v>#N/A</v>
      </c>
      <c r="N8" s="180" t="e">
        <f t="shared" ref="N8" si="11">SUM(N9:N12)</f>
        <v>#N/A</v>
      </c>
      <c r="O8" s="180" t="e">
        <f t="shared" ref="O8" si="12">SUM(O9:O12)</f>
        <v>#N/A</v>
      </c>
      <c r="P8" s="180" t="e">
        <f t="shared" ref="P8" si="13">SUM(P9:P12)</f>
        <v>#N/A</v>
      </c>
      <c r="Q8" s="180" t="e">
        <f t="shared" ref="Q8" si="14">SUM(Q9:Q12)</f>
        <v>#N/A</v>
      </c>
      <c r="R8" s="180" t="e">
        <f t="shared" ref="R8:S8" si="15">SUM(R9:R12)</f>
        <v>#N/A</v>
      </c>
      <c r="S8" s="180" t="e">
        <f t="shared" si="15"/>
        <v>#N/A</v>
      </c>
      <c r="T8" s="180" t="e">
        <f t="shared" ref="T8:U8" si="16">SUM(T9:T12)</f>
        <v>#N/A</v>
      </c>
      <c r="U8" s="180" t="e">
        <f t="shared" si="16"/>
        <v>#N/A</v>
      </c>
      <c r="V8" s="180" t="e">
        <f t="shared" ref="V8:W8" si="17">SUM(V9:V12)</f>
        <v>#N/A</v>
      </c>
      <c r="W8" s="180" t="e">
        <f t="shared" si="17"/>
        <v>#N/A</v>
      </c>
      <c r="X8" s="180" t="e">
        <f t="shared" ref="X8:Y8" si="18">SUM(X9:X12)</f>
        <v>#N/A</v>
      </c>
      <c r="Y8" s="180" t="e">
        <f t="shared" si="18"/>
        <v>#N/A</v>
      </c>
      <c r="Z8" s="180" t="e">
        <f t="shared" ref="Z8" si="19">SUM(Z9:Z12)</f>
        <v>#N/A</v>
      </c>
      <c r="AA8" s="180"/>
      <c r="AB8" s="307" t="e">
        <f t="shared" si="2"/>
        <v>#N/A</v>
      </c>
      <c r="AC8" s="307" t="e">
        <f t="shared" si="3"/>
        <v>#N/A</v>
      </c>
    </row>
    <row r="9" spans="2:33" ht="13" customHeight="1">
      <c r="B9" s="67" t="str">
        <f>IF('Summary | Sumário'!D$6=Names!B$3,Names!AJ10,Names!AK10)</f>
        <v>Amounts due from financial institutions</v>
      </c>
      <c r="C9" s="179" t="e">
        <v>#N/A</v>
      </c>
      <c r="D9" s="179" t="e">
        <v>#N/A</v>
      </c>
      <c r="E9" s="179" t="e">
        <v>#N/A</v>
      </c>
      <c r="F9" s="179" t="e">
        <v>#N/A</v>
      </c>
      <c r="G9" s="179" t="e">
        <v>#N/A</v>
      </c>
      <c r="H9" s="179" t="e">
        <v>#N/A</v>
      </c>
      <c r="I9" s="180"/>
      <c r="J9" s="179" t="e">
        <v>#N/A</v>
      </c>
      <c r="K9" s="179" t="e">
        <v>#N/A</v>
      </c>
      <c r="L9" s="179" t="e">
        <v>#N/A</v>
      </c>
      <c r="M9" s="179" t="e">
        <v>#N/A</v>
      </c>
      <c r="N9" s="179" t="e">
        <v>#N/A</v>
      </c>
      <c r="O9" s="179" t="e">
        <v>#N/A</v>
      </c>
      <c r="P9" s="179" t="e">
        <v>#N/A</v>
      </c>
      <c r="Q9" s="179" t="e">
        <v>#N/A</v>
      </c>
      <c r="R9" s="179" t="e">
        <v>#N/A</v>
      </c>
      <c r="S9" s="179" t="e">
        <v>#N/A</v>
      </c>
      <c r="T9" s="179" t="e">
        <v>#N/A</v>
      </c>
      <c r="U9" s="179" t="e">
        <v>#N/A</v>
      </c>
      <c r="V9" s="179" t="e">
        <v>#N/A</v>
      </c>
      <c r="W9" s="179" t="e">
        <v>#N/A</v>
      </c>
      <c r="X9" s="179" t="e">
        <v>#N/A</v>
      </c>
      <c r="Y9" s="179" t="e">
        <v>#N/A</v>
      </c>
      <c r="Z9" s="179" t="e">
        <v>#N/A</v>
      </c>
      <c r="AA9" s="180"/>
      <c r="AB9" s="367" t="e">
        <f t="shared" si="2"/>
        <v>#N/A</v>
      </c>
      <c r="AC9" s="367" t="e">
        <f t="shared" si="3"/>
        <v>#N/A</v>
      </c>
    </row>
    <row r="10" spans="2:33" ht="13" customHeight="1">
      <c r="B10" s="62" t="str">
        <f>IF('Summary | Sumário'!D$6=Names!B$3,Names!AJ11,Names!AK11)</f>
        <v>Securities</v>
      </c>
      <c r="C10" s="180" t="e">
        <v>#N/A</v>
      </c>
      <c r="D10" s="180" t="e">
        <v>#N/A</v>
      </c>
      <c r="E10" s="180" t="e">
        <v>#N/A</v>
      </c>
      <c r="F10" s="180" t="e">
        <v>#N/A</v>
      </c>
      <c r="G10" s="180" t="e">
        <v>#N/A</v>
      </c>
      <c r="H10" s="180" t="e">
        <v>#N/A</v>
      </c>
      <c r="I10" s="180"/>
      <c r="J10" s="180" t="e">
        <v>#N/A</v>
      </c>
      <c r="K10" s="180" t="e">
        <v>#N/A</v>
      </c>
      <c r="L10" s="180" t="e">
        <v>#N/A</v>
      </c>
      <c r="M10" s="180" t="e">
        <v>#N/A</v>
      </c>
      <c r="N10" s="180" t="e">
        <v>#N/A</v>
      </c>
      <c r="O10" s="180" t="e">
        <v>#N/A</v>
      </c>
      <c r="P10" s="180" t="e">
        <v>#N/A</v>
      </c>
      <c r="Q10" s="180" t="e">
        <v>#N/A</v>
      </c>
      <c r="R10" s="180" t="e">
        <v>#N/A</v>
      </c>
      <c r="S10" s="180" t="e">
        <v>#N/A</v>
      </c>
      <c r="T10" s="180" t="e">
        <v>#N/A</v>
      </c>
      <c r="U10" s="180" t="e">
        <v>#N/A</v>
      </c>
      <c r="V10" s="180" t="e">
        <v>#N/A</v>
      </c>
      <c r="W10" s="180" t="e">
        <v>#N/A</v>
      </c>
      <c r="X10" s="180" t="e">
        <v>#N/A</v>
      </c>
      <c r="Y10" s="180" t="e">
        <v>#N/A</v>
      </c>
      <c r="Z10" s="180" t="e">
        <v>#N/A</v>
      </c>
      <c r="AA10" s="180"/>
      <c r="AB10" s="307" t="e">
        <f t="shared" si="2"/>
        <v>#N/A</v>
      </c>
      <c r="AC10" s="307" t="e">
        <f t="shared" si="3"/>
        <v>#N/A</v>
      </c>
    </row>
    <row r="11" spans="2:33" ht="13" customHeight="1">
      <c r="B11" s="67" t="str">
        <f>IF('Summary | Sumário'!D$6=Names!B$3,Names!AJ12,Names!AK12)</f>
        <v>Net loans and advances to customers</v>
      </c>
      <c r="C11" s="179" t="e">
        <v>#N/A</v>
      </c>
      <c r="D11" s="179" t="e">
        <v>#N/A</v>
      </c>
      <c r="E11" s="179" t="e">
        <v>#N/A</v>
      </c>
      <c r="F11" s="179" t="e">
        <v>#N/A</v>
      </c>
      <c r="G11" s="179" t="e">
        <v>#N/A</v>
      </c>
      <c r="H11" s="179" t="e">
        <v>#N/A</v>
      </c>
      <c r="I11" s="180"/>
      <c r="J11" s="179" t="e">
        <v>#N/A</v>
      </c>
      <c r="K11" s="179" t="e">
        <v>#N/A</v>
      </c>
      <c r="L11" s="179" t="e">
        <v>#N/A</v>
      </c>
      <c r="M11" s="179" t="e">
        <v>#N/A</v>
      </c>
      <c r="N11" s="179" t="e">
        <v>#N/A</v>
      </c>
      <c r="O11" s="179" t="e">
        <v>#N/A</v>
      </c>
      <c r="P11" s="179" t="e">
        <v>#N/A</v>
      </c>
      <c r="Q11" s="179" t="e">
        <v>#N/A</v>
      </c>
      <c r="R11" s="179" t="e">
        <v>#N/A</v>
      </c>
      <c r="S11" s="179" t="e">
        <v>#N/A</v>
      </c>
      <c r="T11" s="179" t="e">
        <v>#N/A</v>
      </c>
      <c r="U11" s="179" t="e">
        <v>#N/A</v>
      </c>
      <c r="V11" s="179" t="e">
        <v>#N/A</v>
      </c>
      <c r="W11" s="179" t="e">
        <v>#N/A</v>
      </c>
      <c r="X11" s="179" t="e">
        <v>#N/A</v>
      </c>
      <c r="Y11" s="179" t="e">
        <v>#N/A</v>
      </c>
      <c r="Z11" s="179" t="e">
        <v>#N/A</v>
      </c>
      <c r="AA11" s="180"/>
      <c r="AB11" s="367" t="e">
        <f t="shared" si="2"/>
        <v>#N/A</v>
      </c>
      <c r="AC11" s="367" t="e">
        <f t="shared" si="3"/>
        <v>#N/A</v>
      </c>
    </row>
    <row r="12" spans="2:33" ht="13" customHeight="1">
      <c r="B12" s="62" t="str">
        <f>IF('Summary | Sumário'!D$6=Names!B$3,Names!AJ13,Names!AK13)</f>
        <v>Derivative financial assets</v>
      </c>
      <c r="C12" s="180">
        <v>0</v>
      </c>
      <c r="D12" s="180">
        <v>27513</v>
      </c>
      <c r="E12" s="180">
        <v>86948</v>
      </c>
      <c r="F12" s="180">
        <v>0</v>
      </c>
      <c r="G12" s="180">
        <v>4238</v>
      </c>
      <c r="H12" s="180">
        <v>562.80100000000004</v>
      </c>
      <c r="I12" s="180"/>
      <c r="J12" s="180">
        <v>18603</v>
      </c>
      <c r="K12" s="180">
        <v>11684</v>
      </c>
      <c r="L12" s="180">
        <v>7643</v>
      </c>
      <c r="M12" s="180">
        <v>86948</v>
      </c>
      <c r="N12" s="180">
        <v>10410</v>
      </c>
      <c r="O12" s="180">
        <v>3212</v>
      </c>
      <c r="P12" s="180">
        <v>581</v>
      </c>
      <c r="Q12" s="180">
        <v>0</v>
      </c>
      <c r="R12" s="180">
        <v>1122</v>
      </c>
      <c r="S12" s="180">
        <v>3625</v>
      </c>
      <c r="T12" s="180">
        <v>9388.5369900000005</v>
      </c>
      <c r="U12" s="180">
        <v>4238</v>
      </c>
      <c r="V12" s="180">
        <v>7392.1129600000004</v>
      </c>
      <c r="W12" s="180">
        <v>7177.4260000000004</v>
      </c>
      <c r="X12" s="180">
        <v>18488.90812</v>
      </c>
      <c r="Y12" s="180">
        <v>562.80100000000004</v>
      </c>
      <c r="Z12" s="180">
        <v>8163</v>
      </c>
      <c r="AA12" s="180"/>
      <c r="AB12" s="307">
        <f t="shared" si="2"/>
        <v>13.504238620755826</v>
      </c>
      <c r="AC12" s="307">
        <f t="shared" si="3"/>
        <v>0.10428507304628631</v>
      </c>
    </row>
    <row r="13" spans="2:33" ht="13" customHeight="1">
      <c r="B13" s="275" t="str">
        <f>IF('Summary | Sumário'!D$6=Names!B$3,Names!AJ14,Names!AK14)</f>
        <v>(=) NIM 1.0 - IEP + non-interest credit card receivables (%)</v>
      </c>
      <c r="C13" s="289" t="e">
        <f t="shared" ref="C13:H13" si="20">C5/C7</f>
        <v>#N/A</v>
      </c>
      <c r="D13" s="289" t="e">
        <f t="shared" si="20"/>
        <v>#N/A</v>
      </c>
      <c r="E13" s="289" t="e">
        <f t="shared" si="20"/>
        <v>#N/A</v>
      </c>
      <c r="F13" s="289" t="e">
        <f t="shared" si="20"/>
        <v>#N/A</v>
      </c>
      <c r="G13" s="289" t="e">
        <f t="shared" si="20"/>
        <v>#N/A</v>
      </c>
      <c r="H13" s="289" t="e">
        <f t="shared" si="20"/>
        <v>#N/A</v>
      </c>
      <c r="I13" s="321"/>
      <c r="J13" s="289" t="e">
        <f t="shared" ref="J13:Y13" si="21">J5/J7</f>
        <v>#N/A</v>
      </c>
      <c r="K13" s="289" t="e">
        <f t="shared" si="21"/>
        <v>#N/A</v>
      </c>
      <c r="L13" s="289" t="e">
        <f t="shared" si="21"/>
        <v>#N/A</v>
      </c>
      <c r="M13" s="289" t="e">
        <f t="shared" si="21"/>
        <v>#N/A</v>
      </c>
      <c r="N13" s="289" t="e">
        <f t="shared" si="21"/>
        <v>#N/A</v>
      </c>
      <c r="O13" s="289" t="e">
        <f t="shared" si="21"/>
        <v>#N/A</v>
      </c>
      <c r="P13" s="289" t="e">
        <f t="shared" si="21"/>
        <v>#N/A</v>
      </c>
      <c r="Q13" s="289" t="e">
        <f t="shared" si="21"/>
        <v>#N/A</v>
      </c>
      <c r="R13" s="289" t="e">
        <f t="shared" si="21"/>
        <v>#N/A</v>
      </c>
      <c r="S13" s="289" t="e">
        <f t="shared" si="21"/>
        <v>#N/A</v>
      </c>
      <c r="T13" s="289" t="e">
        <f t="shared" si="21"/>
        <v>#N/A</v>
      </c>
      <c r="U13" s="289" t="e">
        <f t="shared" si="21"/>
        <v>#N/A</v>
      </c>
      <c r="V13" s="289" t="e">
        <f t="shared" si="21"/>
        <v>#N/A</v>
      </c>
      <c r="W13" s="289" t="e">
        <f t="shared" si="21"/>
        <v>#N/A</v>
      </c>
      <c r="X13" s="289" t="e">
        <f t="shared" si="21"/>
        <v>#N/A</v>
      </c>
      <c r="Y13" s="289" t="e">
        <f t="shared" si="21"/>
        <v>#N/A</v>
      </c>
      <c r="Z13" s="289" t="e">
        <f t="shared" ref="Z13" si="22">Z5/Z7</f>
        <v>#N/A</v>
      </c>
      <c r="AA13" s="321"/>
      <c r="AB13" s="369" t="e">
        <f>(Z13-Y13)*100</f>
        <v>#N/A</v>
      </c>
      <c r="AC13" s="369" t="e">
        <f>(Z13-V13)*100</f>
        <v>#N/A</v>
      </c>
      <c r="AE13" s="154"/>
      <c r="AF13" s="154"/>
    </row>
    <row r="14" spans="2:33" ht="13" customHeight="1">
      <c r="B14" s="69"/>
      <c r="C14" s="163"/>
      <c r="D14" s="163"/>
      <c r="E14" s="163"/>
      <c r="F14" s="163"/>
      <c r="G14" s="163"/>
      <c r="H14" s="163"/>
      <c r="J14" s="163"/>
      <c r="K14" s="163"/>
      <c r="L14" s="163"/>
      <c r="M14" s="163"/>
      <c r="N14" s="163"/>
      <c r="O14" s="163"/>
      <c r="P14" s="163"/>
      <c r="Q14" s="163"/>
      <c r="R14" s="163"/>
      <c r="S14" s="163"/>
      <c r="T14" s="163"/>
      <c r="U14" s="163"/>
      <c r="V14" s="163"/>
      <c r="W14" s="163"/>
      <c r="X14" s="163"/>
      <c r="Y14" s="163"/>
      <c r="Z14" s="163"/>
      <c r="AB14" s="163"/>
      <c r="AC14" s="163"/>
    </row>
    <row r="15" spans="2:33" ht="13" customHeight="1">
      <c r="B15" s="3" t="str">
        <f>IF('Summary | Sumário'!D$6=Names!B$3,Names!AJ16,Names!AK16)</f>
        <v>NIM 2.0 - IEP</v>
      </c>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row>
    <row r="16" spans="2:33" ht="13" customHeight="1">
      <c r="B16" s="276" t="str">
        <f>IF('Summary | Sumário'!D$6=Names!B$3,Names!AJ17,Names!AK17)</f>
        <v>Annualized NII</v>
      </c>
      <c r="C16" s="277">
        <f t="shared" ref="C16:H17" si="23">C5</f>
        <v>585551</v>
      </c>
      <c r="D16" s="277">
        <f t="shared" si="23"/>
        <v>715962.89517999999</v>
      </c>
      <c r="E16" s="277">
        <f t="shared" si="23"/>
        <v>1589467.912</v>
      </c>
      <c r="F16" s="277">
        <f t="shared" si="23"/>
        <v>2335429.1850000001</v>
      </c>
      <c r="G16" s="277">
        <f t="shared" si="23"/>
        <v>3208088.9950000001</v>
      </c>
      <c r="H16" s="277">
        <f t="shared" si="23"/>
        <v>4382157.1340165315</v>
      </c>
      <c r="I16" s="164"/>
      <c r="J16" s="277">
        <f t="shared" ref="J16:Y16" si="24">J5</f>
        <v>1166325.3559999999</v>
      </c>
      <c r="K16" s="277">
        <f t="shared" si="24"/>
        <v>1209181.3880000003</v>
      </c>
      <c r="L16" s="277">
        <f t="shared" si="24"/>
        <v>1789479.52</v>
      </c>
      <c r="M16" s="277">
        <f t="shared" si="24"/>
        <v>2192885.3839999996</v>
      </c>
      <c r="N16" s="277">
        <f t="shared" si="24"/>
        <v>2173644.06</v>
      </c>
      <c r="O16" s="277">
        <f t="shared" si="24"/>
        <v>2244349.2440000004</v>
      </c>
      <c r="P16" s="277">
        <f t="shared" si="24"/>
        <v>2222349.8680000002</v>
      </c>
      <c r="Q16" s="277">
        <f t="shared" si="24"/>
        <v>2701373.568</v>
      </c>
      <c r="R16" s="277">
        <f t="shared" si="24"/>
        <v>2846248.4960000003</v>
      </c>
      <c r="S16" s="277">
        <f t="shared" si="24"/>
        <v>3208300</v>
      </c>
      <c r="T16" s="277">
        <f t="shared" si="24"/>
        <v>3274228.4318400002</v>
      </c>
      <c r="U16" s="277">
        <f t="shared" si="24"/>
        <v>3503579.0521599995</v>
      </c>
      <c r="V16" s="277">
        <f t="shared" si="24"/>
        <v>3882658.882079999</v>
      </c>
      <c r="W16" s="277">
        <f t="shared" si="24"/>
        <v>4118674.9032153999</v>
      </c>
      <c r="X16" s="277">
        <f t="shared" si="24"/>
        <v>4539060.5262945322</v>
      </c>
      <c r="Y16" s="277">
        <f t="shared" si="24"/>
        <v>4988234.2244761968</v>
      </c>
      <c r="Z16" s="277">
        <f t="shared" ref="Z16" si="25">Z5</f>
        <v>5384436</v>
      </c>
      <c r="AA16" s="164"/>
      <c r="AB16" s="344">
        <f t="shared" ref="AB16:AB25" si="26">Z16/Y16-1</f>
        <v>7.9427259766537306E-2</v>
      </c>
      <c r="AC16" s="344">
        <f t="shared" ref="AC16:AC25" si="27">Z16/V16-1</f>
        <v>0.38679089859047222</v>
      </c>
    </row>
    <row r="17" spans="2:32" ht="13" customHeight="1">
      <c r="B17" s="54" t="str">
        <f>IF('Summary | Sumário'!D$6=Names!B$3,Names!AJ18,Names!AK18)</f>
        <v>NII</v>
      </c>
      <c r="C17" s="164">
        <f t="shared" si="23"/>
        <v>585551</v>
      </c>
      <c r="D17" s="164">
        <f t="shared" si="23"/>
        <v>715962.89517999999</v>
      </c>
      <c r="E17" s="164">
        <f t="shared" si="23"/>
        <v>1589467.912</v>
      </c>
      <c r="F17" s="164">
        <f t="shared" si="23"/>
        <v>2335429.1850000001</v>
      </c>
      <c r="G17" s="164">
        <f t="shared" si="23"/>
        <v>3208088.9950000001</v>
      </c>
      <c r="H17" s="164">
        <f t="shared" si="23"/>
        <v>4382157.1340165315</v>
      </c>
      <c r="I17" s="164"/>
      <c r="J17" s="164">
        <f t="shared" ref="J17:Y17" si="28">J6</f>
        <v>291581.33899999998</v>
      </c>
      <c r="K17" s="164">
        <f t="shared" si="28"/>
        <v>302295.34700000007</v>
      </c>
      <c r="L17" s="164">
        <f t="shared" si="28"/>
        <v>447369.88</v>
      </c>
      <c r="M17" s="164">
        <f t="shared" si="28"/>
        <v>548221.3459999999</v>
      </c>
      <c r="N17" s="164">
        <f t="shared" si="28"/>
        <v>543411.01500000001</v>
      </c>
      <c r="O17" s="164">
        <f t="shared" si="28"/>
        <v>561087.3110000001</v>
      </c>
      <c r="P17" s="164">
        <f t="shared" si="28"/>
        <v>555587.46700000006</v>
      </c>
      <c r="Q17" s="164">
        <f t="shared" si="28"/>
        <v>675343.39199999999</v>
      </c>
      <c r="R17" s="164">
        <f t="shared" si="28"/>
        <v>711562.12400000007</v>
      </c>
      <c r="S17" s="164">
        <f t="shared" si="28"/>
        <v>802075</v>
      </c>
      <c r="T17" s="164">
        <f t="shared" si="28"/>
        <v>818557.10796000005</v>
      </c>
      <c r="U17" s="164">
        <f t="shared" si="28"/>
        <v>875894.76303999987</v>
      </c>
      <c r="V17" s="164">
        <f t="shared" si="28"/>
        <v>970664.72051999974</v>
      </c>
      <c r="W17" s="164">
        <f t="shared" si="28"/>
        <v>1029668.72580385</v>
      </c>
      <c r="X17" s="164">
        <f t="shared" si="28"/>
        <v>1134765.1315736331</v>
      </c>
      <c r="Y17" s="164">
        <f t="shared" si="28"/>
        <v>1247058.5561190492</v>
      </c>
      <c r="Z17" s="164">
        <f t="shared" ref="Z17" si="29">Z6</f>
        <v>1346109</v>
      </c>
      <c r="AA17" s="164"/>
      <c r="AB17" s="345">
        <f t="shared" si="26"/>
        <v>7.9427259766537306E-2</v>
      </c>
      <c r="AC17" s="345">
        <f t="shared" si="27"/>
        <v>0.38679089859047222</v>
      </c>
    </row>
    <row r="18" spans="2:32" ht="13" customHeight="1">
      <c r="B18" s="69" t="str">
        <f>IF('Summary | Sumário'!D$6=Names!B$3,Names!AJ21,Names!AK21)</f>
        <v>(÷) Avg of the last two periods of IEP</v>
      </c>
      <c r="C18" s="177" t="e">
        <f>C19</f>
        <v>#N/A</v>
      </c>
      <c r="D18" s="526" t="e">
        <f>(D19+C19)/2</f>
        <v>#N/A</v>
      </c>
      <c r="E18" s="526" t="e">
        <f t="shared" ref="E18:H18" si="30">(E19+D19)/2</f>
        <v>#N/A</v>
      </c>
      <c r="F18" s="526" t="e">
        <f t="shared" si="30"/>
        <v>#N/A</v>
      </c>
      <c r="G18" s="526" t="e">
        <f t="shared" si="30"/>
        <v>#N/A</v>
      </c>
      <c r="H18" s="526" t="e">
        <f t="shared" si="30"/>
        <v>#N/A</v>
      </c>
      <c r="I18" s="524"/>
      <c r="J18" s="526" t="e">
        <f>(J19+D19)/2</f>
        <v>#N/A</v>
      </c>
      <c r="K18" s="177" t="e">
        <f>(K19+J19)/2</f>
        <v>#N/A</v>
      </c>
      <c r="L18" s="177" t="e">
        <f t="shared" ref="L18:Z18" si="31">(L19+K19)/2</f>
        <v>#N/A</v>
      </c>
      <c r="M18" s="177" t="e">
        <f t="shared" si="31"/>
        <v>#N/A</v>
      </c>
      <c r="N18" s="177" t="e">
        <f t="shared" si="31"/>
        <v>#N/A</v>
      </c>
      <c r="O18" s="177" t="e">
        <f t="shared" si="31"/>
        <v>#N/A</v>
      </c>
      <c r="P18" s="177" t="e">
        <f t="shared" si="31"/>
        <v>#N/A</v>
      </c>
      <c r="Q18" s="177" t="e">
        <f t="shared" si="31"/>
        <v>#N/A</v>
      </c>
      <c r="R18" s="177" t="e">
        <f t="shared" si="31"/>
        <v>#N/A</v>
      </c>
      <c r="S18" s="177" t="e">
        <f t="shared" si="31"/>
        <v>#N/A</v>
      </c>
      <c r="T18" s="177" t="e">
        <f t="shared" si="31"/>
        <v>#N/A</v>
      </c>
      <c r="U18" s="177" t="e">
        <f t="shared" si="31"/>
        <v>#N/A</v>
      </c>
      <c r="V18" s="177" t="e">
        <f t="shared" si="31"/>
        <v>#N/A</v>
      </c>
      <c r="W18" s="177" t="e">
        <f t="shared" si="31"/>
        <v>#N/A</v>
      </c>
      <c r="X18" s="177" t="e">
        <f t="shared" si="31"/>
        <v>#N/A</v>
      </c>
      <c r="Y18" s="177" t="e">
        <f t="shared" si="31"/>
        <v>#N/A</v>
      </c>
      <c r="Z18" s="177" t="e">
        <f t="shared" si="31"/>
        <v>#N/A</v>
      </c>
      <c r="AA18" s="178"/>
      <c r="AB18" s="361" t="e">
        <f t="shared" si="26"/>
        <v>#N/A</v>
      </c>
      <c r="AC18" s="361" t="e">
        <f t="shared" si="27"/>
        <v>#N/A</v>
      </c>
    </row>
    <row r="19" spans="2:32" ht="13" customHeight="1">
      <c r="B19" s="64" t="str">
        <f>IF('Summary | Sumário'!D$6=Names!B$3,Names!AJ22,Names!AK22)</f>
        <v>IEP</v>
      </c>
      <c r="C19" s="178" t="e">
        <f>C20+C21+C22+C25</f>
        <v>#N/A</v>
      </c>
      <c r="D19" s="178" t="e">
        <f t="shared" ref="D19:R19" si="32">D20+D21+D22+D25</f>
        <v>#N/A</v>
      </c>
      <c r="E19" s="178" t="e">
        <f t="shared" si="32"/>
        <v>#N/A</v>
      </c>
      <c r="F19" s="178" t="e">
        <f t="shared" si="32"/>
        <v>#N/A</v>
      </c>
      <c r="G19" s="178" t="e">
        <f t="shared" ref="G19:H19" si="33">G20+G21+G22+G25</f>
        <v>#N/A</v>
      </c>
      <c r="H19" s="178" t="e">
        <f t="shared" si="33"/>
        <v>#N/A</v>
      </c>
      <c r="I19" s="160"/>
      <c r="J19" s="178" t="e">
        <f t="shared" si="32"/>
        <v>#N/A</v>
      </c>
      <c r="K19" s="178" t="e">
        <f t="shared" si="32"/>
        <v>#N/A</v>
      </c>
      <c r="L19" s="178" t="e">
        <f t="shared" si="32"/>
        <v>#N/A</v>
      </c>
      <c r="M19" s="178" t="e">
        <f t="shared" si="32"/>
        <v>#N/A</v>
      </c>
      <c r="N19" s="178" t="e">
        <f t="shared" si="32"/>
        <v>#N/A</v>
      </c>
      <c r="O19" s="178" t="e">
        <f t="shared" si="32"/>
        <v>#N/A</v>
      </c>
      <c r="P19" s="178" t="e">
        <f t="shared" si="32"/>
        <v>#N/A</v>
      </c>
      <c r="Q19" s="178" t="e">
        <f t="shared" si="32"/>
        <v>#N/A</v>
      </c>
      <c r="R19" s="178" t="e">
        <f t="shared" si="32"/>
        <v>#N/A</v>
      </c>
      <c r="S19" s="178" t="e">
        <f t="shared" ref="S19:T19" si="34">S20+S21+S22+S25</f>
        <v>#N/A</v>
      </c>
      <c r="T19" s="178" t="e">
        <f t="shared" si="34"/>
        <v>#N/A</v>
      </c>
      <c r="U19" s="178" t="e">
        <f t="shared" ref="U19:V19" si="35">U20+U21+U22+U25</f>
        <v>#N/A</v>
      </c>
      <c r="V19" s="178" t="e">
        <f t="shared" si="35"/>
        <v>#N/A</v>
      </c>
      <c r="W19" s="178" t="e">
        <f t="shared" ref="W19:X19" si="36">W20+W21+W22+W25</f>
        <v>#N/A</v>
      </c>
      <c r="X19" s="178" t="e">
        <f t="shared" si="36"/>
        <v>#N/A</v>
      </c>
      <c r="Y19" s="178" t="e">
        <f t="shared" ref="Y19:Z19" si="37">Y20+Y21+Y22+Y25</f>
        <v>#N/A</v>
      </c>
      <c r="Z19" s="178" t="e">
        <f t="shared" si="37"/>
        <v>#N/A</v>
      </c>
      <c r="AA19" s="178"/>
      <c r="AB19" s="366" t="e">
        <f t="shared" si="26"/>
        <v>#N/A</v>
      </c>
      <c r="AC19" s="366" t="e">
        <f t="shared" si="27"/>
        <v>#N/A</v>
      </c>
    </row>
    <row r="20" spans="2:32" ht="13" customHeight="1">
      <c r="B20" s="67" t="str">
        <f>IF('Summary | Sumário'!D$6=Names!B$3,Names!AJ23,Names!AK23)</f>
        <v>Amounts due from financial institutions</v>
      </c>
      <c r="C20" s="177" t="e">
        <f t="shared" ref="C20:H21" si="38">C9</f>
        <v>#N/A</v>
      </c>
      <c r="D20" s="177" t="e">
        <f t="shared" si="38"/>
        <v>#N/A</v>
      </c>
      <c r="E20" s="177" t="e">
        <f t="shared" si="38"/>
        <v>#N/A</v>
      </c>
      <c r="F20" s="177" t="e">
        <f t="shared" si="38"/>
        <v>#N/A</v>
      </c>
      <c r="G20" s="177" t="e">
        <f t="shared" si="38"/>
        <v>#N/A</v>
      </c>
      <c r="H20" s="177" t="e">
        <f t="shared" si="38"/>
        <v>#N/A</v>
      </c>
      <c r="I20" s="160"/>
      <c r="J20" s="177" t="e">
        <f t="shared" ref="J20:Y20" si="39">J9</f>
        <v>#N/A</v>
      </c>
      <c r="K20" s="177" t="e">
        <f t="shared" si="39"/>
        <v>#N/A</v>
      </c>
      <c r="L20" s="177" t="e">
        <f t="shared" si="39"/>
        <v>#N/A</v>
      </c>
      <c r="M20" s="177" t="e">
        <f t="shared" si="39"/>
        <v>#N/A</v>
      </c>
      <c r="N20" s="177" t="e">
        <f t="shared" si="39"/>
        <v>#N/A</v>
      </c>
      <c r="O20" s="177" t="e">
        <f t="shared" si="39"/>
        <v>#N/A</v>
      </c>
      <c r="P20" s="177" t="e">
        <f t="shared" si="39"/>
        <v>#N/A</v>
      </c>
      <c r="Q20" s="177" t="e">
        <f t="shared" si="39"/>
        <v>#N/A</v>
      </c>
      <c r="R20" s="177" t="e">
        <f t="shared" si="39"/>
        <v>#N/A</v>
      </c>
      <c r="S20" s="177" t="e">
        <f t="shared" si="39"/>
        <v>#N/A</v>
      </c>
      <c r="T20" s="177" t="e">
        <f t="shared" si="39"/>
        <v>#N/A</v>
      </c>
      <c r="U20" s="177" t="e">
        <f t="shared" si="39"/>
        <v>#N/A</v>
      </c>
      <c r="V20" s="177" t="e">
        <f t="shared" si="39"/>
        <v>#N/A</v>
      </c>
      <c r="W20" s="177" t="e">
        <f t="shared" si="39"/>
        <v>#N/A</v>
      </c>
      <c r="X20" s="177" t="e">
        <f t="shared" si="39"/>
        <v>#N/A</v>
      </c>
      <c r="Y20" s="177" t="e">
        <f t="shared" si="39"/>
        <v>#N/A</v>
      </c>
      <c r="Z20" s="177" t="e">
        <f t="shared" ref="Z20" si="40">Z9</f>
        <v>#N/A</v>
      </c>
      <c r="AA20" s="178"/>
      <c r="AB20" s="361" t="e">
        <f t="shared" si="26"/>
        <v>#N/A</v>
      </c>
      <c r="AC20" s="361" t="e">
        <f t="shared" si="27"/>
        <v>#N/A</v>
      </c>
    </row>
    <row r="21" spans="2:32" ht="13" customHeight="1">
      <c r="B21" s="62" t="str">
        <f>IF('Summary | Sumário'!D$6=Names!B$3,Names!AJ24,Names!AK24)</f>
        <v>Securities</v>
      </c>
      <c r="C21" s="178" t="e">
        <f t="shared" si="38"/>
        <v>#N/A</v>
      </c>
      <c r="D21" s="178" t="e">
        <f t="shared" si="38"/>
        <v>#N/A</v>
      </c>
      <c r="E21" s="178" t="e">
        <f t="shared" si="38"/>
        <v>#N/A</v>
      </c>
      <c r="F21" s="178" t="e">
        <f t="shared" si="38"/>
        <v>#N/A</v>
      </c>
      <c r="G21" s="178" t="e">
        <f t="shared" si="38"/>
        <v>#N/A</v>
      </c>
      <c r="H21" s="178" t="e">
        <f t="shared" si="38"/>
        <v>#N/A</v>
      </c>
      <c r="I21" s="160"/>
      <c r="J21" s="178" t="e">
        <f t="shared" ref="J21:Y21" si="41">J10</f>
        <v>#N/A</v>
      </c>
      <c r="K21" s="178" t="e">
        <f t="shared" si="41"/>
        <v>#N/A</v>
      </c>
      <c r="L21" s="178" t="e">
        <f t="shared" si="41"/>
        <v>#N/A</v>
      </c>
      <c r="M21" s="178" t="e">
        <f t="shared" si="41"/>
        <v>#N/A</v>
      </c>
      <c r="N21" s="178" t="e">
        <f t="shared" si="41"/>
        <v>#N/A</v>
      </c>
      <c r="O21" s="178" t="e">
        <f t="shared" si="41"/>
        <v>#N/A</v>
      </c>
      <c r="P21" s="178" t="e">
        <f t="shared" si="41"/>
        <v>#N/A</v>
      </c>
      <c r="Q21" s="178" t="e">
        <f t="shared" si="41"/>
        <v>#N/A</v>
      </c>
      <c r="R21" s="178" t="e">
        <f t="shared" si="41"/>
        <v>#N/A</v>
      </c>
      <c r="S21" s="178" t="e">
        <f t="shared" si="41"/>
        <v>#N/A</v>
      </c>
      <c r="T21" s="178" t="e">
        <f t="shared" si="41"/>
        <v>#N/A</v>
      </c>
      <c r="U21" s="178" t="e">
        <f t="shared" si="41"/>
        <v>#N/A</v>
      </c>
      <c r="V21" s="178" t="e">
        <f t="shared" si="41"/>
        <v>#N/A</v>
      </c>
      <c r="W21" s="178" t="e">
        <f t="shared" si="41"/>
        <v>#N/A</v>
      </c>
      <c r="X21" s="178" t="e">
        <f t="shared" si="41"/>
        <v>#N/A</v>
      </c>
      <c r="Y21" s="178" t="e">
        <f t="shared" si="41"/>
        <v>#N/A</v>
      </c>
      <c r="Z21" s="178" t="e">
        <f t="shared" ref="Z21" si="42">Z10</f>
        <v>#N/A</v>
      </c>
      <c r="AA21" s="178"/>
      <c r="AB21" s="366" t="e">
        <f t="shared" si="26"/>
        <v>#N/A</v>
      </c>
      <c r="AC21" s="366" t="e">
        <f t="shared" si="27"/>
        <v>#N/A</v>
      </c>
    </row>
    <row r="22" spans="2:32" ht="13" customHeight="1">
      <c r="B22" s="527" t="str">
        <f>IF('Summary | Sumário'!D$6=Names!B$3,Names!AJ25,Names!AK25)</f>
        <v>Net loans and advances to customers excluding non int. CC Receivables</v>
      </c>
      <c r="C22" s="177" t="e">
        <f>SUM(C23,-C24)</f>
        <v>#N/A</v>
      </c>
      <c r="D22" s="177" t="e">
        <f t="shared" ref="D22:R22" si="43">SUM(D23,-D24)</f>
        <v>#N/A</v>
      </c>
      <c r="E22" s="177" t="e">
        <f t="shared" si="43"/>
        <v>#N/A</v>
      </c>
      <c r="F22" s="177" t="e">
        <f t="shared" si="43"/>
        <v>#N/A</v>
      </c>
      <c r="G22" s="177" t="e">
        <f t="shared" ref="G22:H22" si="44">SUM(G23,-G24)</f>
        <v>#N/A</v>
      </c>
      <c r="H22" s="177" t="e">
        <f t="shared" si="44"/>
        <v>#N/A</v>
      </c>
      <c r="I22" s="160"/>
      <c r="J22" s="177" t="e">
        <f t="shared" si="43"/>
        <v>#N/A</v>
      </c>
      <c r="K22" s="177" t="e">
        <f t="shared" si="43"/>
        <v>#N/A</v>
      </c>
      <c r="L22" s="177" t="e">
        <f t="shared" si="43"/>
        <v>#N/A</v>
      </c>
      <c r="M22" s="177" t="e">
        <f t="shared" si="43"/>
        <v>#N/A</v>
      </c>
      <c r="N22" s="177" t="e">
        <f t="shared" si="43"/>
        <v>#N/A</v>
      </c>
      <c r="O22" s="177" t="e">
        <f t="shared" si="43"/>
        <v>#N/A</v>
      </c>
      <c r="P22" s="177" t="e">
        <f t="shared" si="43"/>
        <v>#N/A</v>
      </c>
      <c r="Q22" s="177" t="e">
        <f t="shared" si="43"/>
        <v>#N/A</v>
      </c>
      <c r="R22" s="177" t="e">
        <f t="shared" si="43"/>
        <v>#N/A</v>
      </c>
      <c r="S22" s="177" t="e">
        <f t="shared" ref="S22:T22" si="45">SUM(S23,-S24)</f>
        <v>#N/A</v>
      </c>
      <c r="T22" s="177" t="e">
        <f t="shared" si="45"/>
        <v>#N/A</v>
      </c>
      <c r="U22" s="177" t="e">
        <f t="shared" ref="U22:V22" si="46">SUM(U23,-U24)</f>
        <v>#N/A</v>
      </c>
      <c r="V22" s="177" t="e">
        <f t="shared" si="46"/>
        <v>#N/A</v>
      </c>
      <c r="W22" s="177" t="e">
        <f t="shared" ref="W22:X22" si="47">SUM(W23,-W24)</f>
        <v>#N/A</v>
      </c>
      <c r="X22" s="177" t="e">
        <f t="shared" si="47"/>
        <v>#N/A</v>
      </c>
      <c r="Y22" s="177" t="e">
        <f t="shared" ref="Y22:Z22" si="48">SUM(Y23,-Y24)</f>
        <v>#N/A</v>
      </c>
      <c r="Z22" s="177" t="e">
        <f t="shared" si="48"/>
        <v>#N/A</v>
      </c>
      <c r="AA22" s="178"/>
      <c r="AB22" s="361" t="e">
        <f t="shared" si="26"/>
        <v>#N/A</v>
      </c>
      <c r="AC22" s="361" t="e">
        <f t="shared" si="27"/>
        <v>#N/A</v>
      </c>
    </row>
    <row r="23" spans="2:32" ht="13" customHeight="1">
      <c r="B23" s="66" t="str">
        <f>IF('Summary | Sumário'!D$6=Names!B$3,Names!AJ26,Names!AK26)</f>
        <v>Net loans and advances to customers</v>
      </c>
      <c r="C23" s="178" t="e">
        <f t="shared" ref="C23:H23" si="49">C11</f>
        <v>#N/A</v>
      </c>
      <c r="D23" s="178" t="e">
        <f t="shared" si="49"/>
        <v>#N/A</v>
      </c>
      <c r="E23" s="178" t="e">
        <f t="shared" si="49"/>
        <v>#N/A</v>
      </c>
      <c r="F23" s="178" t="e">
        <f t="shared" si="49"/>
        <v>#N/A</v>
      </c>
      <c r="G23" s="178" t="e">
        <f t="shared" si="49"/>
        <v>#N/A</v>
      </c>
      <c r="H23" s="178" t="e">
        <f t="shared" si="49"/>
        <v>#N/A</v>
      </c>
      <c r="I23" s="160"/>
      <c r="J23" s="178" t="e">
        <f t="shared" ref="J23:Y23" si="50">J11</f>
        <v>#N/A</v>
      </c>
      <c r="K23" s="178" t="e">
        <f t="shared" si="50"/>
        <v>#N/A</v>
      </c>
      <c r="L23" s="178" t="e">
        <f t="shared" si="50"/>
        <v>#N/A</v>
      </c>
      <c r="M23" s="178" t="e">
        <f t="shared" si="50"/>
        <v>#N/A</v>
      </c>
      <c r="N23" s="178" t="e">
        <f t="shared" si="50"/>
        <v>#N/A</v>
      </c>
      <c r="O23" s="178" t="e">
        <f t="shared" si="50"/>
        <v>#N/A</v>
      </c>
      <c r="P23" s="178" t="e">
        <f t="shared" si="50"/>
        <v>#N/A</v>
      </c>
      <c r="Q23" s="178" t="e">
        <f t="shared" si="50"/>
        <v>#N/A</v>
      </c>
      <c r="R23" s="178" t="e">
        <f t="shared" si="50"/>
        <v>#N/A</v>
      </c>
      <c r="S23" s="178" t="e">
        <f t="shared" si="50"/>
        <v>#N/A</v>
      </c>
      <c r="T23" s="178" t="e">
        <f t="shared" si="50"/>
        <v>#N/A</v>
      </c>
      <c r="U23" s="178" t="e">
        <f t="shared" si="50"/>
        <v>#N/A</v>
      </c>
      <c r="V23" s="178" t="e">
        <f t="shared" si="50"/>
        <v>#N/A</v>
      </c>
      <c r="W23" s="178" t="e">
        <f t="shared" si="50"/>
        <v>#N/A</v>
      </c>
      <c r="X23" s="178" t="e">
        <f t="shared" si="50"/>
        <v>#N/A</v>
      </c>
      <c r="Y23" s="178" t="e">
        <f t="shared" si="50"/>
        <v>#N/A</v>
      </c>
      <c r="Z23" s="178" t="e">
        <f t="shared" ref="Z23" si="51">Z11</f>
        <v>#N/A</v>
      </c>
      <c r="AA23" s="178"/>
      <c r="AB23" s="366" t="e">
        <f t="shared" si="26"/>
        <v>#N/A</v>
      </c>
      <c r="AC23" s="366" t="e">
        <f t="shared" si="27"/>
        <v>#N/A</v>
      </c>
    </row>
    <row r="24" spans="2:32" ht="13" customHeight="1">
      <c r="B24" s="70" t="str">
        <f>IF('Summary | Sumário'!D$6=Names!B$3,Names!AJ27,Names!AK27)</f>
        <v>(-) Non int. CC receivables</v>
      </c>
      <c r="C24" s="177">
        <v>66838.612999999998</v>
      </c>
      <c r="D24" s="177">
        <v>1674430.175</v>
      </c>
      <c r="E24" s="177">
        <v>4122313</v>
      </c>
      <c r="F24" s="177">
        <v>5411798</v>
      </c>
      <c r="G24" s="177">
        <v>7490010.6029999992</v>
      </c>
      <c r="H24" s="177">
        <v>9550035.8154600002</v>
      </c>
      <c r="I24" s="160"/>
      <c r="J24" s="177">
        <v>2094215</v>
      </c>
      <c r="K24" s="177">
        <v>2650205</v>
      </c>
      <c r="L24" s="177">
        <v>3280955</v>
      </c>
      <c r="M24" s="177">
        <v>4122313</v>
      </c>
      <c r="N24" s="177">
        <v>4479286</v>
      </c>
      <c r="O24" s="177">
        <v>4897121</v>
      </c>
      <c r="P24" s="177">
        <v>5101939</v>
      </c>
      <c r="Q24" s="177">
        <v>5411798</v>
      </c>
      <c r="R24" s="177">
        <v>5680268.6121725254</v>
      </c>
      <c r="S24" s="177">
        <v>5903960.2324254084</v>
      </c>
      <c r="T24" s="177">
        <v>6767933.0449999999</v>
      </c>
      <c r="U24" s="177">
        <v>7490010.6029999992</v>
      </c>
      <c r="V24" s="177">
        <v>7935081.2156800013</v>
      </c>
      <c r="W24" s="177">
        <v>8243968.4851799998</v>
      </c>
      <c r="X24" s="177">
        <v>8562871.3540700004</v>
      </c>
      <c r="Y24" s="177">
        <v>9550035.8154600002</v>
      </c>
      <c r="Z24" s="177">
        <v>9622665.0489700008</v>
      </c>
      <c r="AA24" s="178"/>
      <c r="AB24" s="361">
        <f t="shared" si="26"/>
        <v>7.6051268197785404E-3</v>
      </c>
      <c r="AC24" s="361">
        <f t="shared" si="27"/>
        <v>0.2126737946872268</v>
      </c>
    </row>
    <row r="25" spans="2:32" ht="13" customHeight="1">
      <c r="B25" s="62" t="str">
        <f>IF('Summary | Sumário'!D$6=Names!B$3,Names!AJ28,Names!AK28)</f>
        <v>Derivative financial assets</v>
      </c>
      <c r="C25" s="178">
        <f t="shared" ref="C25:H25" si="52">C12</f>
        <v>0</v>
      </c>
      <c r="D25" s="178">
        <f t="shared" si="52"/>
        <v>27513</v>
      </c>
      <c r="E25" s="178">
        <f t="shared" si="52"/>
        <v>86948</v>
      </c>
      <c r="F25" s="178">
        <f t="shared" si="52"/>
        <v>0</v>
      </c>
      <c r="G25" s="178">
        <f t="shared" si="52"/>
        <v>4238</v>
      </c>
      <c r="H25" s="178">
        <f t="shared" si="52"/>
        <v>562.80100000000004</v>
      </c>
      <c r="I25" s="160"/>
      <c r="J25" s="178">
        <f t="shared" ref="J25:Y25" si="53">J12</f>
        <v>18603</v>
      </c>
      <c r="K25" s="178">
        <f t="shared" si="53"/>
        <v>11684</v>
      </c>
      <c r="L25" s="178">
        <f t="shared" si="53"/>
        <v>7643</v>
      </c>
      <c r="M25" s="178">
        <f t="shared" si="53"/>
        <v>86948</v>
      </c>
      <c r="N25" s="178">
        <f t="shared" si="53"/>
        <v>10410</v>
      </c>
      <c r="O25" s="178">
        <f t="shared" si="53"/>
        <v>3212</v>
      </c>
      <c r="P25" s="178">
        <f t="shared" si="53"/>
        <v>581</v>
      </c>
      <c r="Q25" s="178">
        <f t="shared" si="53"/>
        <v>0</v>
      </c>
      <c r="R25" s="178">
        <f t="shared" si="53"/>
        <v>1122</v>
      </c>
      <c r="S25" s="178">
        <f t="shared" si="53"/>
        <v>3625</v>
      </c>
      <c r="T25" s="178">
        <f t="shared" si="53"/>
        <v>9388.5369900000005</v>
      </c>
      <c r="U25" s="178">
        <f t="shared" si="53"/>
        <v>4238</v>
      </c>
      <c r="V25" s="178">
        <f t="shared" si="53"/>
        <v>7392.1129600000004</v>
      </c>
      <c r="W25" s="178">
        <f t="shared" si="53"/>
        <v>7177.4260000000004</v>
      </c>
      <c r="X25" s="178">
        <f t="shared" si="53"/>
        <v>18488.90812</v>
      </c>
      <c r="Y25" s="178">
        <f t="shared" si="53"/>
        <v>562.80100000000004</v>
      </c>
      <c r="Z25" s="178">
        <f t="shared" ref="Z25" si="54">Z12</f>
        <v>8163</v>
      </c>
      <c r="AA25" s="178"/>
      <c r="AB25" s="366">
        <f t="shared" si="26"/>
        <v>13.504238620755826</v>
      </c>
      <c r="AC25" s="366">
        <f t="shared" si="27"/>
        <v>0.10428507304628631</v>
      </c>
    </row>
    <row r="26" spans="2:32" ht="13" customHeight="1">
      <c r="B26" s="274" t="str">
        <f>IF('Summary | Sumário'!D$6=Names!B$3,Names!AJ29,Names!AK29)</f>
        <v>(=) NIM 2.0 - IEP (%)</v>
      </c>
      <c r="C26" s="309" t="e">
        <f t="shared" ref="C26:H26" si="55">C16/C18</f>
        <v>#N/A</v>
      </c>
      <c r="D26" s="309" t="e">
        <f t="shared" si="55"/>
        <v>#N/A</v>
      </c>
      <c r="E26" s="309" t="e">
        <f t="shared" si="55"/>
        <v>#N/A</v>
      </c>
      <c r="F26" s="309" t="e">
        <f t="shared" si="55"/>
        <v>#N/A</v>
      </c>
      <c r="G26" s="309" t="e">
        <f t="shared" si="55"/>
        <v>#N/A</v>
      </c>
      <c r="H26" s="309" t="e">
        <f t="shared" si="55"/>
        <v>#N/A</v>
      </c>
      <c r="I26" s="321"/>
      <c r="J26" s="309" t="e">
        <f t="shared" ref="J26:Y26" si="56">J16/J18</f>
        <v>#N/A</v>
      </c>
      <c r="K26" s="309" t="e">
        <f t="shared" si="56"/>
        <v>#N/A</v>
      </c>
      <c r="L26" s="309" t="e">
        <f t="shared" si="56"/>
        <v>#N/A</v>
      </c>
      <c r="M26" s="309" t="e">
        <f t="shared" si="56"/>
        <v>#N/A</v>
      </c>
      <c r="N26" s="309" t="e">
        <f t="shared" si="56"/>
        <v>#N/A</v>
      </c>
      <c r="O26" s="309" t="e">
        <f t="shared" si="56"/>
        <v>#N/A</v>
      </c>
      <c r="P26" s="309" t="e">
        <f t="shared" si="56"/>
        <v>#N/A</v>
      </c>
      <c r="Q26" s="309" t="e">
        <f t="shared" si="56"/>
        <v>#N/A</v>
      </c>
      <c r="R26" s="309" t="e">
        <f t="shared" si="56"/>
        <v>#N/A</v>
      </c>
      <c r="S26" s="309" t="e">
        <f t="shared" si="56"/>
        <v>#N/A</v>
      </c>
      <c r="T26" s="309" t="e">
        <f t="shared" si="56"/>
        <v>#N/A</v>
      </c>
      <c r="U26" s="309" t="e">
        <f t="shared" si="56"/>
        <v>#N/A</v>
      </c>
      <c r="V26" s="309" t="e">
        <f t="shared" si="56"/>
        <v>#N/A</v>
      </c>
      <c r="W26" s="309" t="e">
        <f t="shared" si="56"/>
        <v>#N/A</v>
      </c>
      <c r="X26" s="309" t="e">
        <f t="shared" si="56"/>
        <v>#N/A</v>
      </c>
      <c r="Y26" s="309" t="e">
        <f t="shared" si="56"/>
        <v>#N/A</v>
      </c>
      <c r="Z26" s="309" t="e">
        <f t="shared" ref="Z26" si="57">Z16/Z18</f>
        <v>#N/A</v>
      </c>
      <c r="AA26" s="321"/>
      <c r="AB26" s="370" t="e">
        <f>(Z26-Y26)*100</f>
        <v>#N/A</v>
      </c>
      <c r="AC26" s="370" t="e">
        <f>(Z26-V26)*100</f>
        <v>#N/A</v>
      </c>
      <c r="AE26" s="154"/>
      <c r="AF26" s="154"/>
    </row>
    <row r="27" spans="2:32" ht="13" customHeight="1">
      <c r="B27" s="4"/>
    </row>
    <row r="28" spans="2:32" ht="13" customHeight="1">
      <c r="B28" s="23" t="str">
        <f>IF('Summary | Sumário'!D$6=Names!B$3,Names!AJ31,Names!AK31)</f>
        <v>Risk-Adjusted NIM 1.0 - IEP + non-interest credit card receivables</v>
      </c>
      <c r="C28" s="310"/>
      <c r="D28" s="310"/>
      <c r="E28" s="310"/>
      <c r="F28" s="310"/>
      <c r="G28" s="310"/>
      <c r="H28" s="310"/>
      <c r="I28" s="167"/>
      <c r="J28" s="310"/>
      <c r="K28" s="310"/>
      <c r="L28" s="310"/>
      <c r="M28" s="310"/>
      <c r="N28" s="310"/>
      <c r="O28" s="310"/>
      <c r="P28" s="310"/>
      <c r="Q28" s="310"/>
      <c r="R28" s="310"/>
      <c r="S28" s="310"/>
      <c r="T28" s="310"/>
      <c r="U28" s="310"/>
      <c r="V28" s="310"/>
      <c r="W28" s="310"/>
      <c r="X28" s="310"/>
      <c r="Y28" s="310"/>
      <c r="Z28" s="310"/>
      <c r="AA28" s="167"/>
      <c r="AB28" s="310"/>
      <c r="AC28" s="310"/>
    </row>
    <row r="29" spans="2:32" ht="13" customHeight="1">
      <c r="B29" s="279" t="str">
        <f>IF('Summary | Sumário'!D$6=Names!B$3,Names!AJ32,Names!AK32)</f>
        <v>Annualized NII after impairment losses on financial assets</v>
      </c>
      <c r="C29" s="280">
        <f>C30</f>
        <v>446981</v>
      </c>
      <c r="D29" s="280">
        <f>D30</f>
        <v>502274.89517999999</v>
      </c>
      <c r="E29" s="280">
        <f t="shared" ref="E29:H29" si="58">E30</f>
        <v>993886.91200000001</v>
      </c>
      <c r="F29" s="280">
        <f t="shared" si="58"/>
        <v>1252192.1850000001</v>
      </c>
      <c r="G29" s="280">
        <f t="shared" si="58"/>
        <v>1666504.9950000001</v>
      </c>
      <c r="H29" s="280">
        <f t="shared" si="58"/>
        <v>2582704.7980165314</v>
      </c>
      <c r="I29" s="164"/>
      <c r="J29" s="280">
        <f>J30*4</f>
        <v>739649.35599999991</v>
      </c>
      <c r="K29" s="280">
        <f t="shared" ref="K29:Z29" si="59">K30*4</f>
        <v>539417.38800000027</v>
      </c>
      <c r="L29" s="280">
        <f t="shared" si="59"/>
        <v>1237459.52</v>
      </c>
      <c r="M29" s="280">
        <f t="shared" si="59"/>
        <v>1459021.3839999996</v>
      </c>
      <c r="N29" s="280">
        <f t="shared" si="59"/>
        <v>921860.06</v>
      </c>
      <c r="O29" s="280">
        <f t="shared" si="59"/>
        <v>1274493.2440000004</v>
      </c>
      <c r="P29" s="280">
        <f t="shared" si="59"/>
        <v>1169897.8680000002</v>
      </c>
      <c r="Q29" s="280">
        <f t="shared" si="59"/>
        <v>1642517.568</v>
      </c>
      <c r="R29" s="280">
        <f t="shared" si="59"/>
        <v>1443524.4960000003</v>
      </c>
      <c r="S29" s="280">
        <f t="shared" si="59"/>
        <v>1614060</v>
      </c>
      <c r="T29" s="280">
        <f t="shared" si="59"/>
        <v>1642632.4318400002</v>
      </c>
      <c r="U29" s="280">
        <f t="shared" si="59"/>
        <v>1965803.0521599995</v>
      </c>
      <c r="V29" s="280">
        <f t="shared" si="59"/>
        <v>2238466.882079999</v>
      </c>
      <c r="W29" s="280">
        <f t="shared" si="59"/>
        <v>2433684.2592153996</v>
      </c>
      <c r="X29" s="280">
        <f t="shared" si="59"/>
        <v>2653353.9262945321</v>
      </c>
      <c r="Y29" s="280">
        <f t="shared" si="59"/>
        <v>3005314.1244761981</v>
      </c>
      <c r="Z29" s="280">
        <f t="shared" si="59"/>
        <v>3329710.4</v>
      </c>
      <c r="AA29" s="164"/>
      <c r="AB29" s="348">
        <f t="shared" ref="AB29:AB38" si="60">Z29/Y29-1</f>
        <v>0.10794088806950963</v>
      </c>
      <c r="AC29" s="348">
        <f t="shared" ref="AC29:AC38" si="61">Z29/V29-1</f>
        <v>0.48749594048316225</v>
      </c>
    </row>
    <row r="30" spans="2:32" ht="13" customHeight="1">
      <c r="B30" s="59" t="str">
        <f>IF('Summary | Sumário'!D$6=Names!B$3,Names!AJ33,Names!AK33)</f>
        <v>NII after impairment losses on financial assets</v>
      </c>
      <c r="C30" s="159">
        <f>C31+C32</f>
        <v>446981</v>
      </c>
      <c r="D30" s="159">
        <f t="shared" ref="D30:U30" si="62">D31+D32</f>
        <v>502274.89517999999</v>
      </c>
      <c r="E30" s="159">
        <f t="shared" si="62"/>
        <v>993886.91200000001</v>
      </c>
      <c r="F30" s="159">
        <f t="shared" si="62"/>
        <v>1252192.1850000001</v>
      </c>
      <c r="G30" s="159">
        <f t="shared" si="62"/>
        <v>1666504.9950000001</v>
      </c>
      <c r="H30" s="159">
        <f t="shared" ref="H30" si="63">H31+H32</f>
        <v>2582704.7980165314</v>
      </c>
      <c r="I30" s="164"/>
      <c r="J30" s="159">
        <f t="shared" si="62"/>
        <v>184912.33899999998</v>
      </c>
      <c r="K30" s="159">
        <f t="shared" si="62"/>
        <v>134854.34700000007</v>
      </c>
      <c r="L30" s="159">
        <f t="shared" si="62"/>
        <v>309364.88</v>
      </c>
      <c r="M30" s="159">
        <f t="shared" si="62"/>
        <v>364755.3459999999</v>
      </c>
      <c r="N30" s="159">
        <f t="shared" si="62"/>
        <v>230465.01500000001</v>
      </c>
      <c r="O30" s="159">
        <f t="shared" si="62"/>
        <v>318623.3110000001</v>
      </c>
      <c r="P30" s="159">
        <f t="shared" si="62"/>
        <v>292474.46700000006</v>
      </c>
      <c r="Q30" s="159">
        <f t="shared" si="62"/>
        <v>410629.39199999999</v>
      </c>
      <c r="R30" s="159">
        <f t="shared" si="62"/>
        <v>360881.12400000007</v>
      </c>
      <c r="S30" s="159">
        <f t="shared" si="62"/>
        <v>403515</v>
      </c>
      <c r="T30" s="159">
        <f t="shared" si="62"/>
        <v>410658.10796000005</v>
      </c>
      <c r="U30" s="159">
        <f t="shared" si="62"/>
        <v>491450.76303999987</v>
      </c>
      <c r="V30" s="159">
        <f t="shared" ref="V30:W30" si="64">V31+V32</f>
        <v>559616.72051999974</v>
      </c>
      <c r="W30" s="159">
        <f t="shared" si="64"/>
        <v>608421.06480384991</v>
      </c>
      <c r="X30" s="159">
        <f t="shared" ref="X30:Y30" si="65">X31+X32</f>
        <v>663338.48157363303</v>
      </c>
      <c r="Y30" s="159">
        <f t="shared" si="65"/>
        <v>751328.53111904953</v>
      </c>
      <c r="Z30" s="159">
        <f t="shared" ref="Z30" si="66">Z31+Z32</f>
        <v>832427.6</v>
      </c>
      <c r="AA30" s="164"/>
      <c r="AB30" s="346">
        <f t="shared" si="60"/>
        <v>0.10794088806950963</v>
      </c>
      <c r="AC30" s="346">
        <f t="shared" si="61"/>
        <v>0.48749594048316225</v>
      </c>
    </row>
    <row r="31" spans="2:32" ht="13" customHeight="1">
      <c r="B31" s="525" t="str">
        <f>IF('Summary | Sumário'!D$6=Names!B$3,Names!AJ5,Names!AK5)</f>
        <v>NII</v>
      </c>
      <c r="C31" s="178">
        <f>C6</f>
        <v>585551</v>
      </c>
      <c r="D31" s="178">
        <f t="shared" ref="D31:X31" si="67">D6</f>
        <v>715962.89517999999</v>
      </c>
      <c r="E31" s="178">
        <f t="shared" si="67"/>
        <v>1589467.912</v>
      </c>
      <c r="F31" s="178">
        <f t="shared" si="67"/>
        <v>2335429.1850000001</v>
      </c>
      <c r="G31" s="178">
        <f t="shared" si="67"/>
        <v>3208088.9950000001</v>
      </c>
      <c r="H31" s="178">
        <f t="shared" ref="H31" si="68">H6</f>
        <v>4382157.1340165315</v>
      </c>
      <c r="I31" s="178"/>
      <c r="J31" s="178">
        <f t="shared" si="67"/>
        <v>291581.33899999998</v>
      </c>
      <c r="K31" s="178">
        <f t="shared" si="67"/>
        <v>302295.34700000007</v>
      </c>
      <c r="L31" s="178">
        <f t="shared" si="67"/>
        <v>447369.88</v>
      </c>
      <c r="M31" s="178">
        <f t="shared" si="67"/>
        <v>548221.3459999999</v>
      </c>
      <c r="N31" s="178">
        <f t="shared" si="67"/>
        <v>543411.01500000001</v>
      </c>
      <c r="O31" s="178">
        <f t="shared" si="67"/>
        <v>561087.3110000001</v>
      </c>
      <c r="P31" s="178">
        <f t="shared" si="67"/>
        <v>555587.46700000006</v>
      </c>
      <c r="Q31" s="178">
        <f t="shared" si="67"/>
        <v>675343.39199999999</v>
      </c>
      <c r="R31" s="178">
        <f t="shared" si="67"/>
        <v>711562.12400000007</v>
      </c>
      <c r="S31" s="178">
        <f t="shared" si="67"/>
        <v>802075</v>
      </c>
      <c r="T31" s="178">
        <f t="shared" si="67"/>
        <v>818557.10796000005</v>
      </c>
      <c r="U31" s="178">
        <f t="shared" si="67"/>
        <v>875894.76303999987</v>
      </c>
      <c r="V31" s="178">
        <f t="shared" si="67"/>
        <v>970664.72051999974</v>
      </c>
      <c r="W31" s="178">
        <f t="shared" si="67"/>
        <v>1029668.72580385</v>
      </c>
      <c r="X31" s="178">
        <f t="shared" si="67"/>
        <v>1134765.1315736331</v>
      </c>
      <c r="Y31" s="178">
        <f t="shared" ref="Y31:Z31" si="69">Y6</f>
        <v>1247058.5561190492</v>
      </c>
      <c r="Z31" s="178">
        <f t="shared" si="69"/>
        <v>1346109</v>
      </c>
      <c r="AA31" s="178"/>
      <c r="AB31" s="366">
        <f t="shared" si="60"/>
        <v>7.9427259766537306E-2</v>
      </c>
      <c r="AC31" s="366">
        <f t="shared" si="61"/>
        <v>0.38679089859047222</v>
      </c>
    </row>
    <row r="32" spans="2:32" ht="13" customHeight="1">
      <c r="B32" s="67" t="str">
        <f>IF('Summary | Sumário'!D$6=Names!B$3,Names!AJ34,Names!AK34)</f>
        <v>Impairment losses on financial assets</v>
      </c>
      <c r="C32" s="177">
        <v>-138570</v>
      </c>
      <c r="D32" s="177">
        <v>-213688</v>
      </c>
      <c r="E32" s="177">
        <v>-595581</v>
      </c>
      <c r="F32" s="177">
        <v>-1083237</v>
      </c>
      <c r="G32" s="177">
        <v>-1541584</v>
      </c>
      <c r="H32" s="177">
        <v>-1799452.3359999999</v>
      </c>
      <c r="I32" s="160"/>
      <c r="J32" s="177">
        <v>-106669</v>
      </c>
      <c r="K32" s="177">
        <v>-167441</v>
      </c>
      <c r="L32" s="177">
        <v>-138005</v>
      </c>
      <c r="M32" s="177">
        <v>-183466</v>
      </c>
      <c r="N32" s="177">
        <v>-312946</v>
      </c>
      <c r="O32" s="177">
        <v>-242464</v>
      </c>
      <c r="P32" s="177">
        <v>-263113</v>
      </c>
      <c r="Q32" s="177">
        <v>-264714</v>
      </c>
      <c r="R32" s="177">
        <v>-350681</v>
      </c>
      <c r="S32" s="177">
        <v>-398560</v>
      </c>
      <c r="T32" s="177">
        <v>-407899</v>
      </c>
      <c r="U32" s="177">
        <v>-384444</v>
      </c>
      <c r="V32" s="177">
        <v>-411048</v>
      </c>
      <c r="W32" s="177">
        <v>-421247.66100000002</v>
      </c>
      <c r="X32" s="177">
        <v>-471426.65</v>
      </c>
      <c r="Y32" s="177">
        <v>-495730.02499999967</v>
      </c>
      <c r="Z32" s="177">
        <v>-513681.4</v>
      </c>
      <c r="AA32" s="178"/>
      <c r="AB32" s="361">
        <f t="shared" si="60"/>
        <v>3.621199865793967E-2</v>
      </c>
      <c r="AC32" s="361">
        <f t="shared" si="61"/>
        <v>0.24968714116112967</v>
      </c>
    </row>
    <row r="33" spans="2:29" ht="13" customHeight="1">
      <c r="B33" s="63" t="str">
        <f>IF('Summary | Sumário'!D$6=Names!B$3,Names!AJ8,Names!AK8)</f>
        <v>(÷) Avg of the last two periods of IEP + non-interest credit card receivables</v>
      </c>
      <c r="C33" s="178" t="e">
        <f>C34</f>
        <v>#N/A</v>
      </c>
      <c r="D33" s="178" t="e">
        <f>(D34+C34)/2</f>
        <v>#N/A</v>
      </c>
      <c r="E33" s="178" t="e">
        <f t="shared" ref="E33" si="70">(E34+D34)/2</f>
        <v>#N/A</v>
      </c>
      <c r="F33" s="178" t="e">
        <f t="shared" ref="F33" si="71">(F34+E34)/2</f>
        <v>#N/A</v>
      </c>
      <c r="G33" s="178" t="e">
        <f t="shared" ref="G33:H33" si="72">(G34+F34)/2</f>
        <v>#N/A</v>
      </c>
      <c r="H33" s="178" t="e">
        <f t="shared" si="72"/>
        <v>#N/A</v>
      </c>
      <c r="I33" s="160"/>
      <c r="J33" s="178" t="e">
        <f>AVERAGE(J34,D34)</f>
        <v>#N/A</v>
      </c>
      <c r="K33" s="178" t="e">
        <f>AVERAGE(K34,J34)</f>
        <v>#N/A</v>
      </c>
      <c r="L33" s="178" t="e">
        <f t="shared" ref="L33" si="73">AVERAGE(L34,K34)</f>
        <v>#N/A</v>
      </c>
      <c r="M33" s="178" t="e">
        <f t="shared" ref="M33" si="74">AVERAGE(M34,L34)</f>
        <v>#N/A</v>
      </c>
      <c r="N33" s="178" t="e">
        <f t="shared" ref="N33" si="75">AVERAGE(N34,M34)</f>
        <v>#N/A</v>
      </c>
      <c r="O33" s="178" t="e">
        <f t="shared" ref="O33" si="76">AVERAGE(O34,N34)</f>
        <v>#N/A</v>
      </c>
      <c r="P33" s="178" t="e">
        <f t="shared" ref="P33" si="77">AVERAGE(P34,O34)</f>
        <v>#N/A</v>
      </c>
      <c r="Q33" s="178" t="e">
        <f t="shared" ref="Q33" si="78">AVERAGE(Q34,P34)</f>
        <v>#N/A</v>
      </c>
      <c r="R33" s="178" t="e">
        <f t="shared" ref="R33" si="79">AVERAGE(R34,Q34)</f>
        <v>#N/A</v>
      </c>
      <c r="S33" s="178" t="e">
        <f t="shared" ref="S33" si="80">AVERAGE(S34,R34)</f>
        <v>#N/A</v>
      </c>
      <c r="T33" s="178" t="e">
        <f t="shared" ref="T33" si="81">AVERAGE(T34,S34)</f>
        <v>#N/A</v>
      </c>
      <c r="U33" s="178" t="e">
        <f t="shared" ref="U33:Z33" si="82">AVERAGE(U34,T34)</f>
        <v>#N/A</v>
      </c>
      <c r="V33" s="178" t="e">
        <f t="shared" si="82"/>
        <v>#N/A</v>
      </c>
      <c r="W33" s="178" t="e">
        <f t="shared" si="82"/>
        <v>#N/A</v>
      </c>
      <c r="X33" s="178" t="e">
        <f t="shared" si="82"/>
        <v>#N/A</v>
      </c>
      <c r="Y33" s="178" t="e">
        <f t="shared" si="82"/>
        <v>#N/A</v>
      </c>
      <c r="Z33" s="178" t="e">
        <f t="shared" si="82"/>
        <v>#N/A</v>
      </c>
      <c r="AA33" s="178"/>
      <c r="AB33" s="366" t="e">
        <f t="shared" si="60"/>
        <v>#N/A</v>
      </c>
      <c r="AC33" s="366" t="e">
        <f t="shared" si="61"/>
        <v>#N/A</v>
      </c>
    </row>
    <row r="34" spans="2:29" ht="13" customHeight="1">
      <c r="B34" s="68" t="str">
        <f>IF('Summary | Sumário'!D$6=Names!B$3,Names!AJ9,Names!AK9)</f>
        <v>IEP + non-interest credit card receivables</v>
      </c>
      <c r="C34" s="179" t="e">
        <f>SUM(C35:C38)</f>
        <v>#N/A</v>
      </c>
      <c r="D34" s="179" t="e">
        <f>SUM(D35:D38)</f>
        <v>#N/A</v>
      </c>
      <c r="E34" s="179" t="e">
        <f t="shared" ref="E34:U34" si="83">SUM(E35:E38)</f>
        <v>#N/A</v>
      </c>
      <c r="F34" s="179" t="e">
        <f t="shared" si="83"/>
        <v>#N/A</v>
      </c>
      <c r="G34" s="179" t="e">
        <f t="shared" si="83"/>
        <v>#N/A</v>
      </c>
      <c r="H34" s="179" t="e">
        <f t="shared" ref="H34" si="84">SUM(H35:H38)</f>
        <v>#N/A</v>
      </c>
      <c r="I34" s="180"/>
      <c r="J34" s="179" t="e">
        <f t="shared" si="83"/>
        <v>#N/A</v>
      </c>
      <c r="K34" s="179" t="e">
        <f t="shared" si="83"/>
        <v>#N/A</v>
      </c>
      <c r="L34" s="179" t="e">
        <f t="shared" si="83"/>
        <v>#N/A</v>
      </c>
      <c r="M34" s="179" t="e">
        <f t="shared" si="83"/>
        <v>#N/A</v>
      </c>
      <c r="N34" s="179" t="e">
        <f t="shared" si="83"/>
        <v>#N/A</v>
      </c>
      <c r="O34" s="179" t="e">
        <f t="shared" si="83"/>
        <v>#N/A</v>
      </c>
      <c r="P34" s="179" t="e">
        <f t="shared" si="83"/>
        <v>#N/A</v>
      </c>
      <c r="Q34" s="179" t="e">
        <f t="shared" si="83"/>
        <v>#N/A</v>
      </c>
      <c r="R34" s="179" t="e">
        <f t="shared" si="83"/>
        <v>#N/A</v>
      </c>
      <c r="S34" s="179" t="e">
        <f t="shared" si="83"/>
        <v>#N/A</v>
      </c>
      <c r="T34" s="179" t="e">
        <f t="shared" si="83"/>
        <v>#N/A</v>
      </c>
      <c r="U34" s="179" t="e">
        <f t="shared" si="83"/>
        <v>#N/A</v>
      </c>
      <c r="V34" s="179" t="e">
        <f t="shared" ref="V34:W34" si="85">SUM(V35:V38)</f>
        <v>#N/A</v>
      </c>
      <c r="W34" s="179" t="e">
        <f t="shared" si="85"/>
        <v>#N/A</v>
      </c>
      <c r="X34" s="179" t="e">
        <f t="shared" ref="X34:Y34" si="86">SUM(X35:X38)</f>
        <v>#N/A</v>
      </c>
      <c r="Y34" s="179" t="e">
        <f t="shared" si="86"/>
        <v>#N/A</v>
      </c>
      <c r="Z34" s="179" t="e">
        <f t="shared" ref="Z34" si="87">SUM(Z35:Z38)</f>
        <v>#N/A</v>
      </c>
      <c r="AA34" s="180"/>
      <c r="AB34" s="367" t="e">
        <f t="shared" si="60"/>
        <v>#N/A</v>
      </c>
      <c r="AC34" s="367" t="e">
        <f t="shared" si="61"/>
        <v>#N/A</v>
      </c>
    </row>
    <row r="35" spans="2:29" ht="13" customHeight="1">
      <c r="B35" s="62" t="str">
        <f>IF('Summary | Sumário'!D$6=Names!B$3,Names!AJ10,Names!AK10)</f>
        <v>Amounts due from financial institutions</v>
      </c>
      <c r="C35" s="180" t="e">
        <v>#N/A</v>
      </c>
      <c r="D35" s="180" t="e">
        <v>#N/A</v>
      </c>
      <c r="E35" s="180" t="e">
        <v>#N/A</v>
      </c>
      <c r="F35" s="180" t="e">
        <v>#N/A</v>
      </c>
      <c r="G35" s="180" t="e">
        <v>#N/A</v>
      </c>
      <c r="H35" s="180" t="e">
        <v>#N/A</v>
      </c>
      <c r="I35" s="180"/>
      <c r="J35" s="180" t="e">
        <v>#N/A</v>
      </c>
      <c r="K35" s="180" t="e">
        <v>#N/A</v>
      </c>
      <c r="L35" s="180" t="e">
        <v>#N/A</v>
      </c>
      <c r="M35" s="180" t="e">
        <v>#N/A</v>
      </c>
      <c r="N35" s="180" t="e">
        <v>#N/A</v>
      </c>
      <c r="O35" s="180" t="e">
        <v>#N/A</v>
      </c>
      <c r="P35" s="180" t="e">
        <v>#N/A</v>
      </c>
      <c r="Q35" s="180" t="e">
        <v>#N/A</v>
      </c>
      <c r="R35" s="180" t="e">
        <v>#N/A</v>
      </c>
      <c r="S35" s="180" t="e">
        <v>#N/A</v>
      </c>
      <c r="T35" s="180" t="e">
        <v>#N/A</v>
      </c>
      <c r="U35" s="180" t="e">
        <v>#N/A</v>
      </c>
      <c r="V35" s="180" t="e">
        <v>#N/A</v>
      </c>
      <c r="W35" s="180" t="e">
        <v>#N/A</v>
      </c>
      <c r="X35" s="180" t="e">
        <v>#N/A</v>
      </c>
      <c r="Y35" s="180" t="e">
        <v>#N/A</v>
      </c>
      <c r="Z35" s="180" t="e">
        <v>#N/A</v>
      </c>
      <c r="AA35" s="180"/>
      <c r="AB35" s="307" t="e">
        <f t="shared" si="60"/>
        <v>#N/A</v>
      </c>
      <c r="AC35" s="307" t="e">
        <f t="shared" si="61"/>
        <v>#N/A</v>
      </c>
    </row>
    <row r="36" spans="2:29" ht="13" customHeight="1">
      <c r="B36" s="67" t="str">
        <f>IF('Summary | Sumário'!D$6=Names!B$3,Names!AJ11,Names!AK11)</f>
        <v>Securities</v>
      </c>
      <c r="C36" s="179" t="e">
        <v>#N/A</v>
      </c>
      <c r="D36" s="179" t="e">
        <v>#N/A</v>
      </c>
      <c r="E36" s="179" t="e">
        <v>#N/A</v>
      </c>
      <c r="F36" s="179" t="e">
        <v>#N/A</v>
      </c>
      <c r="G36" s="179" t="e">
        <v>#N/A</v>
      </c>
      <c r="H36" s="179" t="e">
        <v>#N/A</v>
      </c>
      <c r="I36" s="180"/>
      <c r="J36" s="179" t="e">
        <v>#N/A</v>
      </c>
      <c r="K36" s="179" t="e">
        <v>#N/A</v>
      </c>
      <c r="L36" s="179" t="e">
        <v>#N/A</v>
      </c>
      <c r="M36" s="179" t="e">
        <v>#N/A</v>
      </c>
      <c r="N36" s="179" t="e">
        <v>#N/A</v>
      </c>
      <c r="O36" s="179" t="e">
        <v>#N/A</v>
      </c>
      <c r="P36" s="179" t="e">
        <v>#N/A</v>
      </c>
      <c r="Q36" s="179" t="e">
        <v>#N/A</v>
      </c>
      <c r="R36" s="179" t="e">
        <v>#N/A</v>
      </c>
      <c r="S36" s="179" t="e">
        <v>#N/A</v>
      </c>
      <c r="T36" s="179" t="e">
        <v>#N/A</v>
      </c>
      <c r="U36" s="179" t="e">
        <v>#N/A</v>
      </c>
      <c r="V36" s="179" t="e">
        <v>#N/A</v>
      </c>
      <c r="W36" s="179" t="e">
        <v>#N/A</v>
      </c>
      <c r="X36" s="179" t="e">
        <v>#N/A</v>
      </c>
      <c r="Y36" s="179" t="e">
        <v>#N/A</v>
      </c>
      <c r="Z36" s="179" t="e">
        <v>#N/A</v>
      </c>
      <c r="AA36" s="180"/>
      <c r="AB36" s="367" t="e">
        <f t="shared" si="60"/>
        <v>#N/A</v>
      </c>
      <c r="AC36" s="367" t="e">
        <f t="shared" si="61"/>
        <v>#N/A</v>
      </c>
    </row>
    <row r="37" spans="2:29" ht="13" customHeight="1">
      <c r="B37" s="62" t="str">
        <f>IF('Summary | Sumário'!D$6=Names!B$3,Names!AJ12,Names!AK12)</f>
        <v>Net loans and advances to customers</v>
      </c>
      <c r="C37" s="180" t="e">
        <v>#N/A</v>
      </c>
      <c r="D37" s="180" t="e">
        <v>#N/A</v>
      </c>
      <c r="E37" s="180" t="e">
        <v>#N/A</v>
      </c>
      <c r="F37" s="180" t="e">
        <v>#N/A</v>
      </c>
      <c r="G37" s="180" t="e">
        <v>#N/A</v>
      </c>
      <c r="H37" s="180" t="e">
        <v>#N/A</v>
      </c>
      <c r="I37" s="180"/>
      <c r="J37" s="180" t="e">
        <v>#N/A</v>
      </c>
      <c r="K37" s="180" t="e">
        <v>#N/A</v>
      </c>
      <c r="L37" s="180" t="e">
        <v>#N/A</v>
      </c>
      <c r="M37" s="180" t="e">
        <v>#N/A</v>
      </c>
      <c r="N37" s="180" t="e">
        <v>#N/A</v>
      </c>
      <c r="O37" s="180" t="e">
        <v>#N/A</v>
      </c>
      <c r="P37" s="180" t="e">
        <v>#N/A</v>
      </c>
      <c r="Q37" s="180" t="e">
        <v>#N/A</v>
      </c>
      <c r="R37" s="180" t="e">
        <v>#N/A</v>
      </c>
      <c r="S37" s="180" t="e">
        <v>#N/A</v>
      </c>
      <c r="T37" s="180" t="e">
        <v>#N/A</v>
      </c>
      <c r="U37" s="180" t="e">
        <v>#N/A</v>
      </c>
      <c r="V37" s="180" t="e">
        <v>#N/A</v>
      </c>
      <c r="W37" s="180" t="e">
        <v>#N/A</v>
      </c>
      <c r="X37" s="180" t="e">
        <v>#N/A</v>
      </c>
      <c r="Y37" s="180" t="e">
        <v>#N/A</v>
      </c>
      <c r="Z37" s="180" t="e">
        <v>#N/A</v>
      </c>
      <c r="AA37" s="180"/>
      <c r="AB37" s="307" t="e">
        <f t="shared" si="60"/>
        <v>#N/A</v>
      </c>
      <c r="AC37" s="307" t="e">
        <f t="shared" si="61"/>
        <v>#N/A</v>
      </c>
    </row>
    <row r="38" spans="2:29" ht="13" customHeight="1">
      <c r="B38" s="67" t="str">
        <f>IF('Summary | Sumário'!D$6=Names!B$3,Names!AJ13,Names!AK13)</f>
        <v>Derivative financial assets</v>
      </c>
      <c r="C38" s="179">
        <v>0</v>
      </c>
      <c r="D38" s="179">
        <v>27513</v>
      </c>
      <c r="E38" s="179">
        <v>86948</v>
      </c>
      <c r="F38" s="179">
        <v>0</v>
      </c>
      <c r="G38" s="179">
        <v>4238</v>
      </c>
      <c r="H38" s="179">
        <v>562.80100000000004</v>
      </c>
      <c r="I38" s="180"/>
      <c r="J38" s="179">
        <v>18603</v>
      </c>
      <c r="K38" s="179">
        <v>11684</v>
      </c>
      <c r="L38" s="179">
        <v>7643</v>
      </c>
      <c r="M38" s="179">
        <v>86948</v>
      </c>
      <c r="N38" s="179">
        <v>10410</v>
      </c>
      <c r="O38" s="179">
        <v>3212</v>
      </c>
      <c r="P38" s="179">
        <v>581</v>
      </c>
      <c r="Q38" s="179">
        <v>0</v>
      </c>
      <c r="R38" s="179">
        <v>1122</v>
      </c>
      <c r="S38" s="179">
        <v>3625</v>
      </c>
      <c r="T38" s="179">
        <v>9388.5369900000005</v>
      </c>
      <c r="U38" s="179">
        <v>4238</v>
      </c>
      <c r="V38" s="179">
        <v>7392.1129600000004</v>
      </c>
      <c r="W38" s="179">
        <v>7177.4260000000004</v>
      </c>
      <c r="X38" s="179">
        <v>18488.90812</v>
      </c>
      <c r="Y38" s="179">
        <v>562.80100000000004</v>
      </c>
      <c r="Z38" s="179">
        <v>8163</v>
      </c>
      <c r="AA38" s="180"/>
      <c r="AB38" s="367">
        <f t="shared" si="60"/>
        <v>13.504238620755826</v>
      </c>
      <c r="AC38" s="367">
        <f t="shared" si="61"/>
        <v>0.10428507304628631</v>
      </c>
    </row>
    <row r="39" spans="2:29" ht="13" customHeight="1">
      <c r="B39" s="275" t="str">
        <f>IF('Summary | Sumário'!D$6=Names!B$3,Names!AJ35,Names!AK35)</f>
        <v>(=) Risk-Adjusted NIM 1.0 - IEP + non-interest credit card receivables (%)</v>
      </c>
      <c r="C39" s="289" t="e">
        <f t="shared" ref="C39:U39" si="88">C29/C33</f>
        <v>#N/A</v>
      </c>
      <c r="D39" s="289" t="e">
        <f t="shared" si="88"/>
        <v>#N/A</v>
      </c>
      <c r="E39" s="289" t="e">
        <f t="shared" si="88"/>
        <v>#N/A</v>
      </c>
      <c r="F39" s="289" t="e">
        <f t="shared" si="88"/>
        <v>#N/A</v>
      </c>
      <c r="G39" s="289" t="e">
        <f t="shared" si="88"/>
        <v>#N/A</v>
      </c>
      <c r="H39" s="289" t="e">
        <f t="shared" ref="H39" si="89">H29/H33</f>
        <v>#N/A</v>
      </c>
      <c r="I39" s="321"/>
      <c r="J39" s="289" t="e">
        <f t="shared" si="88"/>
        <v>#N/A</v>
      </c>
      <c r="K39" s="289" t="e">
        <f t="shared" si="88"/>
        <v>#N/A</v>
      </c>
      <c r="L39" s="289" t="e">
        <f t="shared" si="88"/>
        <v>#N/A</v>
      </c>
      <c r="M39" s="289" t="e">
        <f t="shared" si="88"/>
        <v>#N/A</v>
      </c>
      <c r="N39" s="289" t="e">
        <f t="shared" si="88"/>
        <v>#N/A</v>
      </c>
      <c r="O39" s="289" t="e">
        <f t="shared" si="88"/>
        <v>#N/A</v>
      </c>
      <c r="P39" s="289" t="e">
        <f t="shared" si="88"/>
        <v>#N/A</v>
      </c>
      <c r="Q39" s="289" t="e">
        <f t="shared" si="88"/>
        <v>#N/A</v>
      </c>
      <c r="R39" s="289" t="e">
        <f t="shared" si="88"/>
        <v>#N/A</v>
      </c>
      <c r="S39" s="289" t="e">
        <f t="shared" si="88"/>
        <v>#N/A</v>
      </c>
      <c r="T39" s="289" t="e">
        <f t="shared" si="88"/>
        <v>#N/A</v>
      </c>
      <c r="U39" s="289" t="e">
        <f t="shared" si="88"/>
        <v>#N/A</v>
      </c>
      <c r="V39" s="289" t="e">
        <f t="shared" ref="V39:W39" si="90">V29/V33</f>
        <v>#N/A</v>
      </c>
      <c r="W39" s="289" t="e">
        <f t="shared" si="90"/>
        <v>#N/A</v>
      </c>
      <c r="X39" s="289" t="e">
        <f t="shared" ref="X39:Y39" si="91">X29/X33</f>
        <v>#N/A</v>
      </c>
      <c r="Y39" s="289" t="e">
        <f t="shared" si="91"/>
        <v>#N/A</v>
      </c>
      <c r="Z39" s="289" t="e">
        <f t="shared" ref="Z39" si="92">Z29/Z33</f>
        <v>#N/A</v>
      </c>
      <c r="AA39" s="321"/>
      <c r="AB39" s="369" t="e">
        <f>(Z39-Y39)*100</f>
        <v>#N/A</v>
      </c>
      <c r="AC39" s="369" t="e">
        <f>(Z39-V39)*100</f>
        <v>#N/A</v>
      </c>
    </row>
    <row r="40" spans="2:29" ht="13" customHeight="1">
      <c r="B40" s="7"/>
      <c r="C40" s="163"/>
      <c r="D40" s="163"/>
      <c r="E40" s="163"/>
      <c r="F40" s="163"/>
      <c r="G40" s="163"/>
      <c r="H40" s="163"/>
      <c r="J40" s="163"/>
      <c r="K40" s="163"/>
      <c r="L40" s="163"/>
      <c r="M40" s="163"/>
      <c r="N40" s="163"/>
      <c r="O40" s="163"/>
      <c r="P40" s="163"/>
      <c r="Q40" s="163"/>
      <c r="R40" s="163"/>
      <c r="S40" s="163"/>
      <c r="T40" s="163"/>
      <c r="U40" s="163"/>
      <c r="V40" s="163"/>
      <c r="W40" s="163"/>
      <c r="X40" s="163"/>
      <c r="Y40" s="163"/>
      <c r="Z40" s="163"/>
      <c r="AB40" s="163"/>
      <c r="AC40" s="163"/>
    </row>
    <row r="41" spans="2:29" ht="13" customHeight="1">
      <c r="B41" s="3" t="str">
        <f>IF('Summary | Sumário'!D$6=Names!B$3,Names!AJ36,Names!AK36)</f>
        <v>Risk Adjusted NIM 2.0 - IEP</v>
      </c>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row>
    <row r="42" spans="2:29" ht="13" customHeight="1">
      <c r="B42" s="276" t="str">
        <f>IF('Summary | Sumário'!D$6=Names!B$3,Names!AJ32,Names!AK32)</f>
        <v>Annualized NII after impairment losses on financial assets</v>
      </c>
      <c r="C42" s="277">
        <f>C43</f>
        <v>446981</v>
      </c>
      <c r="D42" s="277">
        <f>D43</f>
        <v>502274.89517999999</v>
      </c>
      <c r="E42" s="277">
        <f t="shared" ref="E42:H42" si="93">E43</f>
        <v>993886.91200000001</v>
      </c>
      <c r="F42" s="277">
        <f t="shared" si="93"/>
        <v>1252192.1850000001</v>
      </c>
      <c r="G42" s="277">
        <f t="shared" si="93"/>
        <v>1666504.9950000001</v>
      </c>
      <c r="H42" s="277">
        <f t="shared" si="93"/>
        <v>2582704.7980165314</v>
      </c>
      <c r="I42" s="164"/>
      <c r="J42" s="277">
        <f>J43*4</f>
        <v>739649.35599999991</v>
      </c>
      <c r="K42" s="277">
        <f t="shared" ref="K42:Z42" si="94">K43*4</f>
        <v>539417.38800000027</v>
      </c>
      <c r="L42" s="277">
        <f t="shared" si="94"/>
        <v>1237459.52</v>
      </c>
      <c r="M42" s="277">
        <f t="shared" si="94"/>
        <v>1459021.3839999996</v>
      </c>
      <c r="N42" s="277">
        <f t="shared" si="94"/>
        <v>921860.06</v>
      </c>
      <c r="O42" s="277">
        <f t="shared" si="94"/>
        <v>1274493.2440000004</v>
      </c>
      <c r="P42" s="277">
        <f t="shared" si="94"/>
        <v>1169897.8680000002</v>
      </c>
      <c r="Q42" s="277">
        <f t="shared" si="94"/>
        <v>1642517.568</v>
      </c>
      <c r="R42" s="277">
        <f t="shared" si="94"/>
        <v>1443524.4960000003</v>
      </c>
      <c r="S42" s="277">
        <f t="shared" si="94"/>
        <v>1614060</v>
      </c>
      <c r="T42" s="277">
        <f t="shared" si="94"/>
        <v>1642632.4318400002</v>
      </c>
      <c r="U42" s="277">
        <f t="shared" si="94"/>
        <v>1965803.0521599995</v>
      </c>
      <c r="V42" s="277">
        <f t="shared" si="94"/>
        <v>2238466.882079999</v>
      </c>
      <c r="W42" s="277">
        <f t="shared" si="94"/>
        <v>2433684.2592153996</v>
      </c>
      <c r="X42" s="277">
        <f t="shared" si="94"/>
        <v>2653353.9262945321</v>
      </c>
      <c r="Y42" s="277">
        <f t="shared" si="94"/>
        <v>3005314.1244761981</v>
      </c>
      <c r="Z42" s="277">
        <f t="shared" si="94"/>
        <v>3329710.4</v>
      </c>
      <c r="AA42" s="164"/>
      <c r="AB42" s="344">
        <f t="shared" ref="AB42:AB53" si="95">Z42/Y42-1</f>
        <v>0.10794088806950963</v>
      </c>
      <c r="AC42" s="344">
        <f t="shared" ref="AC42:AC53" si="96">Z42/V42-1</f>
        <v>0.48749594048316225</v>
      </c>
    </row>
    <row r="43" spans="2:29" ht="13" customHeight="1">
      <c r="B43" s="54" t="str">
        <f>IF('Summary | Sumário'!D$6=Names!B$3,Names!AJ33,Names!AK33)</f>
        <v>NII after impairment losses on financial assets</v>
      </c>
      <c r="C43" s="164">
        <f>C44+C45</f>
        <v>446981</v>
      </c>
      <c r="D43" s="164">
        <f t="shared" ref="D43" si="97">D44+D45</f>
        <v>502274.89517999999</v>
      </c>
      <c r="E43" s="164">
        <f t="shared" ref="E43" si="98">E44+E45</f>
        <v>993886.91200000001</v>
      </c>
      <c r="F43" s="164">
        <f t="shared" ref="F43" si="99">F44+F45</f>
        <v>1252192.1850000001</v>
      </c>
      <c r="G43" s="164">
        <f t="shared" ref="G43:H43" si="100">G44+G45</f>
        <v>1666504.9950000001</v>
      </c>
      <c r="H43" s="164">
        <f t="shared" si="100"/>
        <v>2582704.7980165314</v>
      </c>
      <c r="I43" s="164"/>
      <c r="J43" s="164">
        <f t="shared" ref="J43" si="101">J44+J45</f>
        <v>184912.33899999998</v>
      </c>
      <c r="K43" s="164">
        <f t="shared" ref="K43" si="102">K44+K45</f>
        <v>134854.34700000007</v>
      </c>
      <c r="L43" s="164">
        <f t="shared" ref="L43" si="103">L44+L45</f>
        <v>309364.88</v>
      </c>
      <c r="M43" s="164">
        <f t="shared" ref="M43" si="104">M44+M45</f>
        <v>364755.3459999999</v>
      </c>
      <c r="N43" s="164">
        <f t="shared" ref="N43" si="105">N44+N45</f>
        <v>230465.01500000001</v>
      </c>
      <c r="O43" s="164">
        <f t="shared" ref="O43" si="106">O44+O45</f>
        <v>318623.3110000001</v>
      </c>
      <c r="P43" s="164">
        <f t="shared" ref="P43" si="107">P44+P45</f>
        <v>292474.46700000006</v>
      </c>
      <c r="Q43" s="164">
        <f t="shared" ref="Q43" si="108">Q44+Q45</f>
        <v>410629.39199999999</v>
      </c>
      <c r="R43" s="164">
        <f t="shared" ref="R43" si="109">R44+R45</f>
        <v>360881.12400000007</v>
      </c>
      <c r="S43" s="164">
        <f t="shared" ref="S43" si="110">S44+S45</f>
        <v>403515</v>
      </c>
      <c r="T43" s="164">
        <f t="shared" ref="T43" si="111">T44+T45</f>
        <v>410658.10796000005</v>
      </c>
      <c r="U43" s="164">
        <f t="shared" ref="U43:V43" si="112">U44+U45</f>
        <v>491450.76303999987</v>
      </c>
      <c r="V43" s="164">
        <f t="shared" si="112"/>
        <v>559616.72051999974</v>
      </c>
      <c r="W43" s="164">
        <f t="shared" ref="W43:X43" si="113">W44+W45</f>
        <v>608421.06480384991</v>
      </c>
      <c r="X43" s="164">
        <f t="shared" si="113"/>
        <v>663338.48157363303</v>
      </c>
      <c r="Y43" s="164">
        <f t="shared" ref="Y43:Z43" si="114">Y44+Y45</f>
        <v>751328.53111904953</v>
      </c>
      <c r="Z43" s="164">
        <f t="shared" si="114"/>
        <v>832427.6</v>
      </c>
      <c r="AA43" s="164"/>
      <c r="AB43" s="345">
        <f t="shared" si="95"/>
        <v>0.10794088806950963</v>
      </c>
      <c r="AC43" s="345">
        <f t="shared" si="96"/>
        <v>0.48749594048316225</v>
      </c>
    </row>
    <row r="44" spans="2:29" ht="13" customHeight="1">
      <c r="B44" s="67" t="str">
        <f>IF('Summary | Sumário'!D$6=Names!B$3,Names!AJ5,Names!AK5)</f>
        <v>NII</v>
      </c>
      <c r="C44" s="177">
        <f>C31</f>
        <v>585551</v>
      </c>
      <c r="D44" s="177">
        <f t="shared" ref="D44:X44" si="115">D31</f>
        <v>715962.89517999999</v>
      </c>
      <c r="E44" s="177">
        <f t="shared" si="115"/>
        <v>1589467.912</v>
      </c>
      <c r="F44" s="177">
        <f t="shared" si="115"/>
        <v>2335429.1850000001</v>
      </c>
      <c r="G44" s="177">
        <f t="shared" si="115"/>
        <v>3208088.9950000001</v>
      </c>
      <c r="H44" s="177">
        <f t="shared" ref="H44" si="116">H31</f>
        <v>4382157.1340165315</v>
      </c>
      <c r="I44" s="178"/>
      <c r="J44" s="177">
        <f t="shared" si="115"/>
        <v>291581.33899999998</v>
      </c>
      <c r="K44" s="177">
        <f t="shared" si="115"/>
        <v>302295.34700000007</v>
      </c>
      <c r="L44" s="177">
        <f t="shared" si="115"/>
        <v>447369.88</v>
      </c>
      <c r="M44" s="177">
        <f t="shared" si="115"/>
        <v>548221.3459999999</v>
      </c>
      <c r="N44" s="177">
        <f t="shared" si="115"/>
        <v>543411.01500000001</v>
      </c>
      <c r="O44" s="177">
        <f t="shared" si="115"/>
        <v>561087.3110000001</v>
      </c>
      <c r="P44" s="177">
        <f t="shared" si="115"/>
        <v>555587.46700000006</v>
      </c>
      <c r="Q44" s="177">
        <f t="shared" si="115"/>
        <v>675343.39199999999</v>
      </c>
      <c r="R44" s="177">
        <f t="shared" si="115"/>
        <v>711562.12400000007</v>
      </c>
      <c r="S44" s="177">
        <f t="shared" si="115"/>
        <v>802075</v>
      </c>
      <c r="T44" s="177">
        <f t="shared" si="115"/>
        <v>818557.10796000005</v>
      </c>
      <c r="U44" s="177">
        <f t="shared" si="115"/>
        <v>875894.76303999987</v>
      </c>
      <c r="V44" s="177">
        <f t="shared" si="115"/>
        <v>970664.72051999974</v>
      </c>
      <c r="W44" s="177">
        <f t="shared" si="115"/>
        <v>1029668.72580385</v>
      </c>
      <c r="X44" s="177">
        <f t="shared" si="115"/>
        <v>1134765.1315736331</v>
      </c>
      <c r="Y44" s="177">
        <f t="shared" ref="Y44:Z44" si="117">Y31</f>
        <v>1247058.5561190492</v>
      </c>
      <c r="Z44" s="177">
        <f t="shared" si="117"/>
        <v>1346109</v>
      </c>
      <c r="AA44" s="178"/>
      <c r="AB44" s="361">
        <f t="shared" si="95"/>
        <v>7.9427259766537306E-2</v>
      </c>
      <c r="AC44" s="361">
        <f t="shared" si="96"/>
        <v>0.38679089859047222</v>
      </c>
    </row>
    <row r="45" spans="2:29" ht="13" customHeight="1">
      <c r="B45" s="62" t="str">
        <f>IF('Summary | Sumário'!D$6=Names!B$3,Names!AJ34,Names!AK34)</f>
        <v>Impairment losses on financial assets</v>
      </c>
      <c r="C45" s="178">
        <v>-138570</v>
      </c>
      <c r="D45" s="178">
        <v>-213688</v>
      </c>
      <c r="E45" s="178">
        <v>-595581</v>
      </c>
      <c r="F45" s="178">
        <v>-1083237</v>
      </c>
      <c r="G45" s="178">
        <v>-1541584</v>
      </c>
      <c r="H45" s="178">
        <v>-1799452.3359999999</v>
      </c>
      <c r="I45" s="160"/>
      <c r="J45" s="178">
        <v>-106669</v>
      </c>
      <c r="K45" s="178">
        <v>-167441</v>
      </c>
      <c r="L45" s="178">
        <v>-138005</v>
      </c>
      <c r="M45" s="178">
        <v>-183466</v>
      </c>
      <c r="N45" s="178">
        <v>-312946</v>
      </c>
      <c r="O45" s="178">
        <v>-242464</v>
      </c>
      <c r="P45" s="178">
        <v>-263113</v>
      </c>
      <c r="Q45" s="178">
        <v>-264714</v>
      </c>
      <c r="R45" s="178">
        <v>-350681</v>
      </c>
      <c r="S45" s="178">
        <v>-398560</v>
      </c>
      <c r="T45" s="178">
        <v>-407899</v>
      </c>
      <c r="U45" s="178">
        <v>-384444</v>
      </c>
      <c r="V45" s="178">
        <v>-411048</v>
      </c>
      <c r="W45" s="178">
        <v>-421247.66100000002</v>
      </c>
      <c r="X45" s="178">
        <v>-471426.65</v>
      </c>
      <c r="Y45" s="178">
        <v>-495730.02499999967</v>
      </c>
      <c r="Z45" s="178">
        <v>-513681.4</v>
      </c>
      <c r="AA45" s="178"/>
      <c r="AB45" s="366">
        <f t="shared" si="95"/>
        <v>3.621199865793967E-2</v>
      </c>
      <c r="AC45" s="366">
        <f t="shared" si="96"/>
        <v>0.24968714116112967</v>
      </c>
    </row>
    <row r="46" spans="2:29" ht="13" customHeight="1">
      <c r="B46" s="69" t="str">
        <f>IF('Summary | Sumário'!D$6=Names!B$3,Names!AJ21,Names!AK21)</f>
        <v>(÷) Avg of the last two periods of IEP</v>
      </c>
      <c r="C46" s="177" t="e">
        <f>C47</f>
        <v>#N/A</v>
      </c>
      <c r="D46" s="526" t="e">
        <f>(D47+C47)/2</f>
        <v>#N/A</v>
      </c>
      <c r="E46" s="526" t="e">
        <f t="shared" ref="E46" si="118">(E47+D47)/2</f>
        <v>#N/A</v>
      </c>
      <c r="F46" s="526" t="e">
        <f t="shared" ref="F46" si="119">(F47+E47)/2</f>
        <v>#N/A</v>
      </c>
      <c r="G46" s="526" t="e">
        <f t="shared" ref="G46:H46" si="120">(G47+F47)/2</f>
        <v>#N/A</v>
      </c>
      <c r="H46" s="526" t="e">
        <f t="shared" si="120"/>
        <v>#N/A</v>
      </c>
      <c r="I46" s="524"/>
      <c r="J46" s="526" t="e">
        <f>(J47+D47)/2</f>
        <v>#N/A</v>
      </c>
      <c r="K46" s="177" t="e">
        <f>(K47+J47)/2</f>
        <v>#N/A</v>
      </c>
      <c r="L46" s="177" t="e">
        <f t="shared" ref="L46" si="121">(L47+K47)/2</f>
        <v>#N/A</v>
      </c>
      <c r="M46" s="177" t="e">
        <f t="shared" ref="M46" si="122">(M47+L47)/2</f>
        <v>#N/A</v>
      </c>
      <c r="N46" s="177" t="e">
        <f t="shared" ref="N46" si="123">(N47+M47)/2</f>
        <v>#N/A</v>
      </c>
      <c r="O46" s="177" t="e">
        <f t="shared" ref="O46" si="124">(O47+N47)/2</f>
        <v>#N/A</v>
      </c>
      <c r="P46" s="177" t="e">
        <f t="shared" ref="P46" si="125">(P47+O47)/2</f>
        <v>#N/A</v>
      </c>
      <c r="Q46" s="177" t="e">
        <f t="shared" ref="Q46" si="126">(Q47+P47)/2</f>
        <v>#N/A</v>
      </c>
      <c r="R46" s="177" t="e">
        <f t="shared" ref="R46" si="127">(R47+Q47)/2</f>
        <v>#N/A</v>
      </c>
      <c r="S46" s="177" t="e">
        <f t="shared" ref="S46" si="128">(S47+R47)/2</f>
        <v>#N/A</v>
      </c>
      <c r="T46" s="177" t="e">
        <f t="shared" ref="T46" si="129">(T47+S47)/2</f>
        <v>#N/A</v>
      </c>
      <c r="U46" s="177" t="e">
        <f t="shared" ref="U46:Z46" si="130">(U47+T47)/2</f>
        <v>#N/A</v>
      </c>
      <c r="V46" s="177" t="e">
        <f t="shared" si="130"/>
        <v>#N/A</v>
      </c>
      <c r="W46" s="177" t="e">
        <f t="shared" si="130"/>
        <v>#N/A</v>
      </c>
      <c r="X46" s="177" t="e">
        <f t="shared" si="130"/>
        <v>#N/A</v>
      </c>
      <c r="Y46" s="177" t="e">
        <f t="shared" si="130"/>
        <v>#N/A</v>
      </c>
      <c r="Z46" s="177" t="e">
        <f t="shared" si="130"/>
        <v>#N/A</v>
      </c>
      <c r="AA46" s="178"/>
      <c r="AB46" s="361" t="e">
        <f t="shared" si="95"/>
        <v>#N/A</v>
      </c>
      <c r="AC46" s="361" t="e">
        <f t="shared" si="96"/>
        <v>#N/A</v>
      </c>
    </row>
    <row r="47" spans="2:29" ht="13" customHeight="1">
      <c r="B47" s="64" t="str">
        <f>IF('Summary | Sumário'!D$6=Names!B$3,Names!AJ22,Names!AK22)</f>
        <v>IEP</v>
      </c>
      <c r="C47" s="178" t="e">
        <f>C48+C49+C50+C53</f>
        <v>#N/A</v>
      </c>
      <c r="D47" s="178" t="e">
        <f t="shared" ref="D47:U47" si="131">D48+D49+D50+D53</f>
        <v>#N/A</v>
      </c>
      <c r="E47" s="178" t="e">
        <f t="shared" si="131"/>
        <v>#N/A</v>
      </c>
      <c r="F47" s="178" t="e">
        <f t="shared" si="131"/>
        <v>#N/A</v>
      </c>
      <c r="G47" s="178" t="e">
        <f t="shared" si="131"/>
        <v>#N/A</v>
      </c>
      <c r="H47" s="178" t="e">
        <f t="shared" ref="H47" si="132">H48+H49+H50+H53</f>
        <v>#N/A</v>
      </c>
      <c r="I47" s="160"/>
      <c r="J47" s="178" t="e">
        <f t="shared" si="131"/>
        <v>#N/A</v>
      </c>
      <c r="K47" s="178" t="e">
        <f t="shared" si="131"/>
        <v>#N/A</v>
      </c>
      <c r="L47" s="178" t="e">
        <f t="shared" si="131"/>
        <v>#N/A</v>
      </c>
      <c r="M47" s="178" t="e">
        <f t="shared" si="131"/>
        <v>#N/A</v>
      </c>
      <c r="N47" s="178" t="e">
        <f t="shared" si="131"/>
        <v>#N/A</v>
      </c>
      <c r="O47" s="178" t="e">
        <f t="shared" si="131"/>
        <v>#N/A</v>
      </c>
      <c r="P47" s="178" t="e">
        <f t="shared" si="131"/>
        <v>#N/A</v>
      </c>
      <c r="Q47" s="178" t="e">
        <f t="shared" si="131"/>
        <v>#N/A</v>
      </c>
      <c r="R47" s="178" t="e">
        <f t="shared" si="131"/>
        <v>#N/A</v>
      </c>
      <c r="S47" s="178" t="e">
        <f t="shared" si="131"/>
        <v>#N/A</v>
      </c>
      <c r="T47" s="178" t="e">
        <f t="shared" si="131"/>
        <v>#N/A</v>
      </c>
      <c r="U47" s="178" t="e">
        <f t="shared" si="131"/>
        <v>#N/A</v>
      </c>
      <c r="V47" s="178" t="e">
        <f t="shared" ref="V47:W47" si="133">V48+V49+V50+V53</f>
        <v>#N/A</v>
      </c>
      <c r="W47" s="178" t="e">
        <f t="shared" si="133"/>
        <v>#N/A</v>
      </c>
      <c r="X47" s="178" t="e">
        <f t="shared" ref="X47:Y47" si="134">X48+X49+X50+X53</f>
        <v>#N/A</v>
      </c>
      <c r="Y47" s="178" t="e">
        <f t="shared" si="134"/>
        <v>#N/A</v>
      </c>
      <c r="Z47" s="178" t="e">
        <f t="shared" ref="Z47" si="135">Z48+Z49+Z50+Z53</f>
        <v>#N/A</v>
      </c>
      <c r="AA47" s="178"/>
      <c r="AB47" s="366" t="e">
        <f t="shared" si="95"/>
        <v>#N/A</v>
      </c>
      <c r="AC47" s="366" t="e">
        <f t="shared" si="96"/>
        <v>#N/A</v>
      </c>
    </row>
    <row r="48" spans="2:29" ht="13" customHeight="1">
      <c r="B48" s="67" t="str">
        <f>IF('Summary | Sumário'!D$6=Names!B$3,Names!AJ23,Names!AK23)</f>
        <v>Amounts due from financial institutions</v>
      </c>
      <c r="C48" s="177" t="e">
        <f t="shared" ref="C48:U48" si="136">C35</f>
        <v>#N/A</v>
      </c>
      <c r="D48" s="177" t="e">
        <f t="shared" si="136"/>
        <v>#N/A</v>
      </c>
      <c r="E48" s="177" t="e">
        <f t="shared" si="136"/>
        <v>#N/A</v>
      </c>
      <c r="F48" s="177" t="e">
        <f t="shared" si="136"/>
        <v>#N/A</v>
      </c>
      <c r="G48" s="177" t="e">
        <f t="shared" si="136"/>
        <v>#N/A</v>
      </c>
      <c r="H48" s="177" t="e">
        <f t="shared" ref="H48" si="137">H35</f>
        <v>#N/A</v>
      </c>
      <c r="I48" s="160"/>
      <c r="J48" s="177" t="e">
        <f t="shared" si="136"/>
        <v>#N/A</v>
      </c>
      <c r="K48" s="177" t="e">
        <f t="shared" si="136"/>
        <v>#N/A</v>
      </c>
      <c r="L48" s="177" t="e">
        <f t="shared" si="136"/>
        <v>#N/A</v>
      </c>
      <c r="M48" s="177" t="e">
        <f t="shared" si="136"/>
        <v>#N/A</v>
      </c>
      <c r="N48" s="177" t="e">
        <f t="shared" si="136"/>
        <v>#N/A</v>
      </c>
      <c r="O48" s="177" t="e">
        <f t="shared" si="136"/>
        <v>#N/A</v>
      </c>
      <c r="P48" s="177" t="e">
        <f t="shared" si="136"/>
        <v>#N/A</v>
      </c>
      <c r="Q48" s="177" t="e">
        <f t="shared" si="136"/>
        <v>#N/A</v>
      </c>
      <c r="R48" s="177" t="e">
        <f t="shared" si="136"/>
        <v>#N/A</v>
      </c>
      <c r="S48" s="177" t="e">
        <f t="shared" si="136"/>
        <v>#N/A</v>
      </c>
      <c r="T48" s="177" t="e">
        <f t="shared" si="136"/>
        <v>#N/A</v>
      </c>
      <c r="U48" s="177" t="e">
        <f t="shared" si="136"/>
        <v>#N/A</v>
      </c>
      <c r="V48" s="177" t="e">
        <f t="shared" ref="V48:W48" si="138">V35</f>
        <v>#N/A</v>
      </c>
      <c r="W48" s="177" t="e">
        <f t="shared" si="138"/>
        <v>#N/A</v>
      </c>
      <c r="X48" s="177" t="e">
        <f t="shared" ref="X48:Y48" si="139">X35</f>
        <v>#N/A</v>
      </c>
      <c r="Y48" s="177" t="e">
        <f t="shared" si="139"/>
        <v>#N/A</v>
      </c>
      <c r="Z48" s="177" t="e">
        <f t="shared" ref="Z48" si="140">Z35</f>
        <v>#N/A</v>
      </c>
      <c r="AA48" s="178"/>
      <c r="AB48" s="361" t="e">
        <f t="shared" si="95"/>
        <v>#N/A</v>
      </c>
      <c r="AC48" s="361" t="e">
        <f t="shared" si="96"/>
        <v>#N/A</v>
      </c>
    </row>
    <row r="49" spans="2:29" ht="13" customHeight="1">
      <c r="B49" s="62" t="str">
        <f>IF('Summary | Sumário'!D$6=Names!B$3,Names!AJ24,Names!AK24)</f>
        <v>Securities</v>
      </c>
      <c r="C49" s="178" t="e">
        <f t="shared" ref="C49:F49" si="141">C36</f>
        <v>#N/A</v>
      </c>
      <c r="D49" s="178" t="e">
        <f t="shared" si="141"/>
        <v>#N/A</v>
      </c>
      <c r="E49" s="178" t="e">
        <f t="shared" si="141"/>
        <v>#N/A</v>
      </c>
      <c r="F49" s="178" t="e">
        <f t="shared" si="141"/>
        <v>#N/A</v>
      </c>
      <c r="G49" s="178" t="e">
        <f t="shared" ref="G49:U49" si="142">G36</f>
        <v>#N/A</v>
      </c>
      <c r="H49" s="178" t="e">
        <f t="shared" ref="H49" si="143">H36</f>
        <v>#N/A</v>
      </c>
      <c r="I49" s="160"/>
      <c r="J49" s="178" t="e">
        <f t="shared" si="142"/>
        <v>#N/A</v>
      </c>
      <c r="K49" s="178" t="e">
        <f t="shared" si="142"/>
        <v>#N/A</v>
      </c>
      <c r="L49" s="178" t="e">
        <f t="shared" si="142"/>
        <v>#N/A</v>
      </c>
      <c r="M49" s="178" t="e">
        <f t="shared" si="142"/>
        <v>#N/A</v>
      </c>
      <c r="N49" s="178" t="e">
        <f t="shared" si="142"/>
        <v>#N/A</v>
      </c>
      <c r="O49" s="178" t="e">
        <f t="shared" si="142"/>
        <v>#N/A</v>
      </c>
      <c r="P49" s="178" t="e">
        <f t="shared" si="142"/>
        <v>#N/A</v>
      </c>
      <c r="Q49" s="178" t="e">
        <f t="shared" si="142"/>
        <v>#N/A</v>
      </c>
      <c r="R49" s="178" t="e">
        <f t="shared" si="142"/>
        <v>#N/A</v>
      </c>
      <c r="S49" s="178" t="e">
        <f t="shared" si="142"/>
        <v>#N/A</v>
      </c>
      <c r="T49" s="178" t="e">
        <f t="shared" si="142"/>
        <v>#N/A</v>
      </c>
      <c r="U49" s="178" t="e">
        <f t="shared" si="142"/>
        <v>#N/A</v>
      </c>
      <c r="V49" s="178" t="e">
        <f t="shared" ref="V49:W49" si="144">V36</f>
        <v>#N/A</v>
      </c>
      <c r="W49" s="178" t="e">
        <f t="shared" si="144"/>
        <v>#N/A</v>
      </c>
      <c r="X49" s="178" t="e">
        <f t="shared" ref="X49:Y49" si="145">X36</f>
        <v>#N/A</v>
      </c>
      <c r="Y49" s="178" t="e">
        <f t="shared" si="145"/>
        <v>#N/A</v>
      </c>
      <c r="Z49" s="178" t="e">
        <f t="shared" ref="Z49" si="146">Z36</f>
        <v>#N/A</v>
      </c>
      <c r="AA49" s="178"/>
      <c r="AB49" s="366" t="e">
        <f t="shared" si="95"/>
        <v>#N/A</v>
      </c>
      <c r="AC49" s="366" t="e">
        <f t="shared" si="96"/>
        <v>#N/A</v>
      </c>
    </row>
    <row r="50" spans="2:29" ht="13" customHeight="1">
      <c r="B50" s="527" t="str">
        <f>IF('Summary | Sumário'!D$6=Names!B$3,Names!AJ25,Names!AK25)</f>
        <v>Net loans and advances to customers excluding non int. CC Receivables</v>
      </c>
      <c r="C50" s="177" t="e">
        <f>SUM(C51,-C52)</f>
        <v>#N/A</v>
      </c>
      <c r="D50" s="177" t="e">
        <f t="shared" ref="D50:U50" si="147">SUM(D51,-D52)</f>
        <v>#N/A</v>
      </c>
      <c r="E50" s="177" t="e">
        <f t="shared" si="147"/>
        <v>#N/A</v>
      </c>
      <c r="F50" s="177" t="e">
        <f t="shared" si="147"/>
        <v>#N/A</v>
      </c>
      <c r="G50" s="177" t="e">
        <f t="shared" si="147"/>
        <v>#N/A</v>
      </c>
      <c r="H50" s="177" t="e">
        <f t="shared" ref="H50" si="148">SUM(H51,-H52)</f>
        <v>#N/A</v>
      </c>
      <c r="I50" s="160"/>
      <c r="J50" s="177" t="e">
        <f t="shared" si="147"/>
        <v>#N/A</v>
      </c>
      <c r="K50" s="177" t="e">
        <f t="shared" si="147"/>
        <v>#N/A</v>
      </c>
      <c r="L50" s="177" t="e">
        <f t="shared" si="147"/>
        <v>#N/A</v>
      </c>
      <c r="M50" s="177" t="e">
        <f t="shared" si="147"/>
        <v>#N/A</v>
      </c>
      <c r="N50" s="177" t="e">
        <f t="shared" si="147"/>
        <v>#N/A</v>
      </c>
      <c r="O50" s="177" t="e">
        <f t="shared" si="147"/>
        <v>#N/A</v>
      </c>
      <c r="P50" s="177" t="e">
        <f t="shared" si="147"/>
        <v>#N/A</v>
      </c>
      <c r="Q50" s="177" t="e">
        <f t="shared" si="147"/>
        <v>#N/A</v>
      </c>
      <c r="R50" s="177" t="e">
        <f t="shared" si="147"/>
        <v>#N/A</v>
      </c>
      <c r="S50" s="177" t="e">
        <f t="shared" si="147"/>
        <v>#N/A</v>
      </c>
      <c r="T50" s="177" t="e">
        <f t="shared" si="147"/>
        <v>#N/A</v>
      </c>
      <c r="U50" s="177" t="e">
        <f t="shared" si="147"/>
        <v>#N/A</v>
      </c>
      <c r="V50" s="177" t="e">
        <f t="shared" ref="V50:W50" si="149">SUM(V51,-V52)</f>
        <v>#N/A</v>
      </c>
      <c r="W50" s="177" t="e">
        <f t="shared" si="149"/>
        <v>#N/A</v>
      </c>
      <c r="X50" s="177" t="e">
        <f t="shared" ref="X50:Y50" si="150">SUM(X51,-X52)</f>
        <v>#N/A</v>
      </c>
      <c r="Y50" s="177" t="e">
        <f t="shared" si="150"/>
        <v>#N/A</v>
      </c>
      <c r="Z50" s="177" t="e">
        <f t="shared" ref="Z50" si="151">SUM(Z51,-Z52)</f>
        <v>#N/A</v>
      </c>
      <c r="AA50" s="178"/>
      <c r="AB50" s="361" t="e">
        <f t="shared" si="95"/>
        <v>#N/A</v>
      </c>
      <c r="AC50" s="361" t="e">
        <f t="shared" si="96"/>
        <v>#N/A</v>
      </c>
    </row>
    <row r="51" spans="2:29" ht="13" customHeight="1">
      <c r="B51" s="66" t="str">
        <f>IF('Summary | Sumário'!D$6=Names!B$3,Names!AJ26,Names!AK26)</f>
        <v>Net loans and advances to customers</v>
      </c>
      <c r="C51" s="178" t="e">
        <f t="shared" ref="C51:U51" si="152">C37</f>
        <v>#N/A</v>
      </c>
      <c r="D51" s="178" t="e">
        <f t="shared" si="152"/>
        <v>#N/A</v>
      </c>
      <c r="E51" s="178" t="e">
        <f t="shared" si="152"/>
        <v>#N/A</v>
      </c>
      <c r="F51" s="178" t="e">
        <f t="shared" si="152"/>
        <v>#N/A</v>
      </c>
      <c r="G51" s="178" t="e">
        <f t="shared" si="152"/>
        <v>#N/A</v>
      </c>
      <c r="H51" s="178" t="e">
        <f t="shared" ref="H51" si="153">H37</f>
        <v>#N/A</v>
      </c>
      <c r="I51" s="160"/>
      <c r="J51" s="178" t="e">
        <f t="shared" si="152"/>
        <v>#N/A</v>
      </c>
      <c r="K51" s="178" t="e">
        <f t="shared" si="152"/>
        <v>#N/A</v>
      </c>
      <c r="L51" s="178" t="e">
        <f t="shared" si="152"/>
        <v>#N/A</v>
      </c>
      <c r="M51" s="178" t="e">
        <f t="shared" si="152"/>
        <v>#N/A</v>
      </c>
      <c r="N51" s="178" t="e">
        <f t="shared" si="152"/>
        <v>#N/A</v>
      </c>
      <c r="O51" s="178" t="e">
        <f t="shared" si="152"/>
        <v>#N/A</v>
      </c>
      <c r="P51" s="178" t="e">
        <f t="shared" si="152"/>
        <v>#N/A</v>
      </c>
      <c r="Q51" s="178" t="e">
        <f t="shared" si="152"/>
        <v>#N/A</v>
      </c>
      <c r="R51" s="178" t="e">
        <f t="shared" si="152"/>
        <v>#N/A</v>
      </c>
      <c r="S51" s="178" t="e">
        <f t="shared" si="152"/>
        <v>#N/A</v>
      </c>
      <c r="T51" s="178" t="e">
        <f t="shared" si="152"/>
        <v>#N/A</v>
      </c>
      <c r="U51" s="178" t="e">
        <f t="shared" si="152"/>
        <v>#N/A</v>
      </c>
      <c r="V51" s="178" t="e">
        <f t="shared" ref="V51:W51" si="154">V37</f>
        <v>#N/A</v>
      </c>
      <c r="W51" s="178" t="e">
        <f t="shared" si="154"/>
        <v>#N/A</v>
      </c>
      <c r="X51" s="178" t="e">
        <f t="shared" ref="X51:Y51" si="155">X37</f>
        <v>#N/A</v>
      </c>
      <c r="Y51" s="178" t="e">
        <f t="shared" si="155"/>
        <v>#N/A</v>
      </c>
      <c r="Z51" s="178" t="e">
        <f t="shared" ref="Z51" si="156">Z37</f>
        <v>#N/A</v>
      </c>
      <c r="AA51" s="178"/>
      <c r="AB51" s="366" t="e">
        <f t="shared" si="95"/>
        <v>#N/A</v>
      </c>
      <c r="AC51" s="366" t="e">
        <f t="shared" si="96"/>
        <v>#N/A</v>
      </c>
    </row>
    <row r="52" spans="2:29" ht="13" customHeight="1">
      <c r="B52" s="70" t="str">
        <f>IF('Summary | Sumário'!D$6=Names!B$3,Names!AJ27,Names!AK27)</f>
        <v>(-) Non int. CC receivables</v>
      </c>
      <c r="C52" s="177">
        <v>66838.612999999998</v>
      </c>
      <c r="D52" s="177">
        <v>1674430.175</v>
      </c>
      <c r="E52" s="177">
        <v>4122313</v>
      </c>
      <c r="F52" s="177">
        <v>5411798</v>
      </c>
      <c r="G52" s="177">
        <v>7490010.6029999992</v>
      </c>
      <c r="H52" s="177">
        <v>9550035.8154600002</v>
      </c>
      <c r="I52" s="160"/>
      <c r="J52" s="177">
        <v>2094215</v>
      </c>
      <c r="K52" s="177">
        <v>2650205</v>
      </c>
      <c r="L52" s="177">
        <v>3280955</v>
      </c>
      <c r="M52" s="177">
        <v>4122313</v>
      </c>
      <c r="N52" s="177">
        <v>4479286</v>
      </c>
      <c r="O52" s="177">
        <v>4897121</v>
      </c>
      <c r="P52" s="177">
        <v>5101939</v>
      </c>
      <c r="Q52" s="177">
        <v>5411798</v>
      </c>
      <c r="R52" s="177">
        <v>5680268.6121725254</v>
      </c>
      <c r="S52" s="177">
        <v>5903960.2324254084</v>
      </c>
      <c r="T52" s="177">
        <v>6767933.0449999999</v>
      </c>
      <c r="U52" s="177">
        <v>7490010.6029999992</v>
      </c>
      <c r="V52" s="177">
        <v>7935081.2156800013</v>
      </c>
      <c r="W52" s="177">
        <v>8243968.4851799998</v>
      </c>
      <c r="X52" s="177">
        <v>8562871.3540700004</v>
      </c>
      <c r="Y52" s="177">
        <v>9550035.8154600002</v>
      </c>
      <c r="Z52" s="177">
        <v>9622665.0489700008</v>
      </c>
      <c r="AA52" s="178"/>
      <c r="AB52" s="361">
        <f t="shared" si="95"/>
        <v>7.6051268197785404E-3</v>
      </c>
      <c r="AC52" s="361">
        <f t="shared" si="96"/>
        <v>0.2126737946872268</v>
      </c>
    </row>
    <row r="53" spans="2:29" ht="13" customHeight="1">
      <c r="B53" s="62" t="str">
        <f>IF('Summary | Sumário'!D$6=Names!B$3,Names!AJ28,Names!AK28)</f>
        <v>Derivative financial assets</v>
      </c>
      <c r="C53" s="178">
        <f t="shared" ref="C53:U53" si="157">C38</f>
        <v>0</v>
      </c>
      <c r="D53" s="178">
        <f t="shared" si="157"/>
        <v>27513</v>
      </c>
      <c r="E53" s="178">
        <f t="shared" si="157"/>
        <v>86948</v>
      </c>
      <c r="F53" s="178">
        <f t="shared" si="157"/>
        <v>0</v>
      </c>
      <c r="G53" s="178">
        <f t="shared" si="157"/>
        <v>4238</v>
      </c>
      <c r="H53" s="178">
        <f t="shared" ref="H53" si="158">H38</f>
        <v>562.80100000000004</v>
      </c>
      <c r="I53" s="160"/>
      <c r="J53" s="178">
        <f t="shared" si="157"/>
        <v>18603</v>
      </c>
      <c r="K53" s="178">
        <f t="shared" si="157"/>
        <v>11684</v>
      </c>
      <c r="L53" s="178">
        <f t="shared" si="157"/>
        <v>7643</v>
      </c>
      <c r="M53" s="178">
        <f t="shared" si="157"/>
        <v>86948</v>
      </c>
      <c r="N53" s="178">
        <f t="shared" si="157"/>
        <v>10410</v>
      </c>
      <c r="O53" s="178">
        <f t="shared" si="157"/>
        <v>3212</v>
      </c>
      <c r="P53" s="178">
        <f t="shared" si="157"/>
        <v>581</v>
      </c>
      <c r="Q53" s="178">
        <f t="shared" si="157"/>
        <v>0</v>
      </c>
      <c r="R53" s="178">
        <f t="shared" si="157"/>
        <v>1122</v>
      </c>
      <c r="S53" s="178">
        <f t="shared" si="157"/>
        <v>3625</v>
      </c>
      <c r="T53" s="178">
        <f t="shared" si="157"/>
        <v>9388.5369900000005</v>
      </c>
      <c r="U53" s="178">
        <f t="shared" si="157"/>
        <v>4238</v>
      </c>
      <c r="V53" s="178">
        <f t="shared" ref="V53:W53" si="159">V38</f>
        <v>7392.1129600000004</v>
      </c>
      <c r="W53" s="178">
        <f t="shared" si="159"/>
        <v>7177.4260000000004</v>
      </c>
      <c r="X53" s="178">
        <f t="shared" ref="X53:Y53" si="160">X38</f>
        <v>18488.90812</v>
      </c>
      <c r="Y53" s="178">
        <f t="shared" si="160"/>
        <v>562.80100000000004</v>
      </c>
      <c r="Z53" s="178">
        <f t="shared" ref="Z53" si="161">Z38</f>
        <v>8163</v>
      </c>
      <c r="AA53" s="178"/>
      <c r="AB53" s="366">
        <f t="shared" si="95"/>
        <v>13.504238620755826</v>
      </c>
      <c r="AC53" s="366">
        <f t="shared" si="96"/>
        <v>0.10428507304628631</v>
      </c>
    </row>
    <row r="54" spans="2:29" ht="13" customHeight="1">
      <c r="B54" s="274" t="str">
        <f>IF('Summary | Sumário'!D$6=Names!B$3,Names!AJ37,Names!AK37)</f>
        <v>(=) Risk-adjusted NIM 2.0 - IEP (%)</v>
      </c>
      <c r="C54" s="309" t="e">
        <f t="shared" ref="C54:F54" si="162">C42/C46</f>
        <v>#N/A</v>
      </c>
      <c r="D54" s="309" t="e">
        <f t="shared" si="162"/>
        <v>#N/A</v>
      </c>
      <c r="E54" s="309" t="e">
        <f t="shared" si="162"/>
        <v>#N/A</v>
      </c>
      <c r="F54" s="309" t="e">
        <f t="shared" si="162"/>
        <v>#N/A</v>
      </c>
      <c r="G54" s="309" t="e">
        <f>G42/G46</f>
        <v>#N/A</v>
      </c>
      <c r="H54" s="309" t="e">
        <f>H42/H46</f>
        <v>#N/A</v>
      </c>
      <c r="I54" s="321"/>
      <c r="J54" s="309" t="e">
        <f t="shared" ref="J54:U54" si="163">J42/J46</f>
        <v>#N/A</v>
      </c>
      <c r="K54" s="309" t="e">
        <f t="shared" si="163"/>
        <v>#N/A</v>
      </c>
      <c r="L54" s="309" t="e">
        <f t="shared" si="163"/>
        <v>#N/A</v>
      </c>
      <c r="M54" s="309" t="e">
        <f t="shared" si="163"/>
        <v>#N/A</v>
      </c>
      <c r="N54" s="309" t="e">
        <f t="shared" si="163"/>
        <v>#N/A</v>
      </c>
      <c r="O54" s="309" t="e">
        <f t="shared" si="163"/>
        <v>#N/A</v>
      </c>
      <c r="P54" s="309" t="e">
        <f t="shared" si="163"/>
        <v>#N/A</v>
      </c>
      <c r="Q54" s="309" t="e">
        <f t="shared" si="163"/>
        <v>#N/A</v>
      </c>
      <c r="R54" s="309" t="e">
        <f t="shared" si="163"/>
        <v>#N/A</v>
      </c>
      <c r="S54" s="309" t="e">
        <f t="shared" si="163"/>
        <v>#N/A</v>
      </c>
      <c r="T54" s="309" t="e">
        <f t="shared" si="163"/>
        <v>#N/A</v>
      </c>
      <c r="U54" s="309" t="e">
        <f t="shared" si="163"/>
        <v>#N/A</v>
      </c>
      <c r="V54" s="309" t="e">
        <f t="shared" ref="V54:W54" si="164">V42/V46</f>
        <v>#N/A</v>
      </c>
      <c r="W54" s="309" t="e">
        <f t="shared" si="164"/>
        <v>#N/A</v>
      </c>
      <c r="X54" s="309" t="e">
        <f t="shared" ref="X54:Y54" si="165">X42/X46</f>
        <v>#N/A</v>
      </c>
      <c r="Y54" s="309" t="e">
        <f t="shared" si="165"/>
        <v>#N/A</v>
      </c>
      <c r="Z54" s="309" t="e">
        <f t="shared" ref="Z54" si="166">Z42/Z46</f>
        <v>#N/A</v>
      </c>
      <c r="AA54" s="321"/>
      <c r="AB54" s="370" t="e">
        <f>(Z54-Y54)*100</f>
        <v>#N/A</v>
      </c>
      <c r="AC54" s="370" t="e">
        <f>(Z54-V54)*100</f>
        <v>#N/A</v>
      </c>
    </row>
  </sheetData>
  <sheetProtection algorithmName="SHA-512" hashValue="gO529/cehM2BVI1dmGcYcYSzTvEhr6QewuyI2NvpO4ID9i7mHxMOL3nr5+AA2+vuRXAPl95Moml5d6Un/fBiXA==" saltValue="7tgA1BlYaOizrdXs/Q2wj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A2:AC4 B2:B3 S2:X5 AA14:AC15 AA5 AA6 AA13 AA27:AC28 AA16 AA17 AA26 AA40:AC41 AA29 AA30:AA38 AA39 AA54 AA42 AA43:AA53 B18:B30 S18:X23 AA18:AA25 B7:B17 S7:X8 AA7:AA12 B32:B43 B45:B54 S33:X34 S46:X51 B5:B6 S13:X17 S39:X43 S25:X30 S53:X54" unlockedFormula="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22FF-BABF-5346-86FD-35375D07C9C5}">
  <sheetPr codeName="Sheet35">
    <tabColor theme="0" tint="-0.34998626667073579"/>
  </sheetPr>
  <dimension ref="A1:AH35"/>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1" customWidth="1"/>
    <col min="9" max="9" width="2.83203125" style="121" customWidth="1"/>
    <col min="10" max="26" width="10.83203125" style="121" customWidth="1"/>
    <col min="27" max="27" width="5.83203125" style="121" customWidth="1"/>
    <col min="28" max="29" width="10.83203125" style="121" customWidth="1"/>
    <col min="30" max="16384" width="10.83203125" style="120"/>
  </cols>
  <sheetData>
    <row r="1" spans="2:33" ht="13" customHeight="1">
      <c r="AD1" s="121"/>
    </row>
    <row r="2" spans="2:33" s="9" customFormat="1" ht="13" customHeight="1">
      <c r="B2" s="255" t="str">
        <f>IF('Summary | Sumário'!D$6=Names!B$3,Names!BF1,Names!BG1)</f>
        <v> Efficiency Ratio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316"/>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6" t="str">
        <f>IF('Summary | Sumário'!D6=Names!B3,Names!C24,Names!D24)</f>
        <v>1Q25</v>
      </c>
      <c r="AA2" s="315"/>
      <c r="AB2" s="104" t="str">
        <f>IF('Summary | Sumário'!$D$6=Names!$B$3,Names!$I$24,Names!$J$24)</f>
        <v>QoQ Variation</v>
      </c>
      <c r="AC2" s="104" t="str">
        <f>IF('Summary | Sumário'!$D$6=Names!$B$3,Names!$I$25,Names!$J$25)</f>
        <v>YoY Variation</v>
      </c>
      <c r="AD2" s="10"/>
      <c r="AF2" s="11"/>
      <c r="AG2" s="12"/>
    </row>
    <row r="3" spans="2:33"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31"/>
    </row>
    <row r="4" spans="2:33" ht="13" customHeight="1">
      <c r="B4" s="3" t="str">
        <f>IF('Summary | Sumário'!D$6=Names!B$3,Names!BF3,Names!BG3)</f>
        <v>Efficiency ratio </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row>
    <row r="5" spans="2:33" ht="13" customHeight="1">
      <c r="B5" s="276" t="str">
        <f>IF('Summary | Sumário'!D$6=Names!B$3,Names!BF4,Names!BG4)</f>
        <v>Total operational expenses</v>
      </c>
      <c r="C5" s="277">
        <f>SUM(C6:C8)</f>
        <v>572970</v>
      </c>
      <c r="D5" s="277">
        <f t="shared" ref="D5:R5" si="0">SUM(D6:D8)</f>
        <v>914082</v>
      </c>
      <c r="E5" s="277">
        <f t="shared" si="0"/>
        <v>1701818.2949999999</v>
      </c>
      <c r="F5" s="277">
        <f t="shared" si="0"/>
        <v>2392061</v>
      </c>
      <c r="G5" s="277">
        <f>SUM(G6:G8)</f>
        <v>2412527</v>
      </c>
      <c r="H5" s="277">
        <f>SUM(H6:H8)</f>
        <v>2915645.6869999999</v>
      </c>
      <c r="I5" s="164"/>
      <c r="J5" s="277">
        <f t="shared" si="0"/>
        <v>320122.31299999997</v>
      </c>
      <c r="K5" s="277">
        <f t="shared" si="0"/>
        <v>391145</v>
      </c>
      <c r="L5" s="277">
        <f t="shared" si="0"/>
        <v>387488.18799999997</v>
      </c>
      <c r="M5" s="277">
        <f t="shared" si="0"/>
        <v>603062.79399999999</v>
      </c>
      <c r="N5" s="277">
        <f t="shared" si="0"/>
        <v>558404</v>
      </c>
      <c r="O5" s="277">
        <f t="shared" si="0"/>
        <v>556595</v>
      </c>
      <c r="P5" s="277">
        <f t="shared" si="0"/>
        <v>591798</v>
      </c>
      <c r="Q5" s="277">
        <f t="shared" si="0"/>
        <v>685264</v>
      </c>
      <c r="R5" s="277">
        <f t="shared" si="0"/>
        <v>595604</v>
      </c>
      <c r="S5" s="277">
        <f t="shared" ref="S5:T5" si="1">SUM(S6:S8)</f>
        <v>575247</v>
      </c>
      <c r="T5" s="277">
        <f t="shared" si="1"/>
        <v>614129</v>
      </c>
      <c r="U5" s="277">
        <f t="shared" ref="U5:V5" si="2">SUM(U6:U8)</f>
        <v>627547</v>
      </c>
      <c r="V5" s="277">
        <f t="shared" si="2"/>
        <v>627607</v>
      </c>
      <c r="W5" s="277">
        <f t="shared" ref="W5:X5" si="3">SUM(W6:W8)</f>
        <v>660068.69851999998</v>
      </c>
      <c r="X5" s="277">
        <f t="shared" si="3"/>
        <v>787129.60447999998</v>
      </c>
      <c r="Y5" s="277">
        <f t="shared" ref="Y5:Z5" si="4">SUM(Y6:Y8)</f>
        <v>840840.38400000008</v>
      </c>
      <c r="Z5" s="277">
        <f t="shared" si="4"/>
        <v>830517.8</v>
      </c>
      <c r="AA5" s="164"/>
      <c r="AB5" s="344">
        <f>Z5/Y5-1</f>
        <v>-1.2276508355716698E-2</v>
      </c>
      <c r="AC5" s="344">
        <f>Z5/V5-1</f>
        <v>0.32330869477236557</v>
      </c>
    </row>
    <row r="6" spans="2:33" ht="13" customHeight="1">
      <c r="B6" s="62" t="str">
        <f>IF('Summary | Sumário'!D$6=Names!B$3,Names!BF5,Names!BG5)</f>
        <v>Personnel expenses</v>
      </c>
      <c r="C6" s="164">
        <v>169198</v>
      </c>
      <c r="D6" s="164">
        <v>229096</v>
      </c>
      <c r="E6" s="164">
        <v>443328</v>
      </c>
      <c r="F6" s="164">
        <v>733605</v>
      </c>
      <c r="G6" s="164">
        <v>790739</v>
      </c>
      <c r="H6" s="164">
        <v>937761.13</v>
      </c>
      <c r="I6" s="164"/>
      <c r="J6" s="164">
        <v>81861</v>
      </c>
      <c r="K6" s="164">
        <v>93046</v>
      </c>
      <c r="L6" s="164">
        <v>121250</v>
      </c>
      <c r="M6" s="164">
        <v>147171</v>
      </c>
      <c r="N6" s="164">
        <v>145120</v>
      </c>
      <c r="O6" s="164">
        <v>172466</v>
      </c>
      <c r="P6" s="164">
        <v>176232</v>
      </c>
      <c r="Q6" s="164">
        <v>239787</v>
      </c>
      <c r="R6" s="164">
        <v>172412</v>
      </c>
      <c r="S6" s="164">
        <v>186249</v>
      </c>
      <c r="T6" s="164">
        <v>210661</v>
      </c>
      <c r="U6" s="164">
        <v>221417</v>
      </c>
      <c r="V6" s="164">
        <v>190463</v>
      </c>
      <c r="W6" s="164">
        <v>204206.56551999997</v>
      </c>
      <c r="X6" s="164">
        <v>258954.60447999998</v>
      </c>
      <c r="Y6" s="164">
        <v>284136.96000000008</v>
      </c>
      <c r="Z6" s="164">
        <v>234873.2</v>
      </c>
      <c r="AA6" s="164"/>
      <c r="AB6" s="345">
        <f t="shared" ref="AB6:AB13" si="5">Z6/Y6-1</f>
        <v>-0.17338033038714873</v>
      </c>
      <c r="AC6" s="345">
        <f t="shared" ref="AC6:AC13" si="6">Z6/V6-1</f>
        <v>0.23316969700151735</v>
      </c>
    </row>
    <row r="7" spans="2:33" ht="13" customHeight="1">
      <c r="B7" s="67" t="str">
        <f>IF('Summary | Sumário'!D$6=Names!B$3,Names!BF6,Names!BG6)</f>
        <v>Administrative expenses</v>
      </c>
      <c r="C7" s="159">
        <v>386309</v>
      </c>
      <c r="D7" s="159">
        <v>641327</v>
      </c>
      <c r="E7" s="159">
        <v>1164239.7749999999</v>
      </c>
      <c r="F7" s="159">
        <v>1494484</v>
      </c>
      <c r="G7" s="159">
        <v>1461348</v>
      </c>
      <c r="H7" s="159">
        <v>1769055.128</v>
      </c>
      <c r="I7" s="164"/>
      <c r="J7" s="159">
        <v>219095.31299999999</v>
      </c>
      <c r="K7" s="159">
        <v>272761</v>
      </c>
      <c r="L7" s="159">
        <v>235355.18799999999</v>
      </c>
      <c r="M7" s="159">
        <v>437028.27399999998</v>
      </c>
      <c r="N7" s="159">
        <v>376806</v>
      </c>
      <c r="O7" s="159">
        <v>348618</v>
      </c>
      <c r="P7" s="159">
        <v>379946</v>
      </c>
      <c r="Q7" s="159">
        <v>389114</v>
      </c>
      <c r="R7" s="159">
        <v>385615</v>
      </c>
      <c r="S7" s="159">
        <v>347868</v>
      </c>
      <c r="T7" s="159">
        <v>362877</v>
      </c>
      <c r="U7" s="159">
        <v>364988</v>
      </c>
      <c r="V7" s="159">
        <v>395244</v>
      </c>
      <c r="W7" s="159">
        <v>402827.25400000002</v>
      </c>
      <c r="X7" s="159">
        <v>474826</v>
      </c>
      <c r="Y7" s="159">
        <v>496157.87400000007</v>
      </c>
      <c r="Z7" s="159">
        <v>528199.6</v>
      </c>
      <c r="AA7" s="164"/>
      <c r="AB7" s="346">
        <f t="shared" si="5"/>
        <v>6.4579698678731257E-2</v>
      </c>
      <c r="AC7" s="346">
        <f t="shared" si="6"/>
        <v>0.33638866118144728</v>
      </c>
    </row>
    <row r="8" spans="2:33" ht="13" customHeight="1">
      <c r="B8" s="62" t="str">
        <f>IF('Summary | Sumário'!D$6=Names!B$3,Names!BF7,Names!BG7)</f>
        <v>Depreciation and amortization</v>
      </c>
      <c r="C8" s="164">
        <v>17463</v>
      </c>
      <c r="D8" s="164">
        <v>43659</v>
      </c>
      <c r="E8" s="164">
        <v>94250.52</v>
      </c>
      <c r="F8" s="164">
        <v>163972</v>
      </c>
      <c r="G8" s="164">
        <v>160440</v>
      </c>
      <c r="H8" s="164">
        <v>208829.429</v>
      </c>
      <c r="I8" s="164"/>
      <c r="J8" s="164">
        <v>19166</v>
      </c>
      <c r="K8" s="164">
        <v>25338</v>
      </c>
      <c r="L8" s="164">
        <v>30883</v>
      </c>
      <c r="M8" s="164">
        <v>18863.520000000004</v>
      </c>
      <c r="N8" s="164">
        <v>36478</v>
      </c>
      <c r="O8" s="164">
        <v>35511</v>
      </c>
      <c r="P8" s="164">
        <v>35620</v>
      </c>
      <c r="Q8" s="164">
        <v>56363</v>
      </c>
      <c r="R8" s="164">
        <v>37577</v>
      </c>
      <c r="S8" s="164">
        <v>41130</v>
      </c>
      <c r="T8" s="164">
        <v>40591</v>
      </c>
      <c r="U8" s="164">
        <v>41142</v>
      </c>
      <c r="V8" s="164">
        <v>41900</v>
      </c>
      <c r="W8" s="164">
        <v>53034.879000000001</v>
      </c>
      <c r="X8" s="164">
        <v>53349</v>
      </c>
      <c r="Y8" s="164">
        <v>60545.549999999988</v>
      </c>
      <c r="Z8" s="164">
        <v>67445</v>
      </c>
      <c r="AA8" s="164"/>
      <c r="AB8" s="345">
        <f t="shared" si="5"/>
        <v>0.11395470022156884</v>
      </c>
      <c r="AC8" s="345">
        <f t="shared" si="6"/>
        <v>0.60966587112171844</v>
      </c>
    </row>
    <row r="9" spans="2:33" ht="13" customHeight="1">
      <c r="B9" s="52" t="str">
        <f>IF('Summary | Sumário'!D$6=Names!B$3,Names!BF8,Names!BG8)</f>
        <v>(÷) Total net revenues excluding tax expenses</v>
      </c>
      <c r="C9" s="159">
        <f t="shared" ref="C9:S9" si="7">SUM(C10:C13)</f>
        <v>712223.66099999996</v>
      </c>
      <c r="D9" s="159">
        <f t="shared" si="7"/>
        <v>1011378.89518</v>
      </c>
      <c r="E9" s="159">
        <f t="shared" si="7"/>
        <v>2075101.6869999995</v>
      </c>
      <c r="F9" s="159">
        <f t="shared" si="7"/>
        <v>3314109.1849999996</v>
      </c>
      <c r="G9" s="159">
        <f t="shared" ref="G9:H9" si="8">SUM(G10:G13)</f>
        <v>4425993</v>
      </c>
      <c r="H9" s="159">
        <f t="shared" si="8"/>
        <v>5923127.8012114009</v>
      </c>
      <c r="I9" s="164"/>
      <c r="J9" s="159">
        <f t="shared" si="7"/>
        <v>389231.652</v>
      </c>
      <c r="K9" s="159">
        <f t="shared" si="7"/>
        <v>437040.34700000007</v>
      </c>
      <c r="L9" s="159">
        <f t="shared" si="7"/>
        <v>565864.06799999997</v>
      </c>
      <c r="M9" s="159">
        <f t="shared" si="7"/>
        <v>682964.62</v>
      </c>
      <c r="N9" s="159">
        <f t="shared" si="7"/>
        <v>776828.0149999999</v>
      </c>
      <c r="O9" s="159">
        <f t="shared" si="7"/>
        <v>815420.3110000001</v>
      </c>
      <c r="P9" s="159">
        <f t="shared" si="7"/>
        <v>788759.46699999995</v>
      </c>
      <c r="Q9" s="159">
        <f t="shared" si="7"/>
        <v>933101.39199999999</v>
      </c>
      <c r="R9" s="159">
        <f t="shared" si="7"/>
        <v>955243.12400000007</v>
      </c>
      <c r="S9" s="159">
        <f t="shared" si="7"/>
        <v>1077571</v>
      </c>
      <c r="T9" s="159">
        <f t="shared" ref="T9:U9" si="9">SUM(T10:T13)</f>
        <v>1171423.6082400002</v>
      </c>
      <c r="U9" s="159">
        <f t="shared" si="9"/>
        <v>1221755.8627599997</v>
      </c>
      <c r="V9" s="159">
        <f t="shared" ref="V9:W9" si="10">SUM(V10:V13)</f>
        <v>1314608.115371532</v>
      </c>
      <c r="W9" s="159">
        <f t="shared" si="10"/>
        <v>1379180.5400425298</v>
      </c>
      <c r="X9" s="159">
        <f t="shared" ref="X9:Y9" si="11">SUM(X10:X13)</f>
        <v>1552510.3355535723</v>
      </c>
      <c r="Y9" s="159">
        <f t="shared" si="11"/>
        <v>1676828.8102437663</v>
      </c>
      <c r="Z9" s="159">
        <f t="shared" ref="Z9" si="12">SUM(Z10:Z13)</f>
        <v>1701746.1</v>
      </c>
      <c r="AA9" s="164"/>
      <c r="AB9" s="346">
        <f t="shared" si="5"/>
        <v>1.4859769586503813E-2</v>
      </c>
      <c r="AC9" s="346">
        <f t="shared" si="6"/>
        <v>0.29448927030170946</v>
      </c>
    </row>
    <row r="10" spans="2:33" ht="13" customHeight="1">
      <c r="B10" s="54" t="str">
        <f>IF('Summary | Sumário'!D$6=Names!B$3,Names!BF9,Names!BG9)</f>
        <v>Net interest income and income from securities, derivatives and foreing exchange</v>
      </c>
      <c r="C10" s="164">
        <v>591527</v>
      </c>
      <c r="D10" s="164">
        <v>733280.89517999999</v>
      </c>
      <c r="E10" s="164">
        <v>1614135.9119999998</v>
      </c>
      <c r="F10" s="164">
        <v>2435209.1849999996</v>
      </c>
      <c r="G10" s="164">
        <v>3296797</v>
      </c>
      <c r="H10" s="164">
        <v>4456744.3939420003</v>
      </c>
      <c r="I10" s="164"/>
      <c r="J10" s="164">
        <v>297457.33899999998</v>
      </c>
      <c r="K10" s="164">
        <v>308984.34700000007</v>
      </c>
      <c r="L10" s="164">
        <v>453160.88</v>
      </c>
      <c r="M10" s="164">
        <v>554532.34600000002</v>
      </c>
      <c r="N10" s="164">
        <v>560444.0149999999</v>
      </c>
      <c r="O10" s="164">
        <v>586650.3110000001</v>
      </c>
      <c r="P10" s="164">
        <v>586724.46699999995</v>
      </c>
      <c r="Q10" s="164">
        <v>701390.39199999999</v>
      </c>
      <c r="R10" s="164">
        <v>726481.12400000007</v>
      </c>
      <c r="S10" s="164">
        <v>828266</v>
      </c>
      <c r="T10" s="164">
        <v>845216.10796000005</v>
      </c>
      <c r="U10" s="164">
        <v>896833.76303999987</v>
      </c>
      <c r="V10" s="164">
        <v>992420.72051999974</v>
      </c>
      <c r="W10" s="164">
        <v>1041865.7258038499</v>
      </c>
      <c r="X10" s="164">
        <v>1164350.1315736333</v>
      </c>
      <c r="Y10" s="164">
        <v>1258107.8160445173</v>
      </c>
      <c r="Z10" s="164">
        <v>1362594.3</v>
      </c>
      <c r="AA10" s="164"/>
      <c r="AB10" s="345">
        <f t="shared" si="5"/>
        <v>8.305050061924546E-2</v>
      </c>
      <c r="AC10" s="345">
        <f t="shared" si="6"/>
        <v>0.3730006556957417</v>
      </c>
    </row>
    <row r="11" spans="2:33" ht="13" customHeight="1">
      <c r="B11" s="68" t="str">
        <f>IF('Summary | Sumário'!D$6=Names!B$3,Names!BF10,Names!BG10)</f>
        <v>Net result from services and commissions</v>
      </c>
      <c r="C11" s="159">
        <v>73829.660999999993</v>
      </c>
      <c r="D11" s="159">
        <v>185534</v>
      </c>
      <c r="E11" s="159">
        <v>442272</v>
      </c>
      <c r="F11" s="159">
        <v>838806</v>
      </c>
      <c r="G11" s="159">
        <v>1168800</v>
      </c>
      <c r="H11" s="159">
        <v>1609850.2739999997</v>
      </c>
      <c r="I11" s="164"/>
      <c r="J11" s="159">
        <v>77686</v>
      </c>
      <c r="K11" s="159">
        <v>89070</v>
      </c>
      <c r="L11" s="159">
        <v>122853</v>
      </c>
      <c r="M11" s="159">
        <v>152663</v>
      </c>
      <c r="N11" s="159">
        <v>177703</v>
      </c>
      <c r="O11" s="159">
        <v>204561</v>
      </c>
      <c r="P11" s="159">
        <v>217029</v>
      </c>
      <c r="Q11" s="159">
        <v>239513</v>
      </c>
      <c r="R11" s="159">
        <v>246675</v>
      </c>
      <c r="S11" s="159">
        <v>266801</v>
      </c>
      <c r="T11" s="159">
        <v>315509</v>
      </c>
      <c r="U11" s="159">
        <v>339815.6</v>
      </c>
      <c r="V11" s="159">
        <v>340317.39485153224</v>
      </c>
      <c r="W11" s="159">
        <v>364200.86699999997</v>
      </c>
      <c r="X11" s="159">
        <v>429990.49199999997</v>
      </c>
      <c r="Y11" s="159">
        <v>475341.5201484678</v>
      </c>
      <c r="Z11" s="159">
        <v>419113.4</v>
      </c>
      <c r="AA11" s="164"/>
      <c r="AB11" s="346">
        <f t="shared" si="5"/>
        <v>-0.11828994052719299</v>
      </c>
      <c r="AC11" s="346">
        <f t="shared" si="6"/>
        <v>0.23153681339986609</v>
      </c>
    </row>
    <row r="12" spans="2:33" ht="13" customHeight="1">
      <c r="B12" s="64" t="str">
        <f>IF('Summary | Sumário'!D$6=Names!B$3,Names!BF12,Names!BG12)</f>
        <v>Other revenues</v>
      </c>
      <c r="C12" s="164">
        <v>46867</v>
      </c>
      <c r="D12" s="164">
        <v>92564</v>
      </c>
      <c r="E12" s="164">
        <v>165415</v>
      </c>
      <c r="F12" s="164">
        <v>288682</v>
      </c>
      <c r="G12" s="164">
        <v>286980</v>
      </c>
      <c r="H12" s="164">
        <v>333570.52926939999</v>
      </c>
      <c r="I12" s="164"/>
      <c r="J12" s="164">
        <v>41623</v>
      </c>
      <c r="K12" s="164">
        <v>69359</v>
      </c>
      <c r="L12" s="164">
        <v>30496</v>
      </c>
      <c r="M12" s="164">
        <v>23937</v>
      </c>
      <c r="N12" s="164">
        <v>95374</v>
      </c>
      <c r="O12" s="164">
        <v>85809</v>
      </c>
      <c r="P12" s="164">
        <v>46550</v>
      </c>
      <c r="Q12" s="164">
        <v>60949</v>
      </c>
      <c r="R12" s="164">
        <v>50958</v>
      </c>
      <c r="S12" s="164">
        <v>54967</v>
      </c>
      <c r="T12" s="164">
        <v>104770.50028000001</v>
      </c>
      <c r="U12" s="164">
        <v>76284.499719999993</v>
      </c>
      <c r="V12" s="164">
        <v>68201</v>
      </c>
      <c r="W12" s="164">
        <v>72531.218238679983</v>
      </c>
      <c r="X12" s="164">
        <v>81802.620979938802</v>
      </c>
      <c r="Y12" s="164">
        <v>111035.69005078121</v>
      </c>
      <c r="Z12" s="164">
        <v>56093.4</v>
      </c>
      <c r="AA12" s="164"/>
      <c r="AB12" s="345">
        <f t="shared" si="5"/>
        <v>-0.49481648671390099</v>
      </c>
      <c r="AC12" s="345">
        <f t="shared" si="6"/>
        <v>-0.17752818873623555</v>
      </c>
    </row>
    <row r="13" spans="2:33" ht="13" customHeight="1">
      <c r="B13" s="68" t="str">
        <f>IF('Summary | Sumário'!D$6=Names!B$3,Names!BF13,Names!BG13)</f>
        <v>Tax expenses</v>
      </c>
      <c r="C13" s="159">
        <v>0</v>
      </c>
      <c r="D13" s="159">
        <v>0</v>
      </c>
      <c r="E13" s="159">
        <v>-146721.22500000001</v>
      </c>
      <c r="F13" s="159">
        <v>-248588</v>
      </c>
      <c r="G13" s="159">
        <v>-326584</v>
      </c>
      <c r="H13" s="159">
        <v>-477037.39600000001</v>
      </c>
      <c r="I13" s="164"/>
      <c r="J13" s="159">
        <v>-27534.687000000002</v>
      </c>
      <c r="K13" s="159">
        <v>-30373</v>
      </c>
      <c r="L13" s="159">
        <v>-40645.811999999998</v>
      </c>
      <c r="M13" s="159">
        <v>-48167.726000000002</v>
      </c>
      <c r="N13" s="159">
        <v>-56693</v>
      </c>
      <c r="O13" s="159">
        <v>-61600</v>
      </c>
      <c r="P13" s="159">
        <v>-61544</v>
      </c>
      <c r="Q13" s="159">
        <v>-68751</v>
      </c>
      <c r="R13" s="159">
        <v>-68871</v>
      </c>
      <c r="S13" s="159">
        <v>-72463</v>
      </c>
      <c r="T13" s="159">
        <v>-94072</v>
      </c>
      <c r="U13" s="159">
        <v>-91178</v>
      </c>
      <c r="V13" s="159">
        <v>-86331</v>
      </c>
      <c r="W13" s="159">
        <v>-99417.270999999993</v>
      </c>
      <c r="X13" s="159">
        <v>-123632.909</v>
      </c>
      <c r="Y13" s="159">
        <v>-167656.21600000001</v>
      </c>
      <c r="Z13" s="159">
        <v>-136055</v>
      </c>
      <c r="AA13" s="164"/>
      <c r="AB13" s="346">
        <f t="shared" si="5"/>
        <v>-0.18848818584811677</v>
      </c>
      <c r="AC13" s="346">
        <f t="shared" si="6"/>
        <v>0.57596923468974071</v>
      </c>
    </row>
    <row r="14" spans="2:33" ht="13" customHeight="1">
      <c r="B14" s="275" t="str">
        <f>IF('Summary | Sumário'!D$6=Names!B$3,Names!BF14,Names!BG14)</f>
        <v>Efficiency ratio (%)</v>
      </c>
      <c r="C14" s="289">
        <f>C5/C9</f>
        <v>0.80448043413149117</v>
      </c>
      <c r="D14" s="289">
        <f t="shared" ref="D14:R14" si="13">D5/D9</f>
        <v>0.90379777979974207</v>
      </c>
      <c r="E14" s="289">
        <f t="shared" si="13"/>
        <v>0.82011320489086004</v>
      </c>
      <c r="F14" s="289">
        <f t="shared" si="13"/>
        <v>0.72178098742996011</v>
      </c>
      <c r="G14" s="289">
        <f>G5/G9</f>
        <v>0.54508152181894554</v>
      </c>
      <c r="H14" s="289">
        <f>H5/H9</f>
        <v>0.49224764091763995</v>
      </c>
      <c r="I14" s="321"/>
      <c r="J14" s="289">
        <f t="shared" si="13"/>
        <v>0.8224467649408943</v>
      </c>
      <c r="K14" s="289">
        <f t="shared" si="13"/>
        <v>0.8949860183046211</v>
      </c>
      <c r="L14" s="289">
        <f t="shared" si="13"/>
        <v>0.68477256272790943</v>
      </c>
      <c r="M14" s="289">
        <f t="shared" si="13"/>
        <v>0.88300737159708209</v>
      </c>
      <c r="N14" s="289">
        <f t="shared" si="13"/>
        <v>0.71882577509772239</v>
      </c>
      <c r="O14" s="289">
        <f t="shared" si="13"/>
        <v>0.68258662740128873</v>
      </c>
      <c r="P14" s="289">
        <f t="shared" si="13"/>
        <v>0.75028956831525428</v>
      </c>
      <c r="Q14" s="289">
        <f t="shared" si="13"/>
        <v>0.73439393175827561</v>
      </c>
      <c r="R14" s="289">
        <f t="shared" si="13"/>
        <v>0.62351037661067732</v>
      </c>
      <c r="S14" s="289">
        <f t="shared" ref="S14:T14" si="14">S5/S9</f>
        <v>0.53383674950420901</v>
      </c>
      <c r="T14" s="289">
        <f t="shared" si="14"/>
        <v>0.5242586846296321</v>
      </c>
      <c r="U14" s="289">
        <f t="shared" ref="U14:V14" si="15">U5/U9</f>
        <v>0.51364353479126668</v>
      </c>
      <c r="V14" s="289">
        <f t="shared" si="15"/>
        <v>0.47740995408553893</v>
      </c>
      <c r="W14" s="289">
        <f t="shared" ref="W14:X14" si="16">W5/W9</f>
        <v>0.47859484625533177</v>
      </c>
      <c r="X14" s="289">
        <f t="shared" si="16"/>
        <v>0.50700442145484104</v>
      </c>
      <c r="Y14" s="289">
        <f t="shared" ref="Y14:Z14" si="17">Y5/Y9</f>
        <v>0.50144676598069915</v>
      </c>
      <c r="Z14" s="289">
        <f t="shared" si="17"/>
        <v>0.48803860928489862</v>
      </c>
      <c r="AA14" s="321"/>
      <c r="AB14" s="369">
        <f>(Z14-Y14)*100</f>
        <v>-1.3408156695800533</v>
      </c>
      <c r="AC14" s="369">
        <f>(Z14-V14)*100</f>
        <v>1.0628655199359682</v>
      </c>
      <c r="AE14" s="170"/>
      <c r="AF14" s="170"/>
    </row>
    <row r="15" spans="2:33" ht="13" customHeight="1">
      <c r="B15" s="102"/>
      <c r="C15" s="171"/>
      <c r="D15" s="171"/>
      <c r="E15" s="171"/>
      <c r="F15" s="171"/>
      <c r="G15" s="171"/>
      <c r="H15" s="171"/>
      <c r="J15" s="171"/>
      <c r="K15" s="171"/>
      <c r="L15" s="171"/>
      <c r="M15" s="171"/>
      <c r="N15" s="171"/>
      <c r="O15" s="171"/>
      <c r="P15" s="171"/>
      <c r="Q15" s="171"/>
      <c r="R15" s="171"/>
      <c r="S15" s="171"/>
      <c r="T15" s="171"/>
      <c r="U15" s="171"/>
      <c r="V15" s="171"/>
      <c r="W15" s="171"/>
      <c r="X15" s="171"/>
      <c r="Y15" s="171"/>
      <c r="Z15" s="171"/>
      <c r="AB15" s="171"/>
      <c r="AC15" s="171"/>
    </row>
    <row r="16" spans="2:33" ht="13" customHeight="1">
      <c r="B16" s="3" t="str">
        <f>IF('Summary | Sumário'!D$6=Names!B$3,Names!BF17,Names!BG17)</f>
        <v>Personnel efficiency ratio </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row>
    <row r="17" spans="1:34" ht="13" customHeight="1">
      <c r="B17" s="291" t="str">
        <f>IF('Summary | Sumário'!D$6=Names!B$3,Names!BF18,Names!BG18)</f>
        <v>Personnel expenses</v>
      </c>
      <c r="C17" s="292">
        <f>C6</f>
        <v>169198</v>
      </c>
      <c r="D17" s="292">
        <f t="shared" ref="D17:S17" si="18">D6</f>
        <v>229096</v>
      </c>
      <c r="E17" s="292">
        <f t="shared" si="18"/>
        <v>443328</v>
      </c>
      <c r="F17" s="292">
        <f t="shared" si="18"/>
        <v>733605</v>
      </c>
      <c r="G17" s="292">
        <f t="shared" ref="G17:H17" si="19">G6</f>
        <v>790739</v>
      </c>
      <c r="H17" s="292">
        <f t="shared" si="19"/>
        <v>937761.13</v>
      </c>
      <c r="I17" s="164"/>
      <c r="J17" s="292">
        <f t="shared" si="18"/>
        <v>81861</v>
      </c>
      <c r="K17" s="292">
        <f t="shared" si="18"/>
        <v>93046</v>
      </c>
      <c r="L17" s="292">
        <f t="shared" si="18"/>
        <v>121250</v>
      </c>
      <c r="M17" s="292">
        <f t="shared" si="18"/>
        <v>147171</v>
      </c>
      <c r="N17" s="292">
        <f t="shared" si="18"/>
        <v>145120</v>
      </c>
      <c r="O17" s="292">
        <f t="shared" si="18"/>
        <v>172466</v>
      </c>
      <c r="P17" s="292">
        <f t="shared" si="18"/>
        <v>176232</v>
      </c>
      <c r="Q17" s="292">
        <f t="shared" si="18"/>
        <v>239787</v>
      </c>
      <c r="R17" s="292">
        <f t="shared" si="18"/>
        <v>172412</v>
      </c>
      <c r="S17" s="292">
        <f t="shared" si="18"/>
        <v>186249</v>
      </c>
      <c r="T17" s="292">
        <f t="shared" ref="T17:U17" si="20">T6</f>
        <v>210661</v>
      </c>
      <c r="U17" s="292">
        <f t="shared" si="20"/>
        <v>221417</v>
      </c>
      <c r="V17" s="292">
        <f t="shared" ref="V17:W17" si="21">V6</f>
        <v>190463</v>
      </c>
      <c r="W17" s="292">
        <f t="shared" si="21"/>
        <v>204206.56551999997</v>
      </c>
      <c r="X17" s="292">
        <f t="shared" ref="X17:Y17" si="22">X6</f>
        <v>258954.60447999998</v>
      </c>
      <c r="Y17" s="292">
        <f t="shared" si="22"/>
        <v>284136.96000000008</v>
      </c>
      <c r="Z17" s="292">
        <f t="shared" ref="Z17" si="23">Z6</f>
        <v>234873.2</v>
      </c>
      <c r="AA17" s="164"/>
      <c r="AB17" s="371">
        <f t="shared" ref="AB17:AB22" si="24">Z17/Y17-1</f>
        <v>-0.17338033038714873</v>
      </c>
      <c r="AC17" s="371">
        <f t="shared" ref="AC17:AC22" si="25">Z17/V17-1</f>
        <v>0.23316969700151735</v>
      </c>
    </row>
    <row r="18" spans="1:34" ht="13" customHeight="1">
      <c r="B18" s="63" t="str">
        <f>IF('Summary | Sumário'!D$6=Names!B$3,Names!BF19,Names!BG19)</f>
        <v>(÷) Total net revenues excluding tax expenses</v>
      </c>
      <c r="C18" s="164">
        <f>C9</f>
        <v>712223.66099999996</v>
      </c>
      <c r="D18" s="164">
        <f t="shared" ref="D18:S18" si="26">D9</f>
        <v>1011378.89518</v>
      </c>
      <c r="E18" s="164">
        <f t="shared" si="26"/>
        <v>2075101.6869999995</v>
      </c>
      <c r="F18" s="164">
        <f t="shared" si="26"/>
        <v>3314109.1849999996</v>
      </c>
      <c r="G18" s="164">
        <f t="shared" ref="G18:H18" si="27">G9</f>
        <v>4425993</v>
      </c>
      <c r="H18" s="164">
        <f t="shared" si="27"/>
        <v>5923127.8012114009</v>
      </c>
      <c r="I18" s="164"/>
      <c r="J18" s="164">
        <f t="shared" si="26"/>
        <v>389231.652</v>
      </c>
      <c r="K18" s="164">
        <f t="shared" si="26"/>
        <v>437040.34700000007</v>
      </c>
      <c r="L18" s="164">
        <f t="shared" si="26"/>
        <v>565864.06799999997</v>
      </c>
      <c r="M18" s="164">
        <f t="shared" si="26"/>
        <v>682964.62</v>
      </c>
      <c r="N18" s="164">
        <f t="shared" si="26"/>
        <v>776828.0149999999</v>
      </c>
      <c r="O18" s="164">
        <f t="shared" si="26"/>
        <v>815420.3110000001</v>
      </c>
      <c r="P18" s="164">
        <f t="shared" si="26"/>
        <v>788759.46699999995</v>
      </c>
      <c r="Q18" s="164">
        <f t="shared" si="26"/>
        <v>933101.39199999999</v>
      </c>
      <c r="R18" s="164">
        <f t="shared" si="26"/>
        <v>955243.12400000007</v>
      </c>
      <c r="S18" s="164">
        <f t="shared" si="26"/>
        <v>1077571</v>
      </c>
      <c r="T18" s="164">
        <f t="shared" ref="T18:U18" si="28">T9</f>
        <v>1171423.6082400002</v>
      </c>
      <c r="U18" s="164">
        <f t="shared" si="28"/>
        <v>1221755.8627599997</v>
      </c>
      <c r="V18" s="164">
        <f t="shared" ref="V18:W18" si="29">V9</f>
        <v>1314608.115371532</v>
      </c>
      <c r="W18" s="164">
        <f t="shared" si="29"/>
        <v>1379180.5400425298</v>
      </c>
      <c r="X18" s="164">
        <f t="shared" ref="X18:Y18" si="30">X9</f>
        <v>1552510.3355535723</v>
      </c>
      <c r="Y18" s="164">
        <f t="shared" si="30"/>
        <v>1676828.8102437663</v>
      </c>
      <c r="Z18" s="164">
        <f t="shared" ref="Z18" si="31">Z9</f>
        <v>1701746.1</v>
      </c>
      <c r="AA18" s="164"/>
      <c r="AB18" s="345">
        <f t="shared" si="24"/>
        <v>1.4859769586503813E-2</v>
      </c>
      <c r="AC18" s="345">
        <f t="shared" si="25"/>
        <v>0.29448927030170946</v>
      </c>
    </row>
    <row r="19" spans="1:34" ht="13" customHeight="1">
      <c r="B19" s="103" t="str">
        <f>B10</f>
        <v>Net interest income and income from securities, derivatives and foreing exchange</v>
      </c>
      <c r="C19" s="172">
        <f t="shared" ref="C19:S22" si="32">C10</f>
        <v>591527</v>
      </c>
      <c r="D19" s="172">
        <f t="shared" si="32"/>
        <v>733280.89517999999</v>
      </c>
      <c r="E19" s="172">
        <f t="shared" si="32"/>
        <v>1614135.9119999998</v>
      </c>
      <c r="F19" s="172">
        <f t="shared" si="32"/>
        <v>2435209.1849999996</v>
      </c>
      <c r="G19" s="172">
        <f t="shared" ref="G19:H19" si="33">G10</f>
        <v>3296797</v>
      </c>
      <c r="H19" s="172">
        <f t="shared" si="33"/>
        <v>4456744.3939420003</v>
      </c>
      <c r="I19" s="164"/>
      <c r="J19" s="172">
        <f t="shared" si="32"/>
        <v>297457.33899999998</v>
      </c>
      <c r="K19" s="172">
        <f t="shared" si="32"/>
        <v>308984.34700000007</v>
      </c>
      <c r="L19" s="172">
        <f t="shared" si="32"/>
        <v>453160.88</v>
      </c>
      <c r="M19" s="172">
        <f t="shared" si="32"/>
        <v>554532.34600000002</v>
      </c>
      <c r="N19" s="172">
        <f t="shared" si="32"/>
        <v>560444.0149999999</v>
      </c>
      <c r="O19" s="172">
        <f t="shared" si="32"/>
        <v>586650.3110000001</v>
      </c>
      <c r="P19" s="172">
        <f t="shared" si="32"/>
        <v>586724.46699999995</v>
      </c>
      <c r="Q19" s="172">
        <f t="shared" si="32"/>
        <v>701390.39199999999</v>
      </c>
      <c r="R19" s="172">
        <f t="shared" si="32"/>
        <v>726481.12400000007</v>
      </c>
      <c r="S19" s="172">
        <f t="shared" si="32"/>
        <v>828266</v>
      </c>
      <c r="T19" s="172">
        <f t="shared" ref="T19:U19" si="34">T10</f>
        <v>845216.10796000005</v>
      </c>
      <c r="U19" s="172">
        <f t="shared" si="34"/>
        <v>896833.76303999987</v>
      </c>
      <c r="V19" s="172">
        <f t="shared" ref="V19:W19" si="35">V10</f>
        <v>992420.72051999974</v>
      </c>
      <c r="W19" s="172">
        <f t="shared" si="35"/>
        <v>1041865.7258038499</v>
      </c>
      <c r="X19" s="172">
        <f t="shared" ref="X19:Y19" si="36">X10</f>
        <v>1164350.1315736333</v>
      </c>
      <c r="Y19" s="172">
        <f t="shared" si="36"/>
        <v>1258107.8160445173</v>
      </c>
      <c r="Z19" s="172">
        <f t="shared" ref="Z19" si="37">Z10</f>
        <v>1362594.3</v>
      </c>
      <c r="AA19" s="164"/>
      <c r="AB19" s="368">
        <f t="shared" si="24"/>
        <v>8.305050061924546E-2</v>
      </c>
      <c r="AC19" s="368">
        <f t="shared" si="25"/>
        <v>0.3730006556957417</v>
      </c>
    </row>
    <row r="20" spans="1:34" ht="13" customHeight="1">
      <c r="B20" s="64" t="str">
        <f>IF('Summary | Sumário'!D$6=Names!B$3,Names!BF21,Names!BG21)</f>
        <v>Net result from services and commissions</v>
      </c>
      <c r="C20" s="164">
        <f t="shared" si="32"/>
        <v>73829.660999999993</v>
      </c>
      <c r="D20" s="164">
        <f t="shared" si="32"/>
        <v>185534</v>
      </c>
      <c r="E20" s="164">
        <f t="shared" si="32"/>
        <v>442272</v>
      </c>
      <c r="F20" s="164">
        <f t="shared" si="32"/>
        <v>838806</v>
      </c>
      <c r="G20" s="164">
        <f t="shared" ref="G20:H20" si="38">G11</f>
        <v>1168800</v>
      </c>
      <c r="H20" s="164">
        <f t="shared" si="38"/>
        <v>1609850.2739999997</v>
      </c>
      <c r="I20" s="164"/>
      <c r="J20" s="164">
        <f t="shared" si="32"/>
        <v>77686</v>
      </c>
      <c r="K20" s="164">
        <f t="shared" si="32"/>
        <v>89070</v>
      </c>
      <c r="L20" s="164">
        <f t="shared" si="32"/>
        <v>122853</v>
      </c>
      <c r="M20" s="164">
        <f t="shared" si="32"/>
        <v>152663</v>
      </c>
      <c r="N20" s="164">
        <f t="shared" si="32"/>
        <v>177703</v>
      </c>
      <c r="O20" s="164">
        <f t="shared" si="32"/>
        <v>204561</v>
      </c>
      <c r="P20" s="164">
        <f t="shared" si="32"/>
        <v>217029</v>
      </c>
      <c r="Q20" s="164">
        <f t="shared" si="32"/>
        <v>239513</v>
      </c>
      <c r="R20" s="164">
        <f t="shared" si="32"/>
        <v>246675</v>
      </c>
      <c r="S20" s="164">
        <f t="shared" si="32"/>
        <v>266801</v>
      </c>
      <c r="T20" s="164">
        <f t="shared" ref="T20:U20" si="39">T11</f>
        <v>315509</v>
      </c>
      <c r="U20" s="164">
        <f t="shared" si="39"/>
        <v>339815.6</v>
      </c>
      <c r="V20" s="164">
        <f t="shared" ref="V20:W20" si="40">V11</f>
        <v>340317.39485153224</v>
      </c>
      <c r="W20" s="164">
        <f t="shared" si="40"/>
        <v>364200.86699999997</v>
      </c>
      <c r="X20" s="164">
        <f t="shared" ref="X20:Y20" si="41">X11</f>
        <v>429990.49199999997</v>
      </c>
      <c r="Y20" s="164">
        <f t="shared" si="41"/>
        <v>475341.5201484678</v>
      </c>
      <c r="Z20" s="164">
        <f t="shared" ref="Z20" si="42">Z11</f>
        <v>419113.4</v>
      </c>
      <c r="AA20" s="164"/>
      <c r="AB20" s="345">
        <f t="shared" si="24"/>
        <v>-0.11828994052719299</v>
      </c>
      <c r="AC20" s="345">
        <f t="shared" si="25"/>
        <v>0.23153681339986609</v>
      </c>
    </row>
    <row r="21" spans="1:34" ht="13" customHeight="1">
      <c r="B21" s="103" t="str">
        <f>IF('Summary | Sumário'!D$6=Names!B$3,Names!BF23,Names!BG23)</f>
        <v>Other revenues</v>
      </c>
      <c r="C21" s="172">
        <f t="shared" si="32"/>
        <v>46867</v>
      </c>
      <c r="D21" s="172">
        <f t="shared" si="32"/>
        <v>92564</v>
      </c>
      <c r="E21" s="172">
        <f t="shared" si="32"/>
        <v>165415</v>
      </c>
      <c r="F21" s="172">
        <f t="shared" si="32"/>
        <v>288682</v>
      </c>
      <c r="G21" s="172">
        <f t="shared" ref="G21:H21" si="43">G12</f>
        <v>286980</v>
      </c>
      <c r="H21" s="172">
        <f t="shared" si="43"/>
        <v>333570.52926939999</v>
      </c>
      <c r="I21" s="164"/>
      <c r="J21" s="172">
        <f t="shared" si="32"/>
        <v>41623</v>
      </c>
      <c r="K21" s="172">
        <f t="shared" si="32"/>
        <v>69359</v>
      </c>
      <c r="L21" s="172">
        <f t="shared" si="32"/>
        <v>30496</v>
      </c>
      <c r="M21" s="172">
        <f t="shared" si="32"/>
        <v>23937</v>
      </c>
      <c r="N21" s="172">
        <f t="shared" si="32"/>
        <v>95374</v>
      </c>
      <c r="O21" s="172">
        <f t="shared" si="32"/>
        <v>85809</v>
      </c>
      <c r="P21" s="172">
        <f t="shared" si="32"/>
        <v>46550</v>
      </c>
      <c r="Q21" s="172">
        <f t="shared" si="32"/>
        <v>60949</v>
      </c>
      <c r="R21" s="172">
        <f t="shared" si="32"/>
        <v>50958</v>
      </c>
      <c r="S21" s="172">
        <f t="shared" si="32"/>
        <v>54967</v>
      </c>
      <c r="T21" s="172">
        <f t="shared" ref="T21:U21" si="44">T12</f>
        <v>104770.50028000001</v>
      </c>
      <c r="U21" s="172">
        <f t="shared" si="44"/>
        <v>76284.499719999993</v>
      </c>
      <c r="V21" s="172">
        <f t="shared" ref="V21:W21" si="45">V12</f>
        <v>68201</v>
      </c>
      <c r="W21" s="172">
        <f t="shared" si="45"/>
        <v>72531.218238679983</v>
      </c>
      <c r="X21" s="172">
        <f t="shared" ref="X21:Y21" si="46">X12</f>
        <v>81802.620979938802</v>
      </c>
      <c r="Y21" s="172">
        <f t="shared" si="46"/>
        <v>111035.69005078121</v>
      </c>
      <c r="Z21" s="172">
        <f t="shared" ref="Z21" si="47">Z12</f>
        <v>56093.4</v>
      </c>
      <c r="AA21" s="164"/>
      <c r="AB21" s="368">
        <f t="shared" si="24"/>
        <v>-0.49481648671390099</v>
      </c>
      <c r="AC21" s="368">
        <f t="shared" si="25"/>
        <v>-0.17752818873623555</v>
      </c>
    </row>
    <row r="22" spans="1:34" ht="13" customHeight="1">
      <c r="B22" s="64" t="str">
        <f>IF('Summary | Sumário'!D$6=Names!B$3,Names!BF24,Names!BG24)</f>
        <v>Tax expenses</v>
      </c>
      <c r="C22" s="164">
        <f t="shared" si="32"/>
        <v>0</v>
      </c>
      <c r="D22" s="164">
        <f t="shared" si="32"/>
        <v>0</v>
      </c>
      <c r="E22" s="164">
        <f t="shared" si="32"/>
        <v>-146721.22500000001</v>
      </c>
      <c r="F22" s="164">
        <f t="shared" si="32"/>
        <v>-248588</v>
      </c>
      <c r="G22" s="164">
        <f t="shared" ref="G22:H22" si="48">G13</f>
        <v>-326584</v>
      </c>
      <c r="H22" s="164">
        <f t="shared" si="48"/>
        <v>-477037.39600000001</v>
      </c>
      <c r="I22" s="164"/>
      <c r="J22" s="164">
        <f t="shared" si="32"/>
        <v>-27534.687000000002</v>
      </c>
      <c r="K22" s="164">
        <f t="shared" si="32"/>
        <v>-30373</v>
      </c>
      <c r="L22" s="164">
        <f t="shared" si="32"/>
        <v>-40645.811999999998</v>
      </c>
      <c r="M22" s="164">
        <f t="shared" si="32"/>
        <v>-48167.726000000002</v>
      </c>
      <c r="N22" s="164">
        <f t="shared" si="32"/>
        <v>-56693</v>
      </c>
      <c r="O22" s="164">
        <f t="shared" si="32"/>
        <v>-61600</v>
      </c>
      <c r="P22" s="164">
        <f t="shared" si="32"/>
        <v>-61544</v>
      </c>
      <c r="Q22" s="164">
        <f t="shared" si="32"/>
        <v>-68751</v>
      </c>
      <c r="R22" s="164">
        <f t="shared" si="32"/>
        <v>-68871</v>
      </c>
      <c r="S22" s="164">
        <f t="shared" si="32"/>
        <v>-72463</v>
      </c>
      <c r="T22" s="164">
        <f t="shared" ref="T22:U22" si="49">T13</f>
        <v>-94072</v>
      </c>
      <c r="U22" s="164">
        <f t="shared" si="49"/>
        <v>-91178</v>
      </c>
      <c r="V22" s="164">
        <f t="shared" ref="V22:W22" si="50">V13</f>
        <v>-86331</v>
      </c>
      <c r="W22" s="164">
        <f t="shared" si="50"/>
        <v>-99417.270999999993</v>
      </c>
      <c r="X22" s="164">
        <f t="shared" ref="X22:Y22" si="51">X13</f>
        <v>-123632.909</v>
      </c>
      <c r="Y22" s="164">
        <f t="shared" si="51"/>
        <v>-167656.21600000001</v>
      </c>
      <c r="Z22" s="164">
        <f t="shared" ref="Z22" si="52">Z13</f>
        <v>-136055</v>
      </c>
      <c r="AA22" s="164"/>
      <c r="AB22" s="345">
        <f t="shared" si="24"/>
        <v>-0.18848818584811677</v>
      </c>
      <c r="AC22" s="345">
        <f t="shared" si="25"/>
        <v>0.57596923468974071</v>
      </c>
    </row>
    <row r="23" spans="1:34" ht="13" customHeight="1">
      <c r="B23" s="293" t="str">
        <f>IF('Summary | Sumário'!D$6=Names!B$3,Names!BF25,Names!BG25)</f>
        <v>Personnel efficiency ratio (%)</v>
      </c>
      <c r="C23" s="294">
        <f t="shared" ref="C23:R23" si="53">C17/C18</f>
        <v>0.23756301463284299</v>
      </c>
      <c r="D23" s="294">
        <f t="shared" si="53"/>
        <v>0.22651847007270867</v>
      </c>
      <c r="E23" s="294">
        <f t="shared" si="53"/>
        <v>0.21364157851990609</v>
      </c>
      <c r="F23" s="294">
        <f t="shared" si="53"/>
        <v>0.22135812643722541</v>
      </c>
      <c r="G23" s="294">
        <f t="shared" ref="G23:H23" si="54">G17/G18</f>
        <v>0.17865798703251451</v>
      </c>
      <c r="H23" s="294">
        <f t="shared" si="54"/>
        <v>0.15832194770611038</v>
      </c>
      <c r="I23" s="321"/>
      <c r="J23" s="294">
        <f t="shared" si="53"/>
        <v>0.2103143451447777</v>
      </c>
      <c r="K23" s="294">
        <f t="shared" si="53"/>
        <v>0.21290025197604923</v>
      </c>
      <c r="L23" s="294">
        <f t="shared" si="53"/>
        <v>0.21427407544809862</v>
      </c>
      <c r="M23" s="294">
        <f t="shared" si="53"/>
        <v>0.21548846849489803</v>
      </c>
      <c r="N23" s="294">
        <f t="shared" si="53"/>
        <v>0.18681097642957692</v>
      </c>
      <c r="O23" s="294">
        <f t="shared" si="53"/>
        <v>0.21150564644201017</v>
      </c>
      <c r="P23" s="294">
        <f t="shared" si="53"/>
        <v>0.22342933095977663</v>
      </c>
      <c r="Q23" s="294">
        <f t="shared" si="53"/>
        <v>0.25697850421811397</v>
      </c>
      <c r="R23" s="294">
        <f t="shared" si="53"/>
        <v>0.18049017644643103</v>
      </c>
      <c r="S23" s="294">
        <f t="shared" ref="S23:X23" si="55">S17/S18</f>
        <v>0.17284151113940521</v>
      </c>
      <c r="T23" s="294">
        <f t="shared" si="55"/>
        <v>0.17983332290571352</v>
      </c>
      <c r="U23" s="294">
        <f t="shared" si="55"/>
        <v>0.18122851442661331</v>
      </c>
      <c r="V23" s="294">
        <f t="shared" si="55"/>
        <v>0.14488195970566614</v>
      </c>
      <c r="W23" s="294">
        <f t="shared" si="55"/>
        <v>0.14806369404958603</v>
      </c>
      <c r="X23" s="294">
        <f t="shared" si="55"/>
        <v>0.16679734656173198</v>
      </c>
      <c r="Y23" s="294">
        <f t="shared" ref="Y23:Z23" si="56">Y17/Y18</f>
        <v>0.1694489969782271</v>
      </c>
      <c r="Z23" s="294">
        <f t="shared" si="56"/>
        <v>0.13801894418914784</v>
      </c>
      <c r="AA23" s="321"/>
      <c r="AB23" s="374">
        <f>(Z23-Y23)*100</f>
        <v>-3.1430052789079261</v>
      </c>
      <c r="AC23" s="374">
        <f>(Z23-V23)*100</f>
        <v>-0.68630155165183004</v>
      </c>
    </row>
    <row r="24" spans="1:34" ht="13" customHeight="1">
      <c r="B24" s="71"/>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row>
    <row r="25" spans="1:34" ht="13" customHeight="1">
      <c r="B25" s="290" t="str">
        <f>IF('Summary | Sumário'!D$6=Names!B$3,Names!BF27,Names!BG27)</f>
        <v>Administrative efficiency ratio </v>
      </c>
      <c r="C25" s="252"/>
      <c r="D25" s="252"/>
      <c r="E25" s="252"/>
      <c r="F25" s="252"/>
      <c r="G25" s="252"/>
      <c r="H25" s="252"/>
      <c r="I25" s="167"/>
      <c r="J25" s="252"/>
      <c r="K25" s="252"/>
      <c r="L25" s="252"/>
      <c r="M25" s="252"/>
      <c r="N25" s="252"/>
      <c r="O25" s="252"/>
      <c r="P25" s="252"/>
      <c r="Q25" s="252"/>
      <c r="R25" s="252"/>
      <c r="S25" s="252"/>
      <c r="T25" s="252"/>
      <c r="U25" s="252"/>
      <c r="V25" s="252"/>
      <c r="W25" s="252"/>
      <c r="X25" s="252"/>
      <c r="Y25" s="252"/>
      <c r="Z25" s="252"/>
      <c r="AA25" s="167"/>
      <c r="AB25" s="252"/>
      <c r="AC25" s="252"/>
    </row>
    <row r="26" spans="1:34" ht="13" customHeight="1">
      <c r="B26" s="295" t="str">
        <f>IF('Summary | Sumário'!D$6=Names!B$3,Names!BF37,Names!BG37)</f>
        <v>Administrative expenses + D&amp;A</v>
      </c>
      <c r="C26" s="280">
        <f t="shared" ref="C26:S26" si="57">SUM(C27:C28)</f>
        <v>403772</v>
      </c>
      <c r="D26" s="280">
        <f t="shared" si="57"/>
        <v>684986</v>
      </c>
      <c r="E26" s="280">
        <f t="shared" si="57"/>
        <v>1258490.2949999999</v>
      </c>
      <c r="F26" s="280">
        <f t="shared" si="57"/>
        <v>1658456</v>
      </c>
      <c r="G26" s="280">
        <f t="shared" ref="G26:H26" si="58">SUM(G27:G28)</f>
        <v>1621788</v>
      </c>
      <c r="H26" s="280">
        <f t="shared" si="58"/>
        <v>1977884.557</v>
      </c>
      <c r="I26" s="164"/>
      <c r="J26" s="280">
        <f t="shared" si="57"/>
        <v>238261.31299999999</v>
      </c>
      <c r="K26" s="280">
        <f t="shared" si="57"/>
        <v>298099</v>
      </c>
      <c r="L26" s="280">
        <f t="shared" si="57"/>
        <v>266238.18799999997</v>
      </c>
      <c r="M26" s="280">
        <f t="shared" si="57"/>
        <v>455891.79399999999</v>
      </c>
      <c r="N26" s="280">
        <f t="shared" si="57"/>
        <v>413284</v>
      </c>
      <c r="O26" s="280">
        <f t="shared" si="57"/>
        <v>384129</v>
      </c>
      <c r="P26" s="280">
        <f t="shared" si="57"/>
        <v>415566</v>
      </c>
      <c r="Q26" s="280">
        <f t="shared" si="57"/>
        <v>445477</v>
      </c>
      <c r="R26" s="280">
        <f t="shared" si="57"/>
        <v>423192</v>
      </c>
      <c r="S26" s="280">
        <f t="shared" si="57"/>
        <v>388998</v>
      </c>
      <c r="T26" s="280">
        <f t="shared" ref="T26:U26" si="59">SUM(T27:T28)</f>
        <v>403468</v>
      </c>
      <c r="U26" s="280">
        <f t="shared" si="59"/>
        <v>406130</v>
      </c>
      <c r="V26" s="280">
        <f t="shared" ref="V26:W26" si="60">SUM(V27:V28)</f>
        <v>437144</v>
      </c>
      <c r="W26" s="280">
        <f t="shared" si="60"/>
        <v>455862.13300000003</v>
      </c>
      <c r="X26" s="280">
        <f t="shared" ref="X26:Y26" si="61">SUM(X27:X28)</f>
        <v>528175</v>
      </c>
      <c r="Y26" s="280">
        <f t="shared" si="61"/>
        <v>556703.42400000012</v>
      </c>
      <c r="Z26" s="280">
        <f t="shared" ref="Z26" si="62">SUM(Z27:Z28)</f>
        <v>595644.6</v>
      </c>
      <c r="AA26" s="164"/>
      <c r="AB26" s="348">
        <f t="shared" ref="AB26:AB33" si="63">Z26/Y26-1</f>
        <v>6.9949589532253054E-2</v>
      </c>
      <c r="AC26" s="348">
        <f t="shared" ref="AC26:AC33" si="64">Z26/V26-1</f>
        <v>0.36258212396830336</v>
      </c>
    </row>
    <row r="27" spans="1:34" ht="13" customHeight="1">
      <c r="B27" s="110" t="str">
        <f>IF('Summary | Sumário'!D$6=Names!B$3,Names!BF28,Names!BG28)</f>
        <v>Administrative expenses</v>
      </c>
      <c r="C27" s="174">
        <f t="shared" ref="C27:S27" si="65">C7</f>
        <v>386309</v>
      </c>
      <c r="D27" s="174">
        <f t="shared" si="65"/>
        <v>641327</v>
      </c>
      <c r="E27" s="174">
        <f t="shared" si="65"/>
        <v>1164239.7749999999</v>
      </c>
      <c r="F27" s="174">
        <f t="shared" si="65"/>
        <v>1494484</v>
      </c>
      <c r="G27" s="174">
        <f t="shared" ref="G27:H27" si="66">G7</f>
        <v>1461348</v>
      </c>
      <c r="H27" s="174">
        <f t="shared" si="66"/>
        <v>1769055.128</v>
      </c>
      <c r="I27" s="164"/>
      <c r="J27" s="174">
        <f t="shared" si="65"/>
        <v>219095.31299999999</v>
      </c>
      <c r="K27" s="174">
        <f t="shared" si="65"/>
        <v>272761</v>
      </c>
      <c r="L27" s="174">
        <f t="shared" si="65"/>
        <v>235355.18799999999</v>
      </c>
      <c r="M27" s="174">
        <f t="shared" si="65"/>
        <v>437028.27399999998</v>
      </c>
      <c r="N27" s="174">
        <f t="shared" si="65"/>
        <v>376806</v>
      </c>
      <c r="O27" s="174">
        <f t="shared" si="65"/>
        <v>348618</v>
      </c>
      <c r="P27" s="174">
        <f t="shared" si="65"/>
        <v>379946</v>
      </c>
      <c r="Q27" s="174">
        <f t="shared" si="65"/>
        <v>389114</v>
      </c>
      <c r="R27" s="174">
        <f t="shared" si="65"/>
        <v>385615</v>
      </c>
      <c r="S27" s="174">
        <f t="shared" si="65"/>
        <v>347868</v>
      </c>
      <c r="T27" s="174">
        <f t="shared" ref="T27:U27" si="67">T7</f>
        <v>362877</v>
      </c>
      <c r="U27" s="174">
        <f t="shared" si="67"/>
        <v>364988</v>
      </c>
      <c r="V27" s="174">
        <f t="shared" ref="V27:W27" si="68">V7</f>
        <v>395244</v>
      </c>
      <c r="W27" s="174">
        <f t="shared" si="68"/>
        <v>402827.25400000002</v>
      </c>
      <c r="X27" s="174">
        <f t="shared" ref="X27:Y27" si="69">X7</f>
        <v>474826</v>
      </c>
      <c r="Y27" s="174">
        <f t="shared" si="69"/>
        <v>496157.87400000007</v>
      </c>
      <c r="Z27" s="174">
        <f t="shared" ref="Z27" si="70">Z7</f>
        <v>528199.6</v>
      </c>
      <c r="AA27" s="173"/>
      <c r="AB27" s="372">
        <f t="shared" si="63"/>
        <v>6.4579698678731257E-2</v>
      </c>
      <c r="AC27" s="372">
        <f t="shared" si="64"/>
        <v>0.33638866118144728</v>
      </c>
    </row>
    <row r="28" spans="1:34" ht="13" customHeight="1">
      <c r="B28" s="64" t="str">
        <f>IF('Summary | Sumário'!D$6=Names!B$3,Names!BF7,Names!BG7)</f>
        <v>Depreciation and amortization</v>
      </c>
      <c r="C28" s="175">
        <f t="shared" ref="C28:S28" si="71">C8</f>
        <v>17463</v>
      </c>
      <c r="D28" s="175">
        <f t="shared" si="71"/>
        <v>43659</v>
      </c>
      <c r="E28" s="175">
        <f t="shared" si="71"/>
        <v>94250.52</v>
      </c>
      <c r="F28" s="175">
        <f t="shared" si="71"/>
        <v>163972</v>
      </c>
      <c r="G28" s="175">
        <f t="shared" ref="G28:H28" si="72">G8</f>
        <v>160440</v>
      </c>
      <c r="H28" s="175">
        <f t="shared" si="72"/>
        <v>208829.429</v>
      </c>
      <c r="I28" s="175"/>
      <c r="J28" s="175">
        <f t="shared" si="71"/>
        <v>19166</v>
      </c>
      <c r="K28" s="175">
        <f t="shared" si="71"/>
        <v>25338</v>
      </c>
      <c r="L28" s="175">
        <f t="shared" si="71"/>
        <v>30883</v>
      </c>
      <c r="M28" s="175">
        <f t="shared" si="71"/>
        <v>18863.520000000004</v>
      </c>
      <c r="N28" s="175">
        <f t="shared" si="71"/>
        <v>36478</v>
      </c>
      <c r="O28" s="175">
        <f t="shared" si="71"/>
        <v>35511</v>
      </c>
      <c r="P28" s="175">
        <f t="shared" si="71"/>
        <v>35620</v>
      </c>
      <c r="Q28" s="175">
        <f t="shared" si="71"/>
        <v>56363</v>
      </c>
      <c r="R28" s="175">
        <f t="shared" si="71"/>
        <v>37577</v>
      </c>
      <c r="S28" s="175">
        <f t="shared" si="71"/>
        <v>41130</v>
      </c>
      <c r="T28" s="175">
        <f t="shared" ref="T28:U28" si="73">T8</f>
        <v>40591</v>
      </c>
      <c r="U28" s="175">
        <f t="shared" si="73"/>
        <v>41142</v>
      </c>
      <c r="V28" s="175">
        <f t="shared" ref="V28:W28" si="74">V8</f>
        <v>41900</v>
      </c>
      <c r="W28" s="175">
        <f t="shared" si="74"/>
        <v>53034.879000000001</v>
      </c>
      <c r="X28" s="175">
        <f t="shared" ref="X28:Y28" si="75">X8</f>
        <v>53349</v>
      </c>
      <c r="Y28" s="175">
        <f t="shared" si="75"/>
        <v>60545.549999999988</v>
      </c>
      <c r="Z28" s="175">
        <f t="shared" ref="Z28" si="76">Z8</f>
        <v>67445</v>
      </c>
      <c r="AA28" s="175"/>
      <c r="AB28" s="170">
        <f t="shared" si="63"/>
        <v>0.11395470022156884</v>
      </c>
      <c r="AC28" s="170">
        <f t="shared" si="64"/>
        <v>0.60966587112171844</v>
      </c>
    </row>
    <row r="29" spans="1:34" ht="13" customHeight="1">
      <c r="B29" s="102" t="str">
        <f>IF('Summary | Sumário'!D$6=Names!B$3,Names!BF29,Names!BG29)</f>
        <v>(÷) Total net revenues excluding tax expenses</v>
      </c>
      <c r="C29" s="176">
        <f>C9</f>
        <v>712223.66099999996</v>
      </c>
      <c r="D29" s="176">
        <f t="shared" ref="D29:S29" si="77">D9</f>
        <v>1011378.89518</v>
      </c>
      <c r="E29" s="176">
        <f t="shared" si="77"/>
        <v>2075101.6869999995</v>
      </c>
      <c r="F29" s="176">
        <f t="shared" si="77"/>
        <v>3314109.1849999996</v>
      </c>
      <c r="G29" s="176">
        <f t="shared" ref="G29:H29" si="78">G9</f>
        <v>4425993</v>
      </c>
      <c r="H29" s="176">
        <f t="shared" si="78"/>
        <v>5923127.8012114009</v>
      </c>
      <c r="I29" s="175"/>
      <c r="J29" s="176">
        <f t="shared" si="77"/>
        <v>389231.652</v>
      </c>
      <c r="K29" s="176">
        <f t="shared" si="77"/>
        <v>437040.34700000007</v>
      </c>
      <c r="L29" s="176">
        <f t="shared" si="77"/>
        <v>565864.06799999997</v>
      </c>
      <c r="M29" s="176">
        <f t="shared" si="77"/>
        <v>682964.62</v>
      </c>
      <c r="N29" s="176">
        <f t="shared" si="77"/>
        <v>776828.0149999999</v>
      </c>
      <c r="O29" s="176">
        <f t="shared" si="77"/>
        <v>815420.3110000001</v>
      </c>
      <c r="P29" s="176">
        <f t="shared" si="77"/>
        <v>788759.46699999995</v>
      </c>
      <c r="Q29" s="176">
        <f t="shared" si="77"/>
        <v>933101.39199999999</v>
      </c>
      <c r="R29" s="176">
        <f t="shared" si="77"/>
        <v>955243.12400000007</v>
      </c>
      <c r="S29" s="176">
        <f t="shared" si="77"/>
        <v>1077571</v>
      </c>
      <c r="T29" s="176">
        <f t="shared" ref="T29:U29" si="79">T9</f>
        <v>1171423.6082400002</v>
      </c>
      <c r="U29" s="176">
        <f t="shared" si="79"/>
        <v>1221755.8627599997</v>
      </c>
      <c r="V29" s="176">
        <f t="shared" ref="V29:W29" si="80">V9</f>
        <v>1314608.115371532</v>
      </c>
      <c r="W29" s="176">
        <f t="shared" si="80"/>
        <v>1379180.5400425298</v>
      </c>
      <c r="X29" s="176">
        <f t="shared" ref="X29:Y29" si="81">X9</f>
        <v>1552510.3355535723</v>
      </c>
      <c r="Y29" s="176">
        <f t="shared" si="81"/>
        <v>1676828.8102437663</v>
      </c>
      <c r="Z29" s="176">
        <f t="shared" ref="Z29" si="82">Z9</f>
        <v>1701746.1</v>
      </c>
      <c r="AA29" s="175"/>
      <c r="AB29" s="373">
        <f t="shared" si="63"/>
        <v>1.4859769586503813E-2</v>
      </c>
      <c r="AC29" s="373">
        <f t="shared" si="64"/>
        <v>0.29448927030170946</v>
      </c>
    </row>
    <row r="30" spans="1:34" ht="13" customHeight="1">
      <c r="B30" s="64" t="str">
        <f>B10</f>
        <v>Net interest income and income from securities, derivatives and foreing exchange</v>
      </c>
      <c r="C30" s="175">
        <f>C10</f>
        <v>591527</v>
      </c>
      <c r="D30" s="175">
        <f t="shared" ref="D30:S30" si="83">D10</f>
        <v>733280.89517999999</v>
      </c>
      <c r="E30" s="175">
        <f t="shared" si="83"/>
        <v>1614135.9119999998</v>
      </c>
      <c r="F30" s="175">
        <f t="shared" si="83"/>
        <v>2435209.1849999996</v>
      </c>
      <c r="G30" s="175">
        <f t="shared" ref="G30:H30" si="84">G10</f>
        <v>3296797</v>
      </c>
      <c r="H30" s="175">
        <f t="shared" si="84"/>
        <v>4456744.3939420003</v>
      </c>
      <c r="I30" s="175"/>
      <c r="J30" s="175">
        <f t="shared" si="83"/>
        <v>297457.33899999998</v>
      </c>
      <c r="K30" s="175">
        <f t="shared" si="83"/>
        <v>308984.34700000007</v>
      </c>
      <c r="L30" s="175">
        <f t="shared" si="83"/>
        <v>453160.88</v>
      </c>
      <c r="M30" s="175">
        <f t="shared" si="83"/>
        <v>554532.34600000002</v>
      </c>
      <c r="N30" s="175">
        <f t="shared" si="83"/>
        <v>560444.0149999999</v>
      </c>
      <c r="O30" s="175">
        <f t="shared" si="83"/>
        <v>586650.3110000001</v>
      </c>
      <c r="P30" s="175">
        <f t="shared" si="83"/>
        <v>586724.46699999995</v>
      </c>
      <c r="Q30" s="175">
        <f t="shared" si="83"/>
        <v>701390.39199999999</v>
      </c>
      <c r="R30" s="175">
        <f t="shared" si="83"/>
        <v>726481.12400000007</v>
      </c>
      <c r="S30" s="175">
        <f t="shared" si="83"/>
        <v>828266</v>
      </c>
      <c r="T30" s="175">
        <f t="shared" ref="T30:U30" si="85">T10</f>
        <v>845216.10796000005</v>
      </c>
      <c r="U30" s="175">
        <f t="shared" si="85"/>
        <v>896833.76303999987</v>
      </c>
      <c r="V30" s="175">
        <f t="shared" ref="V30:W30" si="86">V10</f>
        <v>992420.72051999974</v>
      </c>
      <c r="W30" s="175">
        <f t="shared" si="86"/>
        <v>1041865.7258038499</v>
      </c>
      <c r="X30" s="175">
        <f t="shared" ref="X30:Y30" si="87">X10</f>
        <v>1164350.1315736333</v>
      </c>
      <c r="Y30" s="175">
        <f t="shared" si="87"/>
        <v>1258107.8160445173</v>
      </c>
      <c r="Z30" s="175">
        <f t="shared" ref="Z30" si="88">Z10</f>
        <v>1362594.3</v>
      </c>
      <c r="AA30" s="175"/>
      <c r="AB30" s="170">
        <f t="shared" si="63"/>
        <v>8.305050061924546E-2</v>
      </c>
      <c r="AC30" s="170">
        <f t="shared" si="64"/>
        <v>0.3730006556957417</v>
      </c>
    </row>
    <row r="31" spans="1:34" ht="13" customHeight="1">
      <c r="B31" s="103" t="str">
        <f>IF('Summary | Sumário'!D$6=Names!B$3,Names!BF31,Names!BG31)</f>
        <v>Net result from services and commissions</v>
      </c>
      <c r="C31" s="176">
        <f>C11</f>
        <v>73829.660999999993</v>
      </c>
      <c r="D31" s="176">
        <f t="shared" ref="D31:S31" si="89">D11</f>
        <v>185534</v>
      </c>
      <c r="E31" s="176">
        <f t="shared" si="89"/>
        <v>442272</v>
      </c>
      <c r="F31" s="176">
        <f t="shared" si="89"/>
        <v>838806</v>
      </c>
      <c r="G31" s="176">
        <f t="shared" ref="G31:H31" si="90">G11</f>
        <v>1168800</v>
      </c>
      <c r="H31" s="176">
        <f t="shared" si="90"/>
        <v>1609850.2739999997</v>
      </c>
      <c r="I31" s="175"/>
      <c r="J31" s="176">
        <f t="shared" si="89"/>
        <v>77686</v>
      </c>
      <c r="K31" s="176">
        <f t="shared" si="89"/>
        <v>89070</v>
      </c>
      <c r="L31" s="176">
        <f t="shared" si="89"/>
        <v>122853</v>
      </c>
      <c r="M31" s="176">
        <f t="shared" si="89"/>
        <v>152663</v>
      </c>
      <c r="N31" s="176">
        <f t="shared" si="89"/>
        <v>177703</v>
      </c>
      <c r="O31" s="176">
        <f t="shared" si="89"/>
        <v>204561</v>
      </c>
      <c r="P31" s="176">
        <f t="shared" si="89"/>
        <v>217029</v>
      </c>
      <c r="Q31" s="176">
        <f t="shared" si="89"/>
        <v>239513</v>
      </c>
      <c r="R31" s="176">
        <f t="shared" si="89"/>
        <v>246675</v>
      </c>
      <c r="S31" s="176">
        <f t="shared" si="89"/>
        <v>266801</v>
      </c>
      <c r="T31" s="176">
        <f t="shared" ref="T31:U31" si="91">T11</f>
        <v>315509</v>
      </c>
      <c r="U31" s="176">
        <f t="shared" si="91"/>
        <v>339815.6</v>
      </c>
      <c r="V31" s="176">
        <f t="shared" ref="V31:W31" si="92">V11</f>
        <v>340317.39485153224</v>
      </c>
      <c r="W31" s="176">
        <f t="shared" si="92"/>
        <v>364200.86699999997</v>
      </c>
      <c r="X31" s="176">
        <f t="shared" ref="X31:Y31" si="93">X11</f>
        <v>429990.49199999997</v>
      </c>
      <c r="Y31" s="176">
        <f t="shared" si="93"/>
        <v>475341.5201484678</v>
      </c>
      <c r="Z31" s="176">
        <f t="shared" ref="Z31" si="94">Z11</f>
        <v>419113.4</v>
      </c>
      <c r="AA31" s="175"/>
      <c r="AB31" s="373">
        <f t="shared" si="63"/>
        <v>-0.11828994052719299</v>
      </c>
      <c r="AC31" s="373">
        <f t="shared" si="64"/>
        <v>0.23153681339986609</v>
      </c>
    </row>
    <row r="32" spans="1:34" s="121" customFormat="1" ht="13" customHeight="1">
      <c r="A32" s="120"/>
      <c r="B32" s="64" t="str">
        <f>IF('Summary | Sumário'!D$6=Names!B$3,Names!BF33,Names!BG33)</f>
        <v>Other revenues</v>
      </c>
      <c r="C32" s="175">
        <f>C12</f>
        <v>46867</v>
      </c>
      <c r="D32" s="175">
        <f t="shared" ref="D32:S32" si="95">D12</f>
        <v>92564</v>
      </c>
      <c r="E32" s="175">
        <f t="shared" si="95"/>
        <v>165415</v>
      </c>
      <c r="F32" s="175">
        <f t="shared" si="95"/>
        <v>288682</v>
      </c>
      <c r="G32" s="175">
        <f t="shared" ref="G32:H32" si="96">G12</f>
        <v>286980</v>
      </c>
      <c r="H32" s="175">
        <f t="shared" si="96"/>
        <v>333570.52926939999</v>
      </c>
      <c r="I32" s="175"/>
      <c r="J32" s="175">
        <f t="shared" si="95"/>
        <v>41623</v>
      </c>
      <c r="K32" s="175">
        <f t="shared" si="95"/>
        <v>69359</v>
      </c>
      <c r="L32" s="175">
        <f t="shared" si="95"/>
        <v>30496</v>
      </c>
      <c r="M32" s="175">
        <f t="shared" si="95"/>
        <v>23937</v>
      </c>
      <c r="N32" s="175">
        <f t="shared" si="95"/>
        <v>95374</v>
      </c>
      <c r="O32" s="175">
        <f t="shared" si="95"/>
        <v>85809</v>
      </c>
      <c r="P32" s="175">
        <f t="shared" si="95"/>
        <v>46550</v>
      </c>
      <c r="Q32" s="175">
        <f t="shared" si="95"/>
        <v>60949</v>
      </c>
      <c r="R32" s="175">
        <f t="shared" si="95"/>
        <v>50958</v>
      </c>
      <c r="S32" s="175">
        <f t="shared" si="95"/>
        <v>54967</v>
      </c>
      <c r="T32" s="175">
        <f t="shared" ref="T32:U32" si="97">T12</f>
        <v>104770.50028000001</v>
      </c>
      <c r="U32" s="175">
        <f t="shared" si="97"/>
        <v>76284.499719999993</v>
      </c>
      <c r="V32" s="175">
        <f t="shared" ref="V32:W32" si="98">V12</f>
        <v>68201</v>
      </c>
      <c r="W32" s="175">
        <f t="shared" si="98"/>
        <v>72531.218238679983</v>
      </c>
      <c r="X32" s="175">
        <f t="shared" ref="X32:Y32" si="99">X12</f>
        <v>81802.620979938802</v>
      </c>
      <c r="Y32" s="175">
        <f t="shared" si="99"/>
        <v>111035.69005078121</v>
      </c>
      <c r="Z32" s="175">
        <f t="shared" ref="Z32" si="100">Z12</f>
        <v>56093.4</v>
      </c>
      <c r="AA32" s="175"/>
      <c r="AB32" s="170">
        <f t="shared" si="63"/>
        <v>-0.49481648671390099</v>
      </c>
      <c r="AC32" s="170">
        <f t="shared" si="64"/>
        <v>-0.17752818873623555</v>
      </c>
      <c r="AD32" s="120"/>
      <c r="AE32" s="120"/>
      <c r="AF32" s="120"/>
      <c r="AG32" s="120"/>
      <c r="AH32" s="120"/>
    </row>
    <row r="33" spans="2:29" ht="13" customHeight="1">
      <c r="B33" s="103" t="str">
        <f>IF('Summary | Sumário'!D$6=Names!B$3,Names!BF34,Names!BG34)</f>
        <v>Tax expenses</v>
      </c>
      <c r="C33" s="176">
        <f>C13</f>
        <v>0</v>
      </c>
      <c r="D33" s="176">
        <f t="shared" ref="D33:S33" si="101">D13</f>
        <v>0</v>
      </c>
      <c r="E33" s="176">
        <f t="shared" si="101"/>
        <v>-146721.22500000001</v>
      </c>
      <c r="F33" s="176">
        <f t="shared" si="101"/>
        <v>-248588</v>
      </c>
      <c r="G33" s="176">
        <f t="shared" ref="G33:H33" si="102">G13</f>
        <v>-326584</v>
      </c>
      <c r="H33" s="176">
        <f t="shared" si="102"/>
        <v>-477037.39600000001</v>
      </c>
      <c r="I33" s="175"/>
      <c r="J33" s="176">
        <f t="shared" si="101"/>
        <v>-27534.687000000002</v>
      </c>
      <c r="K33" s="176">
        <f t="shared" si="101"/>
        <v>-30373</v>
      </c>
      <c r="L33" s="176">
        <f t="shared" si="101"/>
        <v>-40645.811999999998</v>
      </c>
      <c r="M33" s="176">
        <f t="shared" si="101"/>
        <v>-48167.726000000002</v>
      </c>
      <c r="N33" s="176">
        <f t="shared" si="101"/>
        <v>-56693</v>
      </c>
      <c r="O33" s="176">
        <f t="shared" si="101"/>
        <v>-61600</v>
      </c>
      <c r="P33" s="176">
        <f t="shared" si="101"/>
        <v>-61544</v>
      </c>
      <c r="Q33" s="176">
        <f t="shared" si="101"/>
        <v>-68751</v>
      </c>
      <c r="R33" s="176">
        <f t="shared" si="101"/>
        <v>-68871</v>
      </c>
      <c r="S33" s="176">
        <f t="shared" si="101"/>
        <v>-72463</v>
      </c>
      <c r="T33" s="176">
        <f t="shared" ref="T33:U33" si="103">T13</f>
        <v>-94072</v>
      </c>
      <c r="U33" s="176">
        <f t="shared" si="103"/>
        <v>-91178</v>
      </c>
      <c r="V33" s="176">
        <f t="shared" ref="V33:W33" si="104">V13</f>
        <v>-86331</v>
      </c>
      <c r="W33" s="176">
        <f t="shared" si="104"/>
        <v>-99417.270999999993</v>
      </c>
      <c r="X33" s="176">
        <f t="shared" ref="X33:Y33" si="105">X13</f>
        <v>-123632.909</v>
      </c>
      <c r="Y33" s="176">
        <f t="shared" si="105"/>
        <v>-167656.21600000001</v>
      </c>
      <c r="Z33" s="176">
        <f t="shared" ref="Z33" si="106">Z13</f>
        <v>-136055</v>
      </c>
      <c r="AA33" s="175"/>
      <c r="AB33" s="373">
        <f t="shared" si="63"/>
        <v>-0.18848818584811677</v>
      </c>
      <c r="AC33" s="373">
        <f t="shared" si="64"/>
        <v>0.57596923468974071</v>
      </c>
    </row>
    <row r="34" spans="2:29" ht="13" customHeight="1">
      <c r="B34" s="275" t="str">
        <f>IF('Summary | Sumário'!D$6=Names!B$3,Names!BF35,Names!BG35)</f>
        <v>Administrative efficiency ratio (%)</v>
      </c>
      <c r="C34" s="289">
        <f t="shared" ref="C34:S34" si="107">C26/C29</f>
        <v>0.56691741949864827</v>
      </c>
      <c r="D34" s="289">
        <f t="shared" si="107"/>
        <v>0.67727930972703332</v>
      </c>
      <c r="E34" s="289">
        <f t="shared" si="107"/>
        <v>0.60647162637095398</v>
      </c>
      <c r="F34" s="289">
        <f t="shared" si="107"/>
        <v>0.5004228609927347</v>
      </c>
      <c r="G34" s="289">
        <f t="shared" ref="G34:H34" si="108">G26/G29</f>
        <v>0.36642353478643097</v>
      </c>
      <c r="H34" s="289">
        <f t="shared" si="108"/>
        <v>0.3339256932115296</v>
      </c>
      <c r="I34" s="321"/>
      <c r="J34" s="289">
        <f t="shared" si="107"/>
        <v>0.61213241979611666</v>
      </c>
      <c r="K34" s="289">
        <f t="shared" si="107"/>
        <v>0.68208576632857187</v>
      </c>
      <c r="L34" s="289">
        <f t="shared" si="107"/>
        <v>0.47049848727981075</v>
      </c>
      <c r="M34" s="289">
        <f t="shared" si="107"/>
        <v>0.66751890310218409</v>
      </c>
      <c r="N34" s="289">
        <f t="shared" si="107"/>
        <v>0.53201479866814538</v>
      </c>
      <c r="O34" s="289">
        <f t="shared" si="107"/>
        <v>0.47108098095927847</v>
      </c>
      <c r="P34" s="289">
        <f t="shared" si="107"/>
        <v>0.5268602373554776</v>
      </c>
      <c r="Q34" s="289">
        <f t="shared" si="107"/>
        <v>0.4774154275401617</v>
      </c>
      <c r="R34" s="289">
        <f t="shared" si="107"/>
        <v>0.44302020016424631</v>
      </c>
      <c r="S34" s="289">
        <f t="shared" si="107"/>
        <v>0.36099523836480379</v>
      </c>
      <c r="T34" s="289">
        <f t="shared" ref="T34:U34" si="109">T26/T29</f>
        <v>0.34442536172391863</v>
      </c>
      <c r="U34" s="289">
        <f t="shared" si="109"/>
        <v>0.33241502036465342</v>
      </c>
      <c r="V34" s="289">
        <f t="shared" ref="V34:W34" si="110">V26/V29</f>
        <v>0.33252799437987279</v>
      </c>
      <c r="W34" s="289">
        <f t="shared" si="110"/>
        <v>0.33053115220574575</v>
      </c>
      <c r="X34" s="289">
        <f t="shared" ref="X34:Y34" si="111">X26/X29</f>
        <v>0.34020707489310903</v>
      </c>
      <c r="Y34" s="289">
        <f t="shared" si="111"/>
        <v>0.33199776900247213</v>
      </c>
      <c r="Z34" s="289">
        <f t="shared" ref="Z34" si="112">Z26/Z29</f>
        <v>0.35001966509575072</v>
      </c>
      <c r="AA34" s="321"/>
      <c r="AB34" s="369">
        <f>(Z34-Y34)*100</f>
        <v>1.8021896093278589</v>
      </c>
      <c r="AC34" s="369">
        <f>(Z34-V34)*100</f>
        <v>1.7491670715877927</v>
      </c>
    </row>
    <row r="35" spans="2:29" ht="13" customHeight="1">
      <c r="B35" s="71"/>
    </row>
  </sheetData>
  <sheetProtection algorithmName="SHA-512" hashValue="3C4UxUqelW/HGAUL5tW6e7qLlZBRU604LB21QLIveSwSB1oMKnQ1xJmluqTk+MPH0oWLXlIg/vPRCM9QWFcnkg==" saltValue="3EhyG6Qiy6uett8x6g6RH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7663E-DD15-1C4A-B2F4-C7AF4A73C099}">
  <sheetPr codeName="Sheet36">
    <tabColor theme="0" tint="-0.34998626667073579"/>
  </sheetPr>
  <dimension ref="A1:AI20"/>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120" customWidth="1"/>
    <col min="3" max="8" width="10.83203125" style="121" customWidth="1"/>
    <col min="9" max="9" width="3.83203125" style="121" customWidth="1"/>
    <col min="10" max="26" width="10.83203125" style="121" customWidth="1"/>
    <col min="27" max="27" width="5.83203125" style="121" customWidth="1"/>
    <col min="28" max="29" width="10.83203125" style="121" customWidth="1"/>
    <col min="30" max="32" width="10.83203125" style="120"/>
    <col min="33" max="33" width="19.33203125" style="120" bestFit="1" customWidth="1"/>
    <col min="34" max="16384" width="10.83203125" style="120"/>
  </cols>
  <sheetData>
    <row r="1" spans="1:35" ht="13" customHeight="1">
      <c r="AD1" s="121"/>
    </row>
    <row r="2" spans="1:35" s="127" customFormat="1" ht="13" customHeight="1">
      <c r="B2" s="255" t="str">
        <f>IF('Summary | Sumário'!D$6=Names!B$3,Names!AL1,Names!AM1)</f>
        <v>Cost of Risk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316"/>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6" t="str">
        <f>IF('Summary | Sumário'!D6=Names!B3,Names!C24,Names!D24)</f>
        <v>1Q25</v>
      </c>
      <c r="AA2" s="315"/>
      <c r="AB2" s="104" t="str">
        <f>IF('Summary | Sumário'!$D$6=Names!$B$3,Names!$I$24,Names!$J$24)</f>
        <v>QoQ Variation</v>
      </c>
      <c r="AC2" s="104" t="str">
        <f>IF('Summary | Sumário'!$D$6=Names!$B$3,Names!$I$25,Names!$J$25)</f>
        <v>YoY Variation</v>
      </c>
      <c r="AD2" s="126"/>
      <c r="AF2" s="128"/>
      <c r="AG2" s="129"/>
    </row>
    <row r="3" spans="1:35" ht="13" customHeight="1">
      <c r="B3" s="46"/>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31"/>
    </row>
    <row r="4" spans="1:35" ht="13" customHeight="1">
      <c r="B4" s="3" t="str">
        <f>IF('Summary | Sumário'!D$6=Names!B$3,Names!AL11,Names!AM11)</f>
        <v>Cost of risk</v>
      </c>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row>
    <row r="5" spans="1:35" ht="13" customHeight="1">
      <c r="B5" s="296" t="str">
        <f>IF('Summary | Sumário'!D$6=Names!B$3,Names!AL12,Names!AM12)</f>
        <v>Anuallized impairment losses on financial assets</v>
      </c>
      <c r="C5" s="277">
        <f>C6</f>
        <v>138570</v>
      </c>
      <c r="D5" s="277">
        <f t="shared" ref="D5:H5" si="0">D6</f>
        <v>213688</v>
      </c>
      <c r="E5" s="277">
        <f t="shared" si="0"/>
        <v>595581</v>
      </c>
      <c r="F5" s="277">
        <f t="shared" si="0"/>
        <v>1083237</v>
      </c>
      <c r="G5" s="277">
        <f t="shared" si="0"/>
        <v>1541584</v>
      </c>
      <c r="H5" s="277">
        <f t="shared" si="0"/>
        <v>1799452.3359999999</v>
      </c>
      <c r="I5" s="164"/>
      <c r="J5" s="277">
        <f>J6*4</f>
        <v>426676</v>
      </c>
      <c r="K5" s="277">
        <f t="shared" ref="K5:Z5" si="1">K6*4</f>
        <v>669764</v>
      </c>
      <c r="L5" s="277">
        <f t="shared" si="1"/>
        <v>552020</v>
      </c>
      <c r="M5" s="277">
        <f t="shared" si="1"/>
        <v>733864</v>
      </c>
      <c r="N5" s="277">
        <f t="shared" si="1"/>
        <v>1251784</v>
      </c>
      <c r="O5" s="277">
        <f t="shared" si="1"/>
        <v>969856</v>
      </c>
      <c r="P5" s="277">
        <f t="shared" si="1"/>
        <v>1052452</v>
      </c>
      <c r="Q5" s="277">
        <f t="shared" si="1"/>
        <v>1058856</v>
      </c>
      <c r="R5" s="277">
        <f t="shared" si="1"/>
        <v>1402724</v>
      </c>
      <c r="S5" s="277">
        <f t="shared" si="1"/>
        <v>1594240</v>
      </c>
      <c r="T5" s="277">
        <f t="shared" si="1"/>
        <v>1631596</v>
      </c>
      <c r="U5" s="277">
        <f t="shared" si="1"/>
        <v>1537776</v>
      </c>
      <c r="V5" s="277">
        <f t="shared" si="1"/>
        <v>1644192</v>
      </c>
      <c r="W5" s="277">
        <f t="shared" si="1"/>
        <v>1684990.6440000001</v>
      </c>
      <c r="X5" s="277">
        <f t="shared" si="1"/>
        <v>1885706.6</v>
      </c>
      <c r="Y5" s="277">
        <f t="shared" si="1"/>
        <v>1982920.0999999987</v>
      </c>
      <c r="Z5" s="277">
        <f t="shared" si="1"/>
        <v>2054725.6</v>
      </c>
      <c r="AA5" s="164"/>
      <c r="AB5" s="344">
        <f>Z5/Y5-1</f>
        <v>3.621199865793967E-2</v>
      </c>
      <c r="AC5" s="344">
        <f>Z5/V5-1</f>
        <v>0.24968714116112967</v>
      </c>
      <c r="AE5" s="175"/>
      <c r="AF5" s="175"/>
    </row>
    <row r="6" spans="1:35" ht="13" customHeight="1">
      <c r="B6" s="76" t="str">
        <f>IF('Summary | Sumário'!D$6=Names!B$3,Names!AL13,Names!AM13)</f>
        <v>Impairment losses on financial assets</v>
      </c>
      <c r="C6" s="160">
        <v>138570</v>
      </c>
      <c r="D6" s="160">
        <v>213688</v>
      </c>
      <c r="E6" s="160">
        <v>595581</v>
      </c>
      <c r="F6" s="160">
        <v>1083237</v>
      </c>
      <c r="G6" s="160">
        <v>1541584</v>
      </c>
      <c r="H6" s="160">
        <v>1799452.3359999999</v>
      </c>
      <c r="I6" s="160"/>
      <c r="J6" s="160">
        <v>106669</v>
      </c>
      <c r="K6" s="160">
        <v>167441</v>
      </c>
      <c r="L6" s="160">
        <v>138005</v>
      </c>
      <c r="M6" s="160">
        <v>183466</v>
      </c>
      <c r="N6" s="160">
        <v>312946</v>
      </c>
      <c r="O6" s="160">
        <v>242464</v>
      </c>
      <c r="P6" s="160">
        <v>263113</v>
      </c>
      <c r="Q6" s="160">
        <v>264714</v>
      </c>
      <c r="R6" s="160">
        <v>350681</v>
      </c>
      <c r="S6" s="160">
        <v>398560</v>
      </c>
      <c r="T6" s="160">
        <v>407899</v>
      </c>
      <c r="U6" s="160">
        <v>384444</v>
      </c>
      <c r="V6" s="160">
        <v>411048</v>
      </c>
      <c r="W6" s="160">
        <v>421247.66100000002</v>
      </c>
      <c r="X6" s="160">
        <v>471426.65</v>
      </c>
      <c r="Y6" s="160">
        <v>495730.02499999967</v>
      </c>
      <c r="Z6" s="160">
        <v>513681.4</v>
      </c>
      <c r="AA6" s="160"/>
      <c r="AB6" s="375">
        <f t="shared" ref="AB6:AB9" si="2">Z6/Y6-1</f>
        <v>3.621199865793967E-2</v>
      </c>
      <c r="AC6" s="375">
        <f t="shared" ref="AC6:AC9" si="3">Z6/V6-1</f>
        <v>0.24968714116112967</v>
      </c>
      <c r="AE6" s="175"/>
      <c r="AF6" s="175"/>
      <c r="AG6" s="175"/>
    </row>
    <row r="7" spans="1:35" ht="13" customHeight="1">
      <c r="B7" s="81" t="str">
        <f>IF('Summary | Sumário'!D$6=Names!B$3,Names!AL14,Names!AM14)</f>
        <v>(÷) Avg of the last two periods of gross loans and advances to customers</v>
      </c>
      <c r="C7" s="161">
        <f t="shared" ref="C7:S7" si="4">AVERAGE(C8:C9)</f>
        <v>4777387</v>
      </c>
      <c r="D7" s="161">
        <f t="shared" si="4"/>
        <v>6783722.5</v>
      </c>
      <c r="E7" s="161">
        <f t="shared" si="4"/>
        <v>13152262</v>
      </c>
      <c r="F7" s="161">
        <f t="shared" si="4"/>
        <v>21029229.5</v>
      </c>
      <c r="G7" s="161">
        <f t="shared" ref="G7:H7" si="5">AVERAGE(G8:G9)</f>
        <v>27782415</v>
      </c>
      <c r="H7" s="161">
        <f t="shared" si="5"/>
        <v>36101825.15258</v>
      </c>
      <c r="I7" s="160"/>
      <c r="J7" s="161">
        <f t="shared" si="4"/>
        <v>9559371.8131499998</v>
      </c>
      <c r="K7" s="161">
        <f t="shared" si="4"/>
        <v>11463723.34365</v>
      </c>
      <c r="L7" s="161">
        <f t="shared" si="4"/>
        <v>13778199.9965</v>
      </c>
      <c r="M7" s="161">
        <f t="shared" si="4"/>
        <v>16236052.466</v>
      </c>
      <c r="N7" s="161">
        <f t="shared" si="4"/>
        <v>18019061.792999998</v>
      </c>
      <c r="O7" s="161">
        <f t="shared" si="4"/>
        <v>19194110.597999997</v>
      </c>
      <c r="P7" s="161">
        <f t="shared" si="4"/>
        <v>20949808.805</v>
      </c>
      <c r="Q7" s="161">
        <f t="shared" si="4"/>
        <v>23289523.5</v>
      </c>
      <c r="R7" s="161">
        <f t="shared" si="4"/>
        <v>24836645.5</v>
      </c>
      <c r="S7" s="161">
        <f t="shared" si="4"/>
        <v>25801829</v>
      </c>
      <c r="T7" s="161">
        <f t="shared" ref="T7:Y7" si="6">AVERAGE(T8:T9)</f>
        <v>27366551.5</v>
      </c>
      <c r="U7" s="161">
        <f t="shared" si="6"/>
        <v>29639790</v>
      </c>
      <c r="V7" s="161">
        <f t="shared" si="6"/>
        <v>31582230.265975103</v>
      </c>
      <c r="W7" s="161">
        <f t="shared" si="6"/>
        <v>33908997.474265099</v>
      </c>
      <c r="X7" s="161">
        <f t="shared" si="6"/>
        <v>36867129.109815001</v>
      </c>
      <c r="Y7" s="161">
        <f t="shared" si="6"/>
        <v>39621350.054104999</v>
      </c>
      <c r="Z7" s="161">
        <f t="shared" ref="Z7" si="7">AVERAGE(Z8:Z9)</f>
        <v>41888877.15258</v>
      </c>
      <c r="AA7" s="160"/>
      <c r="AB7" s="376">
        <f t="shared" si="2"/>
        <v>5.7229930211327495E-2</v>
      </c>
      <c r="AC7" s="376">
        <f t="shared" si="3"/>
        <v>0.32634322528224646</v>
      </c>
      <c r="AF7" s="175"/>
      <c r="AG7" s="175"/>
      <c r="AI7" s="154"/>
    </row>
    <row r="8" spans="1:35" ht="13" customHeight="1">
      <c r="A8" s="148" t="s">
        <v>891</v>
      </c>
      <c r="B8" s="64" t="str">
        <f>IF('Summary | Sumário'!D$6=Names!B$3,Names!AL15,Names!AM15)</f>
        <v>Gross loan portfolio</v>
      </c>
      <c r="C8" s="160">
        <v>4777387</v>
      </c>
      <c r="D8" s="160">
        <v>8790058</v>
      </c>
      <c r="E8" s="160">
        <v>17514466</v>
      </c>
      <c r="F8" s="160">
        <v>24543993</v>
      </c>
      <c r="G8" s="160">
        <f>U8</f>
        <v>31020837</v>
      </c>
      <c r="H8" s="160">
        <f>Y8</f>
        <v>41182813.305160001</v>
      </c>
      <c r="I8" s="160"/>
      <c r="J8" s="160">
        <v>10328685.6263</v>
      </c>
      <c r="K8" s="160">
        <v>12598761.061000001</v>
      </c>
      <c r="L8" s="160">
        <v>14957638.932</v>
      </c>
      <c r="M8" s="160">
        <v>17514466</v>
      </c>
      <c r="N8" s="160">
        <v>18523657.585999999</v>
      </c>
      <c r="O8" s="160">
        <v>19864563.609999999</v>
      </c>
      <c r="P8" s="160">
        <v>22035054</v>
      </c>
      <c r="Q8" s="160">
        <v>24543993</v>
      </c>
      <c r="R8" s="160">
        <v>25129298</v>
      </c>
      <c r="S8" s="160">
        <v>26474360</v>
      </c>
      <c r="T8" s="160">
        <v>28258743</v>
      </c>
      <c r="U8" s="160">
        <v>31020837</v>
      </c>
      <c r="V8" s="160">
        <v>32143623.531950202</v>
      </c>
      <c r="W8" s="160">
        <v>35674371.416579999</v>
      </c>
      <c r="X8" s="160">
        <v>38059886.803049996</v>
      </c>
      <c r="Y8" s="160">
        <v>41182813.305160001</v>
      </c>
      <c r="Z8" s="160">
        <v>42594941</v>
      </c>
      <c r="AA8" s="160"/>
      <c r="AB8" s="375">
        <f t="shared" si="2"/>
        <v>3.4289247904855102E-2</v>
      </c>
      <c r="AC8" s="375">
        <f t="shared" si="3"/>
        <v>0.32514434651903423</v>
      </c>
    </row>
    <row r="9" spans="1:35" ht="13" customHeight="1">
      <c r="B9" s="68" t="str">
        <f>IF('Summary | Sumário'!D$6=Names!B$3,Names!AL16,Names!AM16)</f>
        <v>Gross loan portfolio in the previous period</v>
      </c>
      <c r="C9" s="161">
        <f>C8</f>
        <v>4777387</v>
      </c>
      <c r="D9" s="161">
        <f>C8</f>
        <v>4777387</v>
      </c>
      <c r="E9" s="161">
        <f t="shared" ref="E9:H9" si="8">D8</f>
        <v>8790058</v>
      </c>
      <c r="F9" s="161">
        <f t="shared" si="8"/>
        <v>17514466</v>
      </c>
      <c r="G9" s="161">
        <f t="shared" si="8"/>
        <v>24543993</v>
      </c>
      <c r="H9" s="161">
        <f t="shared" si="8"/>
        <v>31020837</v>
      </c>
      <c r="I9" s="160"/>
      <c r="J9" s="161">
        <f>D8</f>
        <v>8790058</v>
      </c>
      <c r="K9" s="161">
        <f>J8</f>
        <v>10328685.6263</v>
      </c>
      <c r="L9" s="161">
        <f t="shared" ref="L9:Z9" si="9">K8</f>
        <v>12598761.061000001</v>
      </c>
      <c r="M9" s="161">
        <f t="shared" si="9"/>
        <v>14957638.932</v>
      </c>
      <c r="N9" s="161">
        <f t="shared" si="9"/>
        <v>17514466</v>
      </c>
      <c r="O9" s="161">
        <f t="shared" si="9"/>
        <v>18523657.585999999</v>
      </c>
      <c r="P9" s="161">
        <f t="shared" si="9"/>
        <v>19864563.609999999</v>
      </c>
      <c r="Q9" s="161">
        <f t="shared" si="9"/>
        <v>22035054</v>
      </c>
      <c r="R9" s="161">
        <f t="shared" si="9"/>
        <v>24543993</v>
      </c>
      <c r="S9" s="161">
        <f t="shared" si="9"/>
        <v>25129298</v>
      </c>
      <c r="T9" s="161">
        <f t="shared" si="9"/>
        <v>26474360</v>
      </c>
      <c r="U9" s="161">
        <f t="shared" si="9"/>
        <v>28258743</v>
      </c>
      <c r="V9" s="161">
        <f t="shared" si="9"/>
        <v>31020837</v>
      </c>
      <c r="W9" s="161">
        <f t="shared" si="9"/>
        <v>32143623.531950202</v>
      </c>
      <c r="X9" s="161">
        <f t="shared" si="9"/>
        <v>35674371.416579999</v>
      </c>
      <c r="Y9" s="161">
        <f t="shared" si="9"/>
        <v>38059886.803049996</v>
      </c>
      <c r="Z9" s="161">
        <f t="shared" si="9"/>
        <v>41182813.305160001</v>
      </c>
      <c r="AA9" s="160"/>
      <c r="AB9" s="376">
        <f t="shared" si="2"/>
        <v>8.2052963485423236E-2</v>
      </c>
      <c r="AC9" s="376">
        <f t="shared" si="3"/>
        <v>0.32758549697288952</v>
      </c>
    </row>
    <row r="10" spans="1:35" ht="13" customHeight="1">
      <c r="B10" s="275" t="str">
        <f>IF('Summary | Sumário'!D$6=Names!B$3,Names!AL17,Names!AM17)</f>
        <v>Cost of risk (%)</v>
      </c>
      <c r="C10" s="289">
        <f>C5/C7</f>
        <v>2.9005395627358637E-2</v>
      </c>
      <c r="D10" s="289">
        <f t="shared" ref="D10:S10" si="10">D5/D7</f>
        <v>3.1500109268915409E-2</v>
      </c>
      <c r="E10" s="289">
        <f t="shared" si="10"/>
        <v>4.5283541340645432E-2</v>
      </c>
      <c r="F10" s="289">
        <f>F5/F7</f>
        <v>5.1511017082199802E-2</v>
      </c>
      <c r="G10" s="289">
        <f t="shared" ref="G10:H10" si="11">G5/G7</f>
        <v>5.5487760873199829E-2</v>
      </c>
      <c r="H10" s="289">
        <f t="shared" si="11"/>
        <v>4.984380508173291E-2</v>
      </c>
      <c r="I10" s="321"/>
      <c r="J10" s="289">
        <f t="shared" si="10"/>
        <v>4.4634313670387712E-2</v>
      </c>
      <c r="K10" s="289">
        <f t="shared" si="10"/>
        <v>5.8424647902114324E-2</v>
      </c>
      <c r="L10" s="289">
        <f t="shared" si="10"/>
        <v>4.0064739961695038E-2</v>
      </c>
      <c r="M10" s="289">
        <f t="shared" si="10"/>
        <v>4.5199656846193884E-2</v>
      </c>
      <c r="N10" s="289">
        <f t="shared" si="10"/>
        <v>6.9469987637552258E-2</v>
      </c>
      <c r="O10" s="289">
        <f t="shared" si="10"/>
        <v>5.052883253163383E-2</v>
      </c>
      <c r="P10" s="289">
        <f t="shared" si="10"/>
        <v>5.0236830789062659E-2</v>
      </c>
      <c r="Q10" s="289">
        <f t="shared" si="10"/>
        <v>4.5464906141166862E-2</v>
      </c>
      <c r="R10" s="289">
        <f t="shared" si="10"/>
        <v>5.6477997401058043E-2</v>
      </c>
      <c r="S10" s="289">
        <f t="shared" si="10"/>
        <v>6.1787867829059713E-2</v>
      </c>
      <c r="T10" s="289">
        <v>5.8999999999999997E-2</v>
      </c>
      <c r="U10" s="289">
        <f t="shared" ref="U10:V10" si="12">U5/U7</f>
        <v>5.1882148962593862E-2</v>
      </c>
      <c r="V10" s="289">
        <f t="shared" si="12"/>
        <v>5.2060667855093147E-2</v>
      </c>
      <c r="W10" s="289">
        <f t="shared" ref="W10:X10" si="13">W5/W7</f>
        <v>4.9691550016446435E-2</v>
      </c>
      <c r="X10" s="289">
        <f t="shared" si="13"/>
        <v>5.1148723687789818E-2</v>
      </c>
      <c r="Y10" s="289">
        <f t="shared" ref="Y10:Z10" si="14">Y5/Y7</f>
        <v>5.0046757550972369E-2</v>
      </c>
      <c r="Z10" s="289">
        <f t="shared" si="14"/>
        <v>4.9051818517733804E-2</v>
      </c>
      <c r="AA10" s="321"/>
      <c r="AB10" s="369">
        <f>(Z10-Y10)*100</f>
        <v>-9.9493903323856492E-2</v>
      </c>
      <c r="AC10" s="369">
        <f>(Z10-V10)*100</f>
        <v>-0.30088493373593428</v>
      </c>
      <c r="AE10" s="154"/>
      <c r="AF10" s="154"/>
      <c r="AG10" s="154"/>
    </row>
    <row r="11" spans="1:35" ht="13" customHeight="1">
      <c r="B11" s="7"/>
      <c r="C11" s="163"/>
      <c r="D11" s="163"/>
      <c r="E11" s="163"/>
      <c r="F11" s="163"/>
      <c r="G11" s="163"/>
      <c r="H11" s="163"/>
      <c r="J11" s="163"/>
      <c r="K11" s="163"/>
      <c r="L11" s="163"/>
      <c r="M11" s="163"/>
      <c r="N11" s="163"/>
      <c r="O11" s="163"/>
      <c r="P11" s="163"/>
      <c r="Q11" s="163"/>
      <c r="R11" s="163"/>
      <c r="S11" s="163"/>
      <c r="T11" s="163"/>
      <c r="U11" s="163"/>
      <c r="V11" s="163"/>
      <c r="W11" s="163"/>
      <c r="X11" s="163"/>
      <c r="Y11" s="163"/>
      <c r="Z11" s="163"/>
      <c r="AB11" s="163"/>
      <c r="AC11" s="163"/>
      <c r="AF11" s="154"/>
      <c r="AG11" s="154"/>
    </row>
    <row r="12" spans="1:35" s="121" customFormat="1" ht="13" customHeight="1">
      <c r="A12" s="120"/>
      <c r="B12" s="3" t="str">
        <f>IF('Summary | Sumário'!D$6=Names!B$3,Names!AL2,Names!AM2)</f>
        <v>Cost of risk  (Excl. Antic. of CC Receivables)</v>
      </c>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20"/>
      <c r="AE12" s="120"/>
      <c r="AF12" s="120"/>
      <c r="AG12" s="120"/>
      <c r="AH12" s="120"/>
    </row>
    <row r="13" spans="1:35" s="121" customFormat="1" ht="13" customHeight="1">
      <c r="A13" s="120"/>
      <c r="B13" s="296" t="str">
        <f>IF('Summary | Sumário'!D$6=Names!B$3,Names!AL3,Names!AM3)</f>
        <v>Anuallized impairment losses on financial assets</v>
      </c>
      <c r="C13" s="277">
        <f>C14</f>
        <v>138570</v>
      </c>
      <c r="D13" s="277">
        <f t="shared" ref="D13:H13" si="15">D14</f>
        <v>213688</v>
      </c>
      <c r="E13" s="277">
        <f t="shared" si="15"/>
        <v>595581</v>
      </c>
      <c r="F13" s="277">
        <f t="shared" si="15"/>
        <v>1083237</v>
      </c>
      <c r="G13" s="277">
        <f t="shared" si="15"/>
        <v>1541584</v>
      </c>
      <c r="H13" s="277">
        <f t="shared" si="15"/>
        <v>1799452.3359999999</v>
      </c>
      <c r="I13" s="164"/>
      <c r="J13" s="277">
        <f>J14*4</f>
        <v>426676</v>
      </c>
      <c r="K13" s="277">
        <f t="shared" ref="K13:Z13" si="16">K14*4</f>
        <v>669764</v>
      </c>
      <c r="L13" s="277">
        <f t="shared" si="16"/>
        <v>552020</v>
      </c>
      <c r="M13" s="277">
        <f t="shared" si="16"/>
        <v>733864</v>
      </c>
      <c r="N13" s="277">
        <f t="shared" si="16"/>
        <v>1251784</v>
      </c>
      <c r="O13" s="277">
        <f t="shared" si="16"/>
        <v>969856</v>
      </c>
      <c r="P13" s="277">
        <f t="shared" si="16"/>
        <v>1052452</v>
      </c>
      <c r="Q13" s="277">
        <f t="shared" si="16"/>
        <v>1058856</v>
      </c>
      <c r="R13" s="277">
        <f t="shared" si="16"/>
        <v>1402724</v>
      </c>
      <c r="S13" s="277">
        <f t="shared" si="16"/>
        <v>1594240</v>
      </c>
      <c r="T13" s="277">
        <f t="shared" si="16"/>
        <v>1631596</v>
      </c>
      <c r="U13" s="277">
        <f t="shared" si="16"/>
        <v>1537776</v>
      </c>
      <c r="V13" s="277">
        <f t="shared" si="16"/>
        <v>1644192</v>
      </c>
      <c r="W13" s="277">
        <f t="shared" si="16"/>
        <v>1684990.6440000001</v>
      </c>
      <c r="X13" s="277">
        <f t="shared" si="16"/>
        <v>1885706.6</v>
      </c>
      <c r="Y13" s="277">
        <f t="shared" si="16"/>
        <v>1982920.0999999987</v>
      </c>
      <c r="Z13" s="277">
        <f t="shared" si="16"/>
        <v>2054725.6</v>
      </c>
      <c r="AA13" s="164"/>
      <c r="AB13" s="344">
        <f t="shared" ref="AB13:AB17" si="17">Z13/Y13-1</f>
        <v>3.621199865793967E-2</v>
      </c>
      <c r="AC13" s="344">
        <f t="shared" ref="AC13:AC17" si="18">Z13/V13-1</f>
        <v>0.24968714116112967</v>
      </c>
      <c r="AD13" s="120"/>
      <c r="AE13" s="120"/>
      <c r="AF13" s="120"/>
      <c r="AG13" s="120"/>
      <c r="AH13" s="120"/>
    </row>
    <row r="14" spans="1:35" s="121" customFormat="1" ht="13" customHeight="1">
      <c r="A14" s="120"/>
      <c r="B14" s="76" t="str">
        <f>IF('Summary | Sumário'!D$6=Names!B$3,Names!AL4,Names!AM4)</f>
        <v>Impairment losses on financial assets</v>
      </c>
      <c r="C14" s="160">
        <v>138570</v>
      </c>
      <c r="D14" s="160">
        <v>213688</v>
      </c>
      <c r="E14" s="160">
        <v>595581</v>
      </c>
      <c r="F14" s="160">
        <v>1083237</v>
      </c>
      <c r="G14" s="160">
        <v>1541584</v>
      </c>
      <c r="H14" s="160">
        <v>1799452.3359999999</v>
      </c>
      <c r="I14" s="160"/>
      <c r="J14" s="160">
        <v>106669</v>
      </c>
      <c r="K14" s="160">
        <v>167441</v>
      </c>
      <c r="L14" s="160">
        <v>138005</v>
      </c>
      <c r="M14" s="160">
        <v>183466</v>
      </c>
      <c r="N14" s="160">
        <v>312946</v>
      </c>
      <c r="O14" s="160">
        <v>242464</v>
      </c>
      <c r="P14" s="160">
        <v>263113</v>
      </c>
      <c r="Q14" s="160">
        <v>264714</v>
      </c>
      <c r="R14" s="160">
        <v>350681</v>
      </c>
      <c r="S14" s="160">
        <v>398560</v>
      </c>
      <c r="T14" s="160">
        <v>407899</v>
      </c>
      <c r="U14" s="160">
        <v>384444</v>
      </c>
      <c r="V14" s="160">
        <v>411048</v>
      </c>
      <c r="W14" s="160">
        <v>421247.66100000002</v>
      </c>
      <c r="X14" s="160">
        <v>471426.65</v>
      </c>
      <c r="Y14" s="160">
        <v>495730.02499999967</v>
      </c>
      <c r="Z14" s="160">
        <v>513681.4</v>
      </c>
      <c r="AA14" s="160"/>
      <c r="AB14" s="375">
        <f t="shared" si="17"/>
        <v>3.621199865793967E-2</v>
      </c>
      <c r="AC14" s="375">
        <f t="shared" si="18"/>
        <v>0.24968714116112967</v>
      </c>
      <c r="AD14" s="120"/>
      <c r="AE14" s="120"/>
      <c r="AF14" s="120"/>
      <c r="AG14" s="120"/>
      <c r="AH14" s="120"/>
    </row>
    <row r="15" spans="1:35" s="121" customFormat="1" ht="13" customHeight="1">
      <c r="A15" s="120"/>
      <c r="B15" s="81" t="str">
        <f>IF('Summary | Sumário'!D$6=Names!B$3,Names!AL5,Names!AM5)</f>
        <v>(÷) Avg of the last two periods of gross loans and advances to customers</v>
      </c>
      <c r="C15" s="161">
        <f>AVERAGE(C16,C17)</f>
        <v>4777387</v>
      </c>
      <c r="D15" s="161">
        <f t="shared" ref="D15:S15" si="19">AVERAGE(D16,D17)</f>
        <v>6783722.5</v>
      </c>
      <c r="E15" s="161">
        <f t="shared" si="19"/>
        <v>13003210</v>
      </c>
      <c r="F15" s="161">
        <f t="shared" si="19"/>
        <v>19957345</v>
      </c>
      <c r="G15" s="161">
        <f t="shared" ref="G15:H15" si="20">AVERAGE(G16,G17)</f>
        <v>26241314.5</v>
      </c>
      <c r="H15" s="161">
        <f t="shared" si="20"/>
        <v>32690297</v>
      </c>
      <c r="I15" s="160"/>
      <c r="J15" s="161">
        <f t="shared" si="19"/>
        <v>9516483.6721500009</v>
      </c>
      <c r="K15" s="161">
        <f t="shared" si="19"/>
        <v>11385077.672150001</v>
      </c>
      <c r="L15" s="161">
        <f t="shared" si="19"/>
        <v>13693664.5</v>
      </c>
      <c r="M15" s="161">
        <f t="shared" si="19"/>
        <v>16038222.5</v>
      </c>
      <c r="N15" s="161">
        <f t="shared" si="19"/>
        <v>17696333</v>
      </c>
      <c r="O15" s="161">
        <f t="shared" si="19"/>
        <v>18830475.199999999</v>
      </c>
      <c r="P15" s="161">
        <f t="shared" si="19"/>
        <v>20244957.199999999</v>
      </c>
      <c r="Q15" s="161">
        <f t="shared" si="19"/>
        <v>21851798</v>
      </c>
      <c r="R15" s="161">
        <f t="shared" si="19"/>
        <v>23265601</v>
      </c>
      <c r="S15" s="161">
        <f t="shared" si="19"/>
        <v>24487128.5</v>
      </c>
      <c r="T15" s="161">
        <f t="shared" ref="T15:U15" si="21">AVERAGE(T16,T17)</f>
        <v>26092492</v>
      </c>
      <c r="U15" s="161">
        <f t="shared" si="21"/>
        <v>28413951</v>
      </c>
      <c r="V15" s="161">
        <f t="shared" ref="V15:W15" si="22">AVERAGE(V16,V17)</f>
        <v>30321463.940545101</v>
      </c>
      <c r="W15" s="161">
        <f t="shared" si="22"/>
        <v>31915089.440545101</v>
      </c>
      <c r="X15" s="161">
        <f t="shared" ref="X15:Y15" si="23">AVERAGE(X16,X17)</f>
        <v>33338720</v>
      </c>
      <c r="Y15" s="161">
        <f t="shared" si="23"/>
        <v>34651090.5</v>
      </c>
      <c r="Z15" s="161">
        <f t="shared" ref="Z15" si="24">AVERAGE(Z16,Z17)</f>
        <v>36495808.5</v>
      </c>
      <c r="AA15" s="160"/>
      <c r="AB15" s="376">
        <f t="shared" si="17"/>
        <v>5.3236939253037407E-2</v>
      </c>
      <c r="AC15" s="376">
        <f t="shared" si="18"/>
        <v>0.20362950059277063</v>
      </c>
      <c r="AD15" s="120"/>
      <c r="AE15" s="154"/>
      <c r="AF15" s="120"/>
      <c r="AG15" s="120"/>
      <c r="AH15" s="120"/>
    </row>
    <row r="16" spans="1:35" s="121" customFormat="1" ht="13" customHeight="1">
      <c r="A16" s="120"/>
      <c r="B16" s="64" t="str">
        <f>IF('Summary | Sumário'!D$6=Names!B$3,Names!AL6,Names!AM6)</f>
        <v>Gross loans and advances to customers</v>
      </c>
      <c r="C16" s="160">
        <v>4777387</v>
      </c>
      <c r="D16" s="160">
        <v>8790058</v>
      </c>
      <c r="E16" s="160">
        <f>M16</f>
        <v>17216362</v>
      </c>
      <c r="F16" s="160">
        <f>Q16</f>
        <v>22698328</v>
      </c>
      <c r="G16" s="160">
        <f>U16</f>
        <v>29784301</v>
      </c>
      <c r="H16" s="160">
        <f>Y16</f>
        <v>35596293</v>
      </c>
      <c r="I16" s="160"/>
      <c r="J16" s="160">
        <v>10242909.3443</v>
      </c>
      <c r="K16" s="160">
        <v>12527246</v>
      </c>
      <c r="L16" s="160">
        <v>14860083</v>
      </c>
      <c r="M16" s="160">
        <v>17216362</v>
      </c>
      <c r="N16" s="160">
        <v>18176304</v>
      </c>
      <c r="O16" s="160">
        <v>19484646.399999999</v>
      </c>
      <c r="P16" s="160">
        <v>21005268</v>
      </c>
      <c r="Q16" s="160">
        <v>22698328</v>
      </c>
      <c r="R16" s="160">
        <v>23832874</v>
      </c>
      <c r="S16" s="160">
        <v>25141383</v>
      </c>
      <c r="T16" s="160">
        <v>27043601</v>
      </c>
      <c r="U16" s="160">
        <v>29784301</v>
      </c>
      <c r="V16" s="160">
        <v>30858626.881090201</v>
      </c>
      <c r="W16" s="160">
        <v>32971552</v>
      </c>
      <c r="X16" s="160">
        <v>33705888</v>
      </c>
      <c r="Y16" s="160">
        <v>35596293</v>
      </c>
      <c r="Z16" s="160">
        <v>37395324</v>
      </c>
      <c r="AA16" s="160"/>
      <c r="AB16" s="375">
        <f t="shared" si="17"/>
        <v>5.0539841325612178E-2</v>
      </c>
      <c r="AC16" s="375">
        <f t="shared" si="18"/>
        <v>0.21182721914679248</v>
      </c>
      <c r="AD16" s="120"/>
      <c r="AE16" s="120"/>
      <c r="AF16" s="120"/>
      <c r="AG16" s="120"/>
      <c r="AH16" s="120"/>
    </row>
    <row r="17" spans="1:34" s="121" customFormat="1" ht="13" customHeight="1">
      <c r="A17" s="120"/>
      <c r="B17" s="68" t="str">
        <f>IF('Summary | Sumário'!D$6=Names!B$3,Names!AL7,Names!AM7)</f>
        <v>Gross loans and advances to customers in the previous period</v>
      </c>
      <c r="C17" s="161">
        <f>C16</f>
        <v>4777387</v>
      </c>
      <c r="D17" s="161">
        <f>C16</f>
        <v>4777387</v>
      </c>
      <c r="E17" s="161">
        <f t="shared" ref="E17:H17" si="25">D16</f>
        <v>8790058</v>
      </c>
      <c r="F17" s="161">
        <f t="shared" si="25"/>
        <v>17216362</v>
      </c>
      <c r="G17" s="161">
        <f t="shared" si="25"/>
        <v>22698328</v>
      </c>
      <c r="H17" s="161">
        <f t="shared" si="25"/>
        <v>29784301</v>
      </c>
      <c r="I17" s="160"/>
      <c r="J17" s="161">
        <f>D16</f>
        <v>8790058</v>
      </c>
      <c r="K17" s="161">
        <f>J16</f>
        <v>10242909.3443</v>
      </c>
      <c r="L17" s="161">
        <f t="shared" ref="L17:Z17" si="26">K16</f>
        <v>12527246</v>
      </c>
      <c r="M17" s="161">
        <f t="shared" si="26"/>
        <v>14860083</v>
      </c>
      <c r="N17" s="161">
        <f t="shared" si="26"/>
        <v>17216362</v>
      </c>
      <c r="O17" s="161">
        <f t="shared" si="26"/>
        <v>18176304</v>
      </c>
      <c r="P17" s="161">
        <f t="shared" si="26"/>
        <v>19484646.399999999</v>
      </c>
      <c r="Q17" s="161">
        <f t="shared" si="26"/>
        <v>21005268</v>
      </c>
      <c r="R17" s="161">
        <f t="shared" si="26"/>
        <v>22698328</v>
      </c>
      <c r="S17" s="161">
        <f t="shared" si="26"/>
        <v>23832874</v>
      </c>
      <c r="T17" s="161">
        <f t="shared" si="26"/>
        <v>25141383</v>
      </c>
      <c r="U17" s="161">
        <f t="shared" si="26"/>
        <v>27043601</v>
      </c>
      <c r="V17" s="161">
        <f t="shared" si="26"/>
        <v>29784301</v>
      </c>
      <c r="W17" s="161">
        <f t="shared" si="26"/>
        <v>30858626.881090201</v>
      </c>
      <c r="X17" s="161">
        <f t="shared" si="26"/>
        <v>32971552</v>
      </c>
      <c r="Y17" s="161">
        <f t="shared" si="26"/>
        <v>33705888</v>
      </c>
      <c r="Z17" s="161">
        <f t="shared" si="26"/>
        <v>35596293</v>
      </c>
      <c r="AA17" s="160"/>
      <c r="AB17" s="376">
        <f t="shared" si="17"/>
        <v>5.60853047396348E-2</v>
      </c>
      <c r="AC17" s="376">
        <f t="shared" si="18"/>
        <v>0.19513608863944798</v>
      </c>
      <c r="AD17" s="120"/>
      <c r="AE17" s="120"/>
      <c r="AF17" s="120"/>
      <c r="AG17" s="120"/>
      <c r="AH17" s="120"/>
    </row>
    <row r="18" spans="1:34" s="121" customFormat="1" ht="13" customHeight="1">
      <c r="A18" s="120"/>
      <c r="B18" s="275" t="str">
        <f>IF('Summary | Sumário'!D$6=Names!B$3,Names!AL8,Names!AM8)</f>
        <v>Cost of risk (%) (Excl. Antic. of CC Receivables)</v>
      </c>
      <c r="C18" s="289">
        <f>C13/C15</f>
        <v>2.9005395627358637E-2</v>
      </c>
      <c r="D18" s="289">
        <f t="shared" ref="D18:S18" si="27">D13/D15</f>
        <v>3.1500109268915409E-2</v>
      </c>
      <c r="E18" s="289">
        <f t="shared" si="27"/>
        <v>4.5802613354702419E-2</v>
      </c>
      <c r="F18" s="289">
        <f t="shared" si="27"/>
        <v>5.4277610573951598E-2</v>
      </c>
      <c r="G18" s="289">
        <f t="shared" ref="G18:H18" si="28">G13/G15</f>
        <v>5.8746447324504264E-2</v>
      </c>
      <c r="H18" s="289">
        <f t="shared" si="28"/>
        <v>5.5045456943997782E-2</v>
      </c>
      <c r="I18" s="321"/>
      <c r="J18" s="289">
        <f t="shared" si="27"/>
        <v>4.4835468088771882E-2</v>
      </c>
      <c r="K18" s="289">
        <f t="shared" si="27"/>
        <v>5.8828232822545096E-2</v>
      </c>
      <c r="L18" s="289">
        <f t="shared" si="27"/>
        <v>4.0312072783731487E-2</v>
      </c>
      <c r="M18" s="289">
        <f t="shared" si="27"/>
        <v>4.5757190361961866E-2</v>
      </c>
      <c r="N18" s="289">
        <f t="shared" si="27"/>
        <v>7.0736914817324012E-2</v>
      </c>
      <c r="O18" s="289">
        <f t="shared" si="27"/>
        <v>5.1504595061945123E-2</v>
      </c>
      <c r="P18" s="289">
        <f t="shared" si="27"/>
        <v>5.1985884168725238E-2</v>
      </c>
      <c r="Q18" s="289">
        <f t="shared" si="27"/>
        <v>4.8456241449788252E-2</v>
      </c>
      <c r="R18" s="289">
        <f t="shared" si="27"/>
        <v>6.0291758635420592E-2</v>
      </c>
      <c r="S18" s="289">
        <f t="shared" si="27"/>
        <v>6.5105224567266029E-2</v>
      </c>
      <c r="T18" s="289">
        <f t="shared" ref="T18:U18" si="29">T13/T15</f>
        <v>6.2531244620099916E-2</v>
      </c>
      <c r="U18" s="289">
        <f t="shared" si="29"/>
        <v>5.4120456532074687E-2</v>
      </c>
      <c r="V18" s="289">
        <f t="shared" ref="V18:W18" si="30">V13/V15</f>
        <v>5.4225350175175012E-2</v>
      </c>
      <c r="W18" s="289">
        <f t="shared" si="30"/>
        <v>5.2796049565801279E-2</v>
      </c>
      <c r="X18" s="289">
        <f t="shared" ref="X18:Y18" si="31">X13/X15</f>
        <v>5.6562057571496446E-2</v>
      </c>
      <c r="Y18" s="289">
        <f t="shared" si="31"/>
        <v>5.7225330325462592E-2</v>
      </c>
      <c r="Z18" s="289">
        <f t="shared" ref="Z18" si="32">Z13/Z15</f>
        <v>5.630031733644153E-2</v>
      </c>
      <c r="AA18" s="321"/>
      <c r="AB18" s="369">
        <f>(Z18-Y18)*100</f>
        <v>-9.2501298902106233E-2</v>
      </c>
      <c r="AC18" s="369">
        <f>(Z18-V18)*100</f>
        <v>0.2074967161266518</v>
      </c>
      <c r="AD18" s="120"/>
      <c r="AE18" s="120"/>
      <c r="AF18" s="120"/>
      <c r="AG18" s="120"/>
      <c r="AH18" s="120"/>
    </row>
    <row r="19" spans="1:34" s="121" customFormat="1" ht="13" customHeight="1">
      <c r="A19" s="120"/>
      <c r="AD19" s="120"/>
      <c r="AE19" s="120"/>
      <c r="AF19" s="120"/>
      <c r="AG19" s="120"/>
      <c r="AH19" s="120"/>
    </row>
    <row r="20" spans="1:34" ht="13" customHeight="1">
      <c r="B20" s="120" t="str">
        <f>IF('Summary | Sumário'!D$6=Names!B$3,Names!AL9,Names!AM9)</f>
        <v>Note 1: 1Q22 managerial figure, excluding non-recurrent provision.</v>
      </c>
    </row>
  </sheetData>
  <sheetProtection algorithmName="SHA-512" hashValue="kRgsl51y5seZiQQXGkHXIioAAu0wGEYieTkstxtkKvipLmZWbiYoIOO80uQ1W4bJHuZEbKUR7HFkPTOaiZ2Q4Q==" saltValue="p7LNaY9Dz3ArVDlxkT0Th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J2:S3 B20 B2:F3" unlockedFormula="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3347-86B6-1F4F-BD4E-8994EF4F3A57}">
  <sheetPr codeName="Sheet3">
    <tabColor rgb="FFEB7100"/>
  </sheetPr>
  <dimension ref="A1:AL45"/>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55" customWidth="1"/>
    <col min="2" max="2" width="79" style="14" bestFit="1" customWidth="1"/>
    <col min="3" max="9" width="10.83203125" style="240" customWidth="1"/>
    <col min="10" max="10" width="2.83203125" style="240" customWidth="1"/>
    <col min="11" max="30" width="10.83203125" style="240" customWidth="1"/>
    <col min="31" max="31" width="12.1640625" style="240" bestFit="1" customWidth="1"/>
    <col min="32" max="32" width="4.83203125" style="240" customWidth="1"/>
    <col min="33" max="35" width="10.83203125" style="240" customWidth="1"/>
    <col min="36" max="36" width="10.83203125" style="155"/>
    <col min="37" max="38" width="10.83203125" style="155" customWidth="1"/>
    <col min="39" max="16384" width="10.83203125" style="155"/>
  </cols>
  <sheetData>
    <row r="1" spans="1:38" s="228" customFormat="1" ht="13" customHeight="1">
      <c r="B1" s="8"/>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row>
    <row r="2" spans="1:38" s="9" customFormat="1" ht="13" customHeight="1">
      <c r="B2" s="255" t="str">
        <f>IF('Summary | Sumário'!D6=Names!B3,Names!K1,Names!L1)</f>
        <v>Balance Sheet (IFRS, R$ Thousands)</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118">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1:38" s="228" customFormat="1" ht="13" customHeight="1">
      <c r="B3" s="13"/>
      <c r="C3" s="130"/>
      <c r="D3" s="130"/>
      <c r="E3" s="130"/>
      <c r="F3" s="130"/>
      <c r="G3" s="130"/>
      <c r="H3" s="130"/>
      <c r="I3" s="130"/>
      <c r="J3" s="131"/>
      <c r="K3" s="131"/>
      <c r="L3" s="131"/>
      <c r="M3" s="131"/>
      <c r="N3" s="131"/>
      <c r="O3" s="131"/>
      <c r="P3" s="131"/>
      <c r="Q3" s="131"/>
      <c r="R3" s="131"/>
      <c r="S3" s="131"/>
      <c r="T3" s="131"/>
      <c r="U3" s="131"/>
      <c r="V3" s="131"/>
      <c r="W3" s="131"/>
      <c r="X3" s="131"/>
      <c r="Y3" s="131"/>
      <c r="Z3" s="131"/>
      <c r="AA3" s="131"/>
      <c r="AB3" s="131"/>
      <c r="AC3" s="131"/>
      <c r="AD3" s="131"/>
      <c r="AE3" s="131"/>
      <c r="AF3" s="131"/>
      <c r="AG3" s="122"/>
      <c r="AH3" s="122"/>
      <c r="AI3" s="131"/>
    </row>
    <row r="4" spans="1:38" ht="13" customHeight="1">
      <c r="A4" s="225"/>
      <c r="B4" s="8" t="str">
        <f>IF('Summary | Sumário'!D6=Names!B3,Names!K2,Names!L2)</f>
        <v>Assets</v>
      </c>
      <c r="C4" s="230"/>
      <c r="D4" s="230"/>
      <c r="E4" s="230"/>
      <c r="F4" s="230"/>
      <c r="G4" s="230"/>
      <c r="H4" s="230"/>
      <c r="I4" s="230"/>
      <c r="J4" s="231"/>
      <c r="K4" s="230"/>
      <c r="L4" s="230"/>
      <c r="M4" s="230"/>
      <c r="N4" s="230"/>
      <c r="O4" s="230"/>
      <c r="P4" s="230"/>
      <c r="Q4" s="231"/>
      <c r="R4" s="231"/>
      <c r="S4" s="231"/>
      <c r="T4" s="231"/>
      <c r="U4" s="231"/>
      <c r="V4" s="231"/>
      <c r="W4" s="231"/>
      <c r="X4" s="231"/>
      <c r="Y4" s="231"/>
      <c r="Z4" s="231"/>
      <c r="AA4" s="231"/>
      <c r="AB4" s="231"/>
      <c r="AC4" s="231"/>
      <c r="AD4" s="231"/>
      <c r="AE4" s="231"/>
      <c r="AF4" s="231"/>
      <c r="AG4" s="155"/>
      <c r="AH4" s="155"/>
      <c r="AI4" s="231"/>
    </row>
    <row r="5" spans="1:38" ht="13" customHeight="1">
      <c r="A5" s="225"/>
      <c r="B5" s="21" t="str">
        <f>IF('Summary | Sumário'!D6=Names!B3,Names!K3,Names!L3)</f>
        <v>Cash and equivalents</v>
      </c>
      <c r="C5" s="232">
        <v>3114789</v>
      </c>
      <c r="D5" s="232">
        <v>2154687</v>
      </c>
      <c r="E5" s="232">
        <f>N5</f>
        <v>500446</v>
      </c>
      <c r="F5" s="232">
        <f>R5</f>
        <v>1331648</v>
      </c>
      <c r="G5" s="232">
        <f>V5</f>
        <v>4259379</v>
      </c>
      <c r="H5" s="232">
        <f>Z5</f>
        <v>1108393.9463064999</v>
      </c>
      <c r="I5" s="232">
        <f t="shared" ref="I5:I15" si="0">AD5</f>
        <v>3801513</v>
      </c>
      <c r="J5" s="233"/>
      <c r="K5" s="232">
        <v>906123</v>
      </c>
      <c r="L5" s="232">
        <v>5731007.0010000002</v>
      </c>
      <c r="M5" s="232">
        <v>451774.29800000001</v>
      </c>
      <c r="N5" s="232">
        <v>500446</v>
      </c>
      <c r="O5" s="232">
        <v>1171654</v>
      </c>
      <c r="P5" s="232">
        <v>1549158</v>
      </c>
      <c r="Q5" s="232">
        <v>838310</v>
      </c>
      <c r="R5" s="232">
        <v>1331648</v>
      </c>
      <c r="S5" s="232">
        <v>1791707</v>
      </c>
      <c r="T5" s="232">
        <v>3672219</v>
      </c>
      <c r="U5" s="232">
        <v>4297077.8057988677</v>
      </c>
      <c r="V5" s="232">
        <v>4259379</v>
      </c>
      <c r="W5" s="232">
        <v>2830309.989293688</v>
      </c>
      <c r="X5" s="232">
        <v>2797339.324</v>
      </c>
      <c r="Y5" s="232">
        <v>2273564.7124805599</v>
      </c>
      <c r="Z5" s="232">
        <v>1108393.9463064999</v>
      </c>
      <c r="AA5" s="232">
        <v>1458588</v>
      </c>
      <c r="AB5" s="232">
        <v>4834125</v>
      </c>
      <c r="AC5" s="232">
        <v>5695320</v>
      </c>
      <c r="AD5" s="232">
        <v>3801513</v>
      </c>
      <c r="AE5" s="232">
        <v>4296629</v>
      </c>
      <c r="AF5" s="233"/>
      <c r="AG5" s="246">
        <f t="shared" ref="AG5:AG15" si="1">AE5/AD5-1</f>
        <v>0.13024182739872248</v>
      </c>
      <c r="AH5" s="246">
        <f t="shared" ref="AH5:AH15" si="2">AE5/AA5-1</f>
        <v>1.9457454743903009</v>
      </c>
      <c r="AI5" s="233"/>
    </row>
    <row r="6" spans="1:38" ht="13" customHeight="1">
      <c r="A6" s="225"/>
      <c r="B6" s="15" t="str">
        <f>IF('Summary | Sumário'!D6=Names!B3,Names!K4,Names!L4)</f>
        <v>Amounts due from financial institutions, net of provisions for expected credit losses</v>
      </c>
      <c r="C6" s="233">
        <v>256097</v>
      </c>
      <c r="D6" s="233">
        <v>502369</v>
      </c>
      <c r="E6" s="233">
        <f t="shared" ref="E6:E15" si="3">N6</f>
        <v>2051862</v>
      </c>
      <c r="F6" s="233">
        <f t="shared" ref="F6:F15" si="4">R6</f>
        <v>4258856</v>
      </c>
      <c r="G6" s="233">
        <f t="shared" ref="G6:G15" si="5">V6</f>
        <v>3718505.7949100002</v>
      </c>
      <c r="H6" s="233">
        <f t="shared" ref="H6:H15" si="6">Z6</f>
        <v>6194960.1520200009</v>
      </c>
      <c r="I6" s="233">
        <f t="shared" si="0"/>
        <v>4600218</v>
      </c>
      <c r="J6" s="233"/>
      <c r="K6" s="233">
        <v>578499</v>
      </c>
      <c r="L6" s="233">
        <v>646905</v>
      </c>
      <c r="M6" s="233">
        <v>1408183</v>
      </c>
      <c r="N6" s="233">
        <v>2051862</v>
      </c>
      <c r="O6" s="233">
        <v>1807258</v>
      </c>
      <c r="P6" s="233">
        <v>1825289</v>
      </c>
      <c r="Q6" s="233">
        <v>3417500</v>
      </c>
      <c r="R6" s="233">
        <v>4258856</v>
      </c>
      <c r="S6" s="233">
        <v>3770074</v>
      </c>
      <c r="T6" s="233">
        <v>2556811</v>
      </c>
      <c r="U6" s="233">
        <v>3474243.8523399998</v>
      </c>
      <c r="V6" s="233">
        <v>3718505.7949100002</v>
      </c>
      <c r="W6" s="233">
        <v>4051287.3041199995</v>
      </c>
      <c r="X6" s="233">
        <v>5280321.6449999996</v>
      </c>
      <c r="Y6" s="233">
        <v>5225481.9997899998</v>
      </c>
      <c r="Z6" s="233">
        <v>6194960.1520200009</v>
      </c>
      <c r="AA6" s="233">
        <v>6595073</v>
      </c>
      <c r="AB6" s="233">
        <v>4952995</v>
      </c>
      <c r="AC6" s="233">
        <v>3275871</v>
      </c>
      <c r="AD6" s="233">
        <v>4600218</v>
      </c>
      <c r="AE6" s="233">
        <v>4757076</v>
      </c>
      <c r="AF6" s="233"/>
      <c r="AG6" s="248">
        <f t="shared" si="1"/>
        <v>3.409794927109977E-2</v>
      </c>
      <c r="AH6" s="248">
        <f t="shared" si="2"/>
        <v>-0.27869244207001198</v>
      </c>
      <c r="AI6" s="233"/>
    </row>
    <row r="7" spans="1:38" ht="13" customHeight="1">
      <c r="A7" s="225"/>
      <c r="B7" s="21" t="str">
        <f>IF('Summary | Sumário'!D6=Names!B3,Names!K5,Names!L5)</f>
        <v>Deposits at Central Bank of Brazil</v>
      </c>
      <c r="C7" s="232">
        <v>392280</v>
      </c>
      <c r="D7" s="232">
        <v>1709729</v>
      </c>
      <c r="E7" s="232">
        <f t="shared" si="3"/>
        <v>2399488</v>
      </c>
      <c r="F7" s="232">
        <f t="shared" si="4"/>
        <v>2854778</v>
      </c>
      <c r="G7" s="232">
        <f t="shared" si="5"/>
        <v>2664415</v>
      </c>
      <c r="H7" s="232">
        <f t="shared" si="6"/>
        <v>5285401.7280000001</v>
      </c>
      <c r="I7" s="232">
        <f t="shared" si="0"/>
        <v>7867658</v>
      </c>
      <c r="J7" s="233"/>
      <c r="K7" s="232">
        <v>1644359</v>
      </c>
      <c r="L7" s="232">
        <v>1593298</v>
      </c>
      <c r="M7" s="232">
        <v>2331697</v>
      </c>
      <c r="N7" s="232">
        <v>2399488</v>
      </c>
      <c r="O7" s="232">
        <v>2361774</v>
      </c>
      <c r="P7" s="232">
        <v>2580989</v>
      </c>
      <c r="Q7" s="232">
        <v>2686243</v>
      </c>
      <c r="R7" s="232">
        <v>2854778</v>
      </c>
      <c r="S7" s="232">
        <v>2993616</v>
      </c>
      <c r="T7" s="232">
        <v>1703869</v>
      </c>
      <c r="U7" s="232">
        <v>2190872.3033499997</v>
      </c>
      <c r="V7" s="232">
        <v>2664415</v>
      </c>
      <c r="W7" s="232">
        <v>2925658.3690599999</v>
      </c>
      <c r="X7" s="232">
        <v>3725774.7710000002</v>
      </c>
      <c r="Y7" s="232">
        <v>4185155.9511100003</v>
      </c>
      <c r="Z7" s="232">
        <v>5285401.7280000001</v>
      </c>
      <c r="AA7" s="232">
        <v>5648238</v>
      </c>
      <c r="AB7" s="232">
        <v>6179662</v>
      </c>
      <c r="AC7" s="232">
        <v>7072746</v>
      </c>
      <c r="AD7" s="232">
        <v>7867658</v>
      </c>
      <c r="AE7" s="232">
        <v>7887762</v>
      </c>
      <c r="AF7" s="233"/>
      <c r="AG7" s="246">
        <f t="shared" si="1"/>
        <v>2.5552712128564803E-3</v>
      </c>
      <c r="AH7" s="246">
        <f t="shared" si="2"/>
        <v>0.39649958093125681</v>
      </c>
      <c r="AI7" s="233"/>
    </row>
    <row r="8" spans="1:38" ht="13" customHeight="1">
      <c r="A8" s="225"/>
      <c r="B8" s="696" t="str">
        <f>IF('Summary | Sumário'!D6=Names!B3,Names!K6,Names!L6)</f>
        <v>Securities, net of provisions for expected credit losses</v>
      </c>
      <c r="C8" s="233">
        <v>1155094</v>
      </c>
      <c r="D8" s="233">
        <v>5812622</v>
      </c>
      <c r="E8" s="233">
        <f t="shared" si="3"/>
        <v>12757687</v>
      </c>
      <c r="F8" s="233">
        <f t="shared" si="4"/>
        <v>12448565</v>
      </c>
      <c r="G8" s="233">
        <f t="shared" si="5"/>
        <v>16868112</v>
      </c>
      <c r="H8" s="233">
        <f t="shared" si="6"/>
        <v>23899551.020405103</v>
      </c>
      <c r="I8" s="233">
        <f t="shared" si="0"/>
        <v>29010323</v>
      </c>
      <c r="J8" s="233"/>
      <c r="K8" s="233">
        <v>6619726</v>
      </c>
      <c r="L8" s="233">
        <v>8230481</v>
      </c>
      <c r="M8" s="233">
        <v>13241180</v>
      </c>
      <c r="N8" s="233">
        <v>12757687</v>
      </c>
      <c r="O8" s="233">
        <v>12335401</v>
      </c>
      <c r="P8" s="233">
        <v>12710051</v>
      </c>
      <c r="Q8" s="233">
        <v>13373465</v>
      </c>
      <c r="R8" s="233">
        <v>12448565</v>
      </c>
      <c r="S8" s="233">
        <v>12535351</v>
      </c>
      <c r="T8" s="233">
        <v>14169684</v>
      </c>
      <c r="U8" s="233">
        <v>14908297</v>
      </c>
      <c r="V8" s="233">
        <v>16868112</v>
      </c>
      <c r="W8" s="233">
        <v>18167251</v>
      </c>
      <c r="X8" s="233">
        <v>18276425.519000001</v>
      </c>
      <c r="Y8" s="233">
        <v>20586354.700983003</v>
      </c>
      <c r="Z8" s="233">
        <v>23899551.020405103</v>
      </c>
      <c r="AA8" s="233">
        <v>24703003</v>
      </c>
      <c r="AB8" s="233">
        <v>23860348</v>
      </c>
      <c r="AC8" s="233">
        <v>27078010</v>
      </c>
      <c r="AD8" s="233">
        <v>29010323</v>
      </c>
      <c r="AE8" s="233">
        <v>27340856</v>
      </c>
      <c r="AF8" s="233"/>
      <c r="AG8" s="248">
        <f t="shared" si="1"/>
        <v>-5.7547342716590899E-2</v>
      </c>
      <c r="AH8" s="248">
        <f t="shared" si="2"/>
        <v>0.10678268548969538</v>
      </c>
      <c r="AI8" s="233"/>
    </row>
    <row r="9" spans="1:38" ht="13" customHeight="1">
      <c r="A9" s="225"/>
      <c r="B9" s="21" t="str">
        <f>IF('Summary | Sumário'!D6=Names!B3,Names!K7,Names!L7)</f>
        <v>Derivative financial assets</v>
      </c>
      <c r="C9" s="232">
        <v>0</v>
      </c>
      <c r="D9" s="232">
        <v>27513</v>
      </c>
      <c r="E9" s="232">
        <f t="shared" si="3"/>
        <v>86948</v>
      </c>
      <c r="F9" s="232">
        <f t="shared" si="4"/>
        <v>0</v>
      </c>
      <c r="G9" s="232">
        <f t="shared" si="5"/>
        <v>4238</v>
      </c>
      <c r="H9" s="232">
        <f t="shared" si="6"/>
        <v>562.80100000000004</v>
      </c>
      <c r="I9" s="232">
        <f t="shared" si="0"/>
        <v>58915</v>
      </c>
      <c r="J9" s="233"/>
      <c r="K9" s="232">
        <v>18603</v>
      </c>
      <c r="L9" s="232">
        <v>11684</v>
      </c>
      <c r="M9" s="232">
        <v>7643</v>
      </c>
      <c r="N9" s="232">
        <v>86948</v>
      </c>
      <c r="O9" s="232">
        <v>10410</v>
      </c>
      <c r="P9" s="232">
        <v>3212</v>
      </c>
      <c r="Q9" s="232">
        <v>581</v>
      </c>
      <c r="R9" s="232">
        <v>0</v>
      </c>
      <c r="S9" s="232">
        <v>1122</v>
      </c>
      <c r="T9" s="232">
        <v>3625</v>
      </c>
      <c r="U9" s="232">
        <v>9388.5369900000005</v>
      </c>
      <c r="V9" s="232">
        <v>4238</v>
      </c>
      <c r="W9" s="232">
        <v>7392.1129600000004</v>
      </c>
      <c r="X9" s="232">
        <v>7177.4260000000004</v>
      </c>
      <c r="Y9" s="232">
        <v>18488.90812</v>
      </c>
      <c r="Z9" s="232">
        <v>562.80100000000004</v>
      </c>
      <c r="AA9" s="232">
        <v>8163</v>
      </c>
      <c r="AB9" s="232">
        <v>690</v>
      </c>
      <c r="AC9" s="232">
        <v>2493</v>
      </c>
      <c r="AD9" s="232">
        <v>58915</v>
      </c>
      <c r="AE9" s="232">
        <v>31548</v>
      </c>
      <c r="AF9" s="233"/>
      <c r="AG9" s="246">
        <f t="shared" si="1"/>
        <v>-0.46451667656793683</v>
      </c>
      <c r="AH9" s="246">
        <f t="shared" si="2"/>
        <v>2.8647556045571481</v>
      </c>
      <c r="AI9" s="233"/>
    </row>
    <row r="10" spans="1:38" ht="13" customHeight="1">
      <c r="A10" s="225"/>
      <c r="B10" s="696" t="str">
        <f>IF('Summary | Sumário'!D$6=Names!B$3,Names!K8,Names!L8)</f>
        <v>Loans and advances to customers, net of provisions for expected credit losses</v>
      </c>
      <c r="C10" s="233">
        <v>4561824</v>
      </c>
      <c r="D10" s="233">
        <v>8507703</v>
      </c>
      <c r="E10" s="233">
        <f t="shared" si="3"/>
        <v>16535430</v>
      </c>
      <c r="F10" s="233">
        <f t="shared" si="4"/>
        <v>21379916</v>
      </c>
      <c r="G10" s="233">
        <f t="shared" si="5"/>
        <v>27900543</v>
      </c>
      <c r="H10" s="233">
        <f t="shared" si="6"/>
        <v>33327355.1973699</v>
      </c>
      <c r="I10" s="233">
        <f t="shared" si="0"/>
        <v>45251104</v>
      </c>
      <c r="J10" s="233"/>
      <c r="K10" s="233">
        <v>9908120</v>
      </c>
      <c r="L10" s="233">
        <v>12040483</v>
      </c>
      <c r="M10" s="233">
        <v>14301537</v>
      </c>
      <c r="N10" s="233">
        <v>16535430</v>
      </c>
      <c r="O10" s="233">
        <v>17374632</v>
      </c>
      <c r="P10" s="233">
        <v>18510189</v>
      </c>
      <c r="Q10" s="233">
        <v>19820903</v>
      </c>
      <c r="R10" s="233">
        <v>21379916</v>
      </c>
      <c r="S10" s="233">
        <v>22371167</v>
      </c>
      <c r="T10" s="233">
        <v>23523982</v>
      </c>
      <c r="U10" s="233">
        <v>25296620</v>
      </c>
      <c r="V10" s="233">
        <v>27900543</v>
      </c>
      <c r="W10" s="233">
        <v>28826998.881090201</v>
      </c>
      <c r="X10" s="233">
        <v>30806640.206</v>
      </c>
      <c r="Y10" s="233">
        <v>31478421.7243573</v>
      </c>
      <c r="Z10" s="233">
        <v>33327355.1973699</v>
      </c>
      <c r="AA10" s="233">
        <v>35088280</v>
      </c>
      <c r="AB10" s="233">
        <v>37779506</v>
      </c>
      <c r="AC10" s="233">
        <v>41113584</v>
      </c>
      <c r="AD10" s="233">
        <v>45251104</v>
      </c>
      <c r="AE10" s="233">
        <v>46485365</v>
      </c>
      <c r="AF10" s="233"/>
      <c r="AG10" s="248">
        <f t="shared" si="1"/>
        <v>2.7275820718097865E-2</v>
      </c>
      <c r="AH10" s="248">
        <f t="shared" si="2"/>
        <v>0.32481173200852242</v>
      </c>
      <c r="AI10" s="233"/>
    </row>
    <row r="11" spans="1:38" ht="13" customHeight="1">
      <c r="A11" s="225"/>
      <c r="B11" s="21" t="str">
        <f>IF('Summary | Sumário'!D$6=Names!B$3,Names!K11,Names!L11)</f>
        <v>Property and equipment</v>
      </c>
      <c r="C11" s="232">
        <v>91851</v>
      </c>
      <c r="D11" s="232">
        <v>137846</v>
      </c>
      <c r="E11" s="232">
        <f t="shared" si="3"/>
        <v>163475</v>
      </c>
      <c r="F11" s="232">
        <f t="shared" si="4"/>
        <v>188019</v>
      </c>
      <c r="G11" s="232">
        <f t="shared" si="5"/>
        <v>167547</v>
      </c>
      <c r="H11" s="232">
        <f t="shared" si="6"/>
        <v>369941.72452466295</v>
      </c>
      <c r="I11" s="232">
        <f t="shared" si="0"/>
        <v>381404</v>
      </c>
      <c r="J11" s="233"/>
      <c r="K11" s="232">
        <v>149132</v>
      </c>
      <c r="L11" s="232">
        <v>158686</v>
      </c>
      <c r="M11" s="232">
        <v>379252</v>
      </c>
      <c r="N11" s="232">
        <v>163475</v>
      </c>
      <c r="O11" s="232">
        <v>204039</v>
      </c>
      <c r="P11" s="232">
        <v>200804</v>
      </c>
      <c r="Q11" s="232">
        <v>193905</v>
      </c>
      <c r="R11" s="232">
        <v>188019</v>
      </c>
      <c r="S11" s="232">
        <v>180923</v>
      </c>
      <c r="T11" s="232">
        <v>179317</v>
      </c>
      <c r="U11" s="232">
        <v>173677</v>
      </c>
      <c r="V11" s="232">
        <v>167547</v>
      </c>
      <c r="W11" s="232">
        <v>187076.45079360603</v>
      </c>
      <c r="X11" s="232">
        <v>193646.723</v>
      </c>
      <c r="Y11" s="232">
        <v>360062.75075838901</v>
      </c>
      <c r="Z11" s="232">
        <v>369941.72452466295</v>
      </c>
      <c r="AA11" s="232">
        <v>359211</v>
      </c>
      <c r="AB11" s="232">
        <v>377545</v>
      </c>
      <c r="AC11" s="232">
        <v>367318</v>
      </c>
      <c r="AD11" s="232">
        <v>381404</v>
      </c>
      <c r="AE11" s="232">
        <v>363622</v>
      </c>
      <c r="AF11" s="233"/>
      <c r="AG11" s="313">
        <f t="shared" si="1"/>
        <v>-4.6622479051084964E-2</v>
      </c>
      <c r="AH11" s="313">
        <f t="shared" si="2"/>
        <v>1.2279690766708207E-2</v>
      </c>
      <c r="AI11" s="233"/>
    </row>
    <row r="12" spans="1:38" ht="13" customHeight="1">
      <c r="A12" s="225"/>
      <c r="B12" s="15" t="str">
        <f>IF('Summary | Sumário'!D$6=Names!B$3,Names!K12,Names!L12)</f>
        <v>Intangible assets</v>
      </c>
      <c r="C12" s="233">
        <v>79248</v>
      </c>
      <c r="D12" s="233">
        <v>224516</v>
      </c>
      <c r="E12" s="233">
        <f t="shared" si="3"/>
        <v>430504</v>
      </c>
      <c r="F12" s="233">
        <f t="shared" si="4"/>
        <v>1238629</v>
      </c>
      <c r="G12" s="233">
        <f t="shared" si="5"/>
        <v>1345304</v>
      </c>
      <c r="H12" s="233">
        <f t="shared" si="6"/>
        <v>1836052.5846471</v>
      </c>
      <c r="I12" s="233">
        <f t="shared" si="0"/>
        <v>2023939</v>
      </c>
      <c r="J12" s="233"/>
      <c r="K12" s="233">
        <v>303418</v>
      </c>
      <c r="L12" s="233">
        <v>348745</v>
      </c>
      <c r="M12" s="233">
        <v>569127.75</v>
      </c>
      <c r="N12" s="233">
        <v>430504</v>
      </c>
      <c r="O12" s="233">
        <v>1316366</v>
      </c>
      <c r="P12" s="233">
        <v>1189909</v>
      </c>
      <c r="Q12" s="233">
        <v>1209471</v>
      </c>
      <c r="R12" s="233">
        <v>1238629</v>
      </c>
      <c r="S12" s="233">
        <v>1274423</v>
      </c>
      <c r="T12" s="233">
        <v>1303182</v>
      </c>
      <c r="U12" s="233">
        <v>1322350</v>
      </c>
      <c r="V12" s="233">
        <v>1345304</v>
      </c>
      <c r="W12" s="233">
        <v>1596177</v>
      </c>
      <c r="X12" s="233">
        <v>1661858.0249999999</v>
      </c>
      <c r="Y12" s="233">
        <v>1711148.26883</v>
      </c>
      <c r="Z12" s="233">
        <v>1836052.5846471</v>
      </c>
      <c r="AA12" s="233">
        <v>1925819</v>
      </c>
      <c r="AB12" s="233">
        <v>1970727</v>
      </c>
      <c r="AC12" s="233">
        <v>2006644</v>
      </c>
      <c r="AD12" s="233">
        <v>2023939</v>
      </c>
      <c r="AE12" s="233">
        <v>2100275</v>
      </c>
      <c r="AF12" s="233"/>
      <c r="AG12" s="248">
        <f t="shared" si="1"/>
        <v>3.7716551734019665E-2</v>
      </c>
      <c r="AH12" s="248">
        <f t="shared" si="2"/>
        <v>9.058795245036011E-2</v>
      </c>
      <c r="AI12" s="233"/>
    </row>
    <row r="13" spans="1:38" ht="13" customHeight="1">
      <c r="A13" s="225"/>
      <c r="B13" s="21" t="str">
        <f>IF('Summary | Sumário'!D$6=Names!B$3,Names!K13,Names!L13)</f>
        <v>Deferred tax assets</v>
      </c>
      <c r="C13" s="232">
        <v>112217</v>
      </c>
      <c r="D13" s="232">
        <v>206018</v>
      </c>
      <c r="E13" s="232">
        <f t="shared" si="3"/>
        <v>695525.47689649905</v>
      </c>
      <c r="F13" s="232">
        <f t="shared" si="4"/>
        <v>978148</v>
      </c>
      <c r="G13" s="232">
        <f t="shared" si="5"/>
        <v>1033535</v>
      </c>
      <c r="H13" s="232">
        <f t="shared" si="6"/>
        <v>1705054.04740591</v>
      </c>
      <c r="I13" s="232">
        <f t="shared" si="0"/>
        <v>1789304</v>
      </c>
      <c r="J13" s="233"/>
      <c r="K13" s="232">
        <v>374673</v>
      </c>
      <c r="L13" s="232">
        <v>512637</v>
      </c>
      <c r="M13" s="232">
        <v>89648</v>
      </c>
      <c r="N13" s="232">
        <v>695525.47689649905</v>
      </c>
      <c r="O13" s="232">
        <v>831698</v>
      </c>
      <c r="P13" s="232">
        <v>931537</v>
      </c>
      <c r="Q13" s="232">
        <v>872798</v>
      </c>
      <c r="R13" s="232">
        <v>978148</v>
      </c>
      <c r="S13" s="232">
        <v>1008370</v>
      </c>
      <c r="T13" s="232">
        <v>940399</v>
      </c>
      <c r="U13" s="232">
        <v>1071248</v>
      </c>
      <c r="V13" s="232">
        <v>1033535</v>
      </c>
      <c r="W13" s="232">
        <v>1082102</v>
      </c>
      <c r="X13" s="232">
        <v>1218264.611</v>
      </c>
      <c r="Y13" s="232">
        <v>1411485.33995961</v>
      </c>
      <c r="Z13" s="232">
        <v>1705054.04740591</v>
      </c>
      <c r="AA13" s="232">
        <v>1848861</v>
      </c>
      <c r="AB13" s="232">
        <v>1719491</v>
      </c>
      <c r="AC13" s="232">
        <v>1702928</v>
      </c>
      <c r="AD13" s="232">
        <v>1789304</v>
      </c>
      <c r="AE13" s="232">
        <v>1916947</v>
      </c>
      <c r="AF13" s="233"/>
      <c r="AG13" s="246">
        <f t="shared" si="1"/>
        <v>7.1336676160115964E-2</v>
      </c>
      <c r="AH13" s="246">
        <f t="shared" si="2"/>
        <v>3.6825916063998321E-2</v>
      </c>
      <c r="AI13" s="233"/>
    </row>
    <row r="14" spans="1:38" ht="13" customHeight="1">
      <c r="A14" s="225"/>
      <c r="B14" s="15" t="str">
        <f>IF('Summary | Sumário'!D$6=Names!B$3,Names!K14,Names!L14)</f>
        <v>Other assets</v>
      </c>
      <c r="C14" s="202">
        <v>313686</v>
      </c>
      <c r="D14" s="202">
        <v>518681</v>
      </c>
      <c r="E14" s="202">
        <f t="shared" si="3"/>
        <v>1004972.63349</v>
      </c>
      <c r="F14" s="202">
        <f t="shared" si="4"/>
        <v>1664541</v>
      </c>
      <c r="G14" s="202">
        <f t="shared" si="5"/>
        <v>2390220</v>
      </c>
      <c r="H14" s="202">
        <f t="shared" si="6"/>
        <v>2731157.1498476812</v>
      </c>
      <c r="I14" s="202">
        <f t="shared" si="0"/>
        <v>3827140</v>
      </c>
      <c r="J14" s="202"/>
      <c r="K14" s="202">
        <v>934014</v>
      </c>
      <c r="L14" s="202">
        <v>1035567.2039999999</v>
      </c>
      <c r="M14" s="202">
        <v>982550.75381999998</v>
      </c>
      <c r="N14" s="202">
        <v>1004972.63349</v>
      </c>
      <c r="O14" s="202">
        <v>1198962</v>
      </c>
      <c r="P14" s="202">
        <v>1432641</v>
      </c>
      <c r="Q14" s="202">
        <v>1430891</v>
      </c>
      <c r="R14" s="202">
        <v>1664541</v>
      </c>
      <c r="S14" s="202">
        <v>1774341</v>
      </c>
      <c r="T14" s="202">
        <v>1950241</v>
      </c>
      <c r="U14" s="202">
        <v>2335063.9006899996</v>
      </c>
      <c r="V14" s="202">
        <v>2390220</v>
      </c>
      <c r="W14" s="202">
        <v>2872308.3888099999</v>
      </c>
      <c r="X14" s="202">
        <v>2606012.1559999995</v>
      </c>
      <c r="Y14" s="202">
        <v>2677913.0496092122</v>
      </c>
      <c r="Z14" s="202">
        <v>2731157.1498476812</v>
      </c>
      <c r="AA14" s="202">
        <v>2923328</v>
      </c>
      <c r="AB14" s="202">
        <v>3057830</v>
      </c>
      <c r="AC14" s="202">
        <v>3493594</v>
      </c>
      <c r="AD14" s="202">
        <v>3827140</v>
      </c>
      <c r="AE14" s="202">
        <v>3890100</v>
      </c>
      <c r="AF14" s="202"/>
      <c r="AG14" s="248">
        <f t="shared" si="1"/>
        <v>1.6450926801736987E-2</v>
      </c>
      <c r="AH14" s="248">
        <f t="shared" si="2"/>
        <v>0.3307093832782364</v>
      </c>
      <c r="AI14" s="202"/>
    </row>
    <row r="15" spans="1:38" ht="13" customHeight="1">
      <c r="A15" s="225"/>
      <c r="B15" s="265" t="str">
        <f>IF('Summary | Sumário'!D$6=Names!B$3,Names!K15,Names!L15)</f>
        <v>Total assets</v>
      </c>
      <c r="C15" s="266">
        <v>10077086</v>
      </c>
      <c r="D15" s="266">
        <v>19921613</v>
      </c>
      <c r="E15" s="266">
        <f t="shared" si="3"/>
        <v>36626337.428616509</v>
      </c>
      <c r="F15" s="266">
        <f t="shared" si="4"/>
        <v>46343100</v>
      </c>
      <c r="G15" s="266">
        <f t="shared" si="5"/>
        <v>60351797</v>
      </c>
      <c r="H15" s="266">
        <f t="shared" si="6"/>
        <v>76458430.351526901</v>
      </c>
      <c r="I15" s="266">
        <f t="shared" si="0"/>
        <v>98611518</v>
      </c>
      <c r="J15" s="237"/>
      <c r="K15" s="266">
        <v>21436667</v>
      </c>
      <c r="L15" s="266">
        <v>30309493.204999998</v>
      </c>
      <c r="M15" s="266">
        <v>33762592.801820002</v>
      </c>
      <c r="N15" s="266">
        <v>36626337.428616509</v>
      </c>
      <c r="O15" s="266">
        <v>38612194</v>
      </c>
      <c r="P15" s="266">
        <v>40933779</v>
      </c>
      <c r="Q15" s="266">
        <v>43844067</v>
      </c>
      <c r="R15" s="266">
        <v>46343100</v>
      </c>
      <c r="S15" s="266">
        <v>47701094</v>
      </c>
      <c r="T15" s="266">
        <v>50003329</v>
      </c>
      <c r="U15" s="266">
        <v>55078840</v>
      </c>
      <c r="V15" s="266">
        <v>60351797</v>
      </c>
      <c r="W15" s="266">
        <v>62546562.496127494</v>
      </c>
      <c r="X15" s="266">
        <v>66573460.406000003</v>
      </c>
      <c r="Y15" s="266">
        <v>69928077.405998006</v>
      </c>
      <c r="Z15" s="266">
        <v>76458430.351526901</v>
      </c>
      <c r="AA15" s="266">
        <v>80558566</v>
      </c>
      <c r="AB15" s="266">
        <v>84732919</v>
      </c>
      <c r="AC15" s="266">
        <v>91808508</v>
      </c>
      <c r="AD15" s="266">
        <v>98611518</v>
      </c>
      <c r="AE15" s="266">
        <v>99070180</v>
      </c>
      <c r="AF15" s="237"/>
      <c r="AG15" s="323">
        <f t="shared" si="1"/>
        <v>4.651201089917345E-3</v>
      </c>
      <c r="AH15" s="323">
        <f t="shared" si="2"/>
        <v>0.22979075868852972</v>
      </c>
      <c r="AI15" s="214"/>
    </row>
    <row r="16" spans="1:38" ht="13" customHeight="1">
      <c r="A16" s="225"/>
      <c r="B16" s="3"/>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324"/>
      <c r="AH16" s="324"/>
      <c r="AI16" s="214"/>
      <c r="AJ16" s="234"/>
    </row>
    <row r="17" spans="1:36" ht="13" customHeight="1">
      <c r="A17" s="225"/>
      <c r="B17" s="30" t="str">
        <f>IF('Summary | Sumário'!D$6=Names!B$3,Names!K16,Names!L16)</f>
        <v>Liabilities</v>
      </c>
      <c r="C17" s="226"/>
      <c r="D17" s="226"/>
      <c r="E17" s="226"/>
      <c r="F17" s="226"/>
      <c r="G17" s="226"/>
      <c r="H17" s="226"/>
      <c r="I17" s="226"/>
      <c r="J17" s="214"/>
      <c r="K17" s="226"/>
      <c r="L17" s="226"/>
      <c r="M17" s="226"/>
      <c r="N17" s="226"/>
      <c r="O17" s="226"/>
      <c r="P17" s="226"/>
      <c r="Q17" s="226"/>
      <c r="R17" s="226"/>
      <c r="S17" s="226"/>
      <c r="T17" s="226"/>
      <c r="U17" s="226"/>
      <c r="V17" s="226"/>
      <c r="W17" s="226"/>
      <c r="X17" s="226"/>
      <c r="Y17" s="226"/>
      <c r="Z17" s="226"/>
      <c r="AA17" s="226"/>
      <c r="AB17" s="226"/>
      <c r="AC17" s="226"/>
      <c r="AD17" s="226"/>
      <c r="AE17" s="226"/>
      <c r="AF17" s="214"/>
      <c r="AG17" s="319"/>
      <c r="AH17" s="319"/>
      <c r="AI17" s="214"/>
    </row>
    <row r="18" spans="1:36" ht="13" customHeight="1">
      <c r="A18" s="225"/>
      <c r="B18" s="696" t="str">
        <f>IF('Summary | Sumário'!D$6=Names!B$3,Names!K17,Names!L17)</f>
        <v>Deposits from banks</v>
      </c>
      <c r="C18" s="233">
        <v>1152492</v>
      </c>
      <c r="D18" s="233">
        <v>1756913</v>
      </c>
      <c r="E18" s="233">
        <f t="shared" ref="E18:E26" si="7">N18</f>
        <v>5341464</v>
      </c>
      <c r="F18" s="233">
        <f t="shared" ref="F18:F26" si="8">R18</f>
        <v>7906897</v>
      </c>
      <c r="G18" s="233">
        <f t="shared" ref="G18:G27" si="9">V18</f>
        <v>9522469</v>
      </c>
      <c r="H18" s="233">
        <f t="shared" ref="H18:H27" si="10">Z18</f>
        <v>11319577</v>
      </c>
      <c r="I18" s="233">
        <f t="shared" ref="I18:I27" si="11">AD18</f>
        <v>14585704</v>
      </c>
      <c r="J18" s="202"/>
      <c r="K18" s="233">
        <v>2236178</v>
      </c>
      <c r="L18" s="233">
        <v>3003367</v>
      </c>
      <c r="M18" s="233">
        <v>4235618</v>
      </c>
      <c r="N18" s="233">
        <v>5341464</v>
      </c>
      <c r="O18" s="233">
        <v>5917844</v>
      </c>
      <c r="P18" s="202">
        <v>6945236</v>
      </c>
      <c r="Q18" s="202">
        <v>7349464</v>
      </c>
      <c r="R18" s="202">
        <v>7906897</v>
      </c>
      <c r="S18" s="202">
        <v>8216538</v>
      </c>
      <c r="T18" s="202">
        <v>8023953</v>
      </c>
      <c r="U18" s="202">
        <v>9418244.5561900008</v>
      </c>
      <c r="V18" s="202">
        <v>9522469</v>
      </c>
      <c r="W18" s="202">
        <v>10483086.949449999</v>
      </c>
      <c r="X18" s="202">
        <v>10913779.435000001</v>
      </c>
      <c r="Y18" s="202">
        <v>10403853</v>
      </c>
      <c r="Z18" s="202">
        <v>11319577</v>
      </c>
      <c r="AA18" s="202">
        <v>13807683</v>
      </c>
      <c r="AB18" s="202">
        <v>13885147</v>
      </c>
      <c r="AC18" s="202">
        <v>14253393</v>
      </c>
      <c r="AD18" s="202">
        <v>14585704</v>
      </c>
      <c r="AE18" s="202">
        <v>15730114</v>
      </c>
      <c r="AF18" s="202"/>
      <c r="AG18" s="209">
        <f t="shared" ref="AG18:AG27" si="12">AE18/AD18-1</f>
        <v>7.846107393924906E-2</v>
      </c>
      <c r="AH18" s="209">
        <f t="shared" ref="AH18:AH27" si="13">AE18/AA18-1</f>
        <v>0.13922907992600941</v>
      </c>
      <c r="AI18" s="202"/>
    </row>
    <row r="19" spans="1:36" ht="13" customHeight="1">
      <c r="A19" s="225"/>
      <c r="B19" s="21" t="str">
        <f>IF('Summary | Sumário'!D$6=Names!B$3,Names!K18,Names!L18)</f>
        <v>Deposits from customers</v>
      </c>
      <c r="C19" s="232">
        <v>4714439</v>
      </c>
      <c r="D19" s="232">
        <v>12436632</v>
      </c>
      <c r="E19" s="232">
        <f t="shared" si="7"/>
        <v>18333543</v>
      </c>
      <c r="F19" s="232">
        <f t="shared" si="8"/>
        <v>23642804</v>
      </c>
      <c r="G19" s="232">
        <f t="shared" si="9"/>
        <v>32651620</v>
      </c>
      <c r="H19" s="232">
        <f t="shared" si="10"/>
        <v>42803229</v>
      </c>
      <c r="I19" s="232">
        <f t="shared" si="11"/>
        <v>54883084</v>
      </c>
      <c r="J19" s="202"/>
      <c r="K19" s="232">
        <v>13392679</v>
      </c>
      <c r="L19" s="232">
        <v>15629130.619999999</v>
      </c>
      <c r="M19" s="232">
        <v>17093473.298</v>
      </c>
      <c r="N19" s="232">
        <v>18333543</v>
      </c>
      <c r="O19" s="232">
        <v>18958118</v>
      </c>
      <c r="P19" s="201">
        <v>19746409</v>
      </c>
      <c r="Q19" s="201">
        <v>21452026</v>
      </c>
      <c r="R19" s="201">
        <v>23642804</v>
      </c>
      <c r="S19" s="201">
        <v>24182006</v>
      </c>
      <c r="T19" s="201">
        <v>26299326</v>
      </c>
      <c r="U19" s="201">
        <v>29063988</v>
      </c>
      <c r="V19" s="201">
        <v>32651620</v>
      </c>
      <c r="W19" s="201">
        <v>32643444.086135942</v>
      </c>
      <c r="X19" s="201">
        <v>35978318.071000002</v>
      </c>
      <c r="Y19" s="201">
        <v>39129759</v>
      </c>
      <c r="Z19" s="201">
        <v>42803229</v>
      </c>
      <c r="AA19" s="201">
        <v>43647768</v>
      </c>
      <c r="AB19" s="201">
        <v>46667343</v>
      </c>
      <c r="AC19" s="201">
        <v>51496386</v>
      </c>
      <c r="AD19" s="201">
        <v>54883084</v>
      </c>
      <c r="AE19" s="201">
        <v>54150905</v>
      </c>
      <c r="AF19" s="202"/>
      <c r="AG19" s="335">
        <f t="shared" si="12"/>
        <v>-1.3340704396276326E-2</v>
      </c>
      <c r="AH19" s="335">
        <f t="shared" si="13"/>
        <v>0.2406339998874627</v>
      </c>
      <c r="AI19" s="202"/>
      <c r="AJ19" s="235"/>
    </row>
    <row r="20" spans="1:36" ht="13" customHeight="1">
      <c r="A20" s="225"/>
      <c r="B20" s="15" t="str">
        <f>IF('Summary | Sumário'!D$6=Names!B$3,Names!K19,Names!L19)</f>
        <v>Securities issued</v>
      </c>
      <c r="C20" s="233">
        <v>1719580</v>
      </c>
      <c r="D20" s="233">
        <v>1729436</v>
      </c>
      <c r="E20" s="233">
        <f t="shared" si="7"/>
        <v>3572093</v>
      </c>
      <c r="F20" s="233">
        <f t="shared" si="8"/>
        <v>6202165</v>
      </c>
      <c r="G20" s="233">
        <f t="shared" si="9"/>
        <v>8095042</v>
      </c>
      <c r="H20" s="233">
        <f t="shared" si="10"/>
        <v>9890219</v>
      </c>
      <c r="I20" s="233">
        <f t="shared" si="11"/>
        <v>14127144</v>
      </c>
      <c r="J20" s="202"/>
      <c r="K20" s="233">
        <v>1704892</v>
      </c>
      <c r="L20" s="233">
        <v>2081723</v>
      </c>
      <c r="M20" s="233">
        <v>3093320</v>
      </c>
      <c r="N20" s="233">
        <v>3572093</v>
      </c>
      <c r="O20" s="233">
        <v>4280956</v>
      </c>
      <c r="P20" s="202">
        <v>6104223</v>
      </c>
      <c r="Q20" s="202">
        <v>6916919</v>
      </c>
      <c r="R20" s="202">
        <v>6202165</v>
      </c>
      <c r="S20" s="202">
        <v>6640557</v>
      </c>
      <c r="T20" s="202">
        <v>7006191.0407400001</v>
      </c>
      <c r="U20" s="202">
        <v>7462564.5372699993</v>
      </c>
      <c r="V20" s="202">
        <v>8095042</v>
      </c>
      <c r="W20" s="202">
        <v>8249142.2142699994</v>
      </c>
      <c r="X20" s="202">
        <v>8543248.1730000004</v>
      </c>
      <c r="Y20" s="202">
        <v>9047656</v>
      </c>
      <c r="Z20" s="202">
        <v>9890219</v>
      </c>
      <c r="AA20" s="202">
        <v>10697969</v>
      </c>
      <c r="AB20" s="202">
        <v>11378259</v>
      </c>
      <c r="AC20" s="202">
        <v>12242366</v>
      </c>
      <c r="AD20" s="202">
        <v>14127144</v>
      </c>
      <c r="AE20" s="202">
        <v>14998709</v>
      </c>
      <c r="AF20" s="202"/>
      <c r="AG20" s="209">
        <f t="shared" si="12"/>
        <v>6.1694352375823547E-2</v>
      </c>
      <c r="AH20" s="209">
        <f t="shared" si="13"/>
        <v>0.40201462539291333</v>
      </c>
      <c r="AI20" s="202"/>
    </row>
    <row r="21" spans="1:36" ht="13" customHeight="1">
      <c r="A21" s="225"/>
      <c r="B21" s="21" t="str">
        <f>IF('Summary | Sumário'!D$6=Names!B$3,Names!K20,Names!L20)</f>
        <v>Derivative financial liabilities</v>
      </c>
      <c r="C21" s="232">
        <v>20941</v>
      </c>
      <c r="D21" s="232">
        <v>56758</v>
      </c>
      <c r="E21" s="232">
        <f t="shared" si="7"/>
        <v>66545</v>
      </c>
      <c r="F21" s="232">
        <f t="shared" si="8"/>
        <v>37768</v>
      </c>
      <c r="G21" s="232">
        <f t="shared" si="9"/>
        <v>15063</v>
      </c>
      <c r="H21" s="232">
        <f t="shared" si="10"/>
        <v>70048</v>
      </c>
      <c r="I21" s="232">
        <f t="shared" si="11"/>
        <v>54114</v>
      </c>
      <c r="J21" s="202"/>
      <c r="K21" s="232">
        <v>83222</v>
      </c>
      <c r="L21" s="232">
        <v>78887</v>
      </c>
      <c r="M21" s="232">
        <v>81359</v>
      </c>
      <c r="N21" s="232">
        <v>66545</v>
      </c>
      <c r="O21" s="232">
        <v>76042</v>
      </c>
      <c r="P21" s="201">
        <v>65888</v>
      </c>
      <c r="Q21" s="201">
        <v>40347</v>
      </c>
      <c r="R21" s="201">
        <v>37768</v>
      </c>
      <c r="S21" s="201">
        <v>32614</v>
      </c>
      <c r="T21" s="201">
        <v>27996</v>
      </c>
      <c r="U21" s="201">
        <v>21058.658820000001</v>
      </c>
      <c r="V21" s="201">
        <v>15063</v>
      </c>
      <c r="W21" s="201">
        <v>13892.998310000001</v>
      </c>
      <c r="X21" s="201">
        <v>14039.200999999999</v>
      </c>
      <c r="Y21" s="201">
        <v>8778</v>
      </c>
      <c r="Z21" s="201">
        <v>70048</v>
      </c>
      <c r="AA21" s="201">
        <v>5863</v>
      </c>
      <c r="AB21" s="201">
        <v>33193</v>
      </c>
      <c r="AC21" s="201">
        <v>23470</v>
      </c>
      <c r="AD21" s="201">
        <v>54114</v>
      </c>
      <c r="AE21" s="201">
        <v>70319</v>
      </c>
      <c r="AF21" s="202"/>
      <c r="AG21" s="335">
        <f t="shared" si="12"/>
        <v>0.29946039841815431</v>
      </c>
      <c r="AH21" s="335">
        <f t="shared" si="13"/>
        <v>10.993689237591676</v>
      </c>
      <c r="AI21" s="202"/>
    </row>
    <row r="22" spans="1:36" ht="13" customHeight="1">
      <c r="A22" s="225"/>
      <c r="B22" s="696" t="str">
        <f>IF('Summary | Sumário'!D$6=Names!B$3,Names!K21,Names!L21)</f>
        <v>Borrowings and on-lending</v>
      </c>
      <c r="C22" s="233">
        <v>29800</v>
      </c>
      <c r="D22" s="233">
        <v>27405</v>
      </c>
      <c r="E22" s="233">
        <f t="shared" si="7"/>
        <v>25071</v>
      </c>
      <c r="F22" s="233">
        <f t="shared" si="8"/>
        <v>36448</v>
      </c>
      <c r="G22" s="233">
        <f t="shared" si="9"/>
        <v>107412</v>
      </c>
      <c r="H22" s="233">
        <f t="shared" si="10"/>
        <v>128924</v>
      </c>
      <c r="I22" s="233">
        <f t="shared" si="11"/>
        <v>817495</v>
      </c>
      <c r="J22" s="202"/>
      <c r="K22" s="233">
        <v>27179</v>
      </c>
      <c r="L22" s="233">
        <v>26325</v>
      </c>
      <c r="M22" s="233">
        <v>25580</v>
      </c>
      <c r="N22" s="233">
        <v>25071</v>
      </c>
      <c r="O22" s="233">
        <v>33002</v>
      </c>
      <c r="P22" s="202">
        <v>31855</v>
      </c>
      <c r="Q22" s="202">
        <v>33119</v>
      </c>
      <c r="R22" s="202">
        <v>36448</v>
      </c>
      <c r="S22" s="202">
        <v>36632</v>
      </c>
      <c r="T22" s="202">
        <v>38753</v>
      </c>
      <c r="U22" s="202">
        <v>87649</v>
      </c>
      <c r="V22" s="202">
        <v>107412</v>
      </c>
      <c r="W22" s="202">
        <v>102019.6489</v>
      </c>
      <c r="X22" s="202">
        <v>101630.08100000001</v>
      </c>
      <c r="Y22" s="202">
        <v>114824</v>
      </c>
      <c r="Z22" s="202">
        <v>128924</v>
      </c>
      <c r="AA22" s="202">
        <v>397953</v>
      </c>
      <c r="AB22" s="202">
        <v>572557</v>
      </c>
      <c r="AC22" s="202">
        <v>676424</v>
      </c>
      <c r="AD22" s="202">
        <v>817495</v>
      </c>
      <c r="AE22" s="202">
        <v>736183</v>
      </c>
      <c r="AF22" s="202"/>
      <c r="AG22" s="209">
        <f t="shared" si="12"/>
        <v>-9.9464828531061311E-2</v>
      </c>
      <c r="AH22" s="209">
        <f t="shared" si="13"/>
        <v>0.84992448857025837</v>
      </c>
      <c r="AI22" s="202"/>
    </row>
    <row r="23" spans="1:36" ht="13" customHeight="1">
      <c r="A23" s="225"/>
      <c r="B23" s="21" t="str">
        <f>IF('Summary | Sumário'!D$6=Names!B$3,Names!K22,Names!L22)</f>
        <v>Tax liabilities</v>
      </c>
      <c r="C23" s="232">
        <v>18202</v>
      </c>
      <c r="D23" s="232">
        <v>30271</v>
      </c>
      <c r="E23" s="232">
        <f t="shared" si="7"/>
        <v>78406</v>
      </c>
      <c r="F23" s="232">
        <f t="shared" si="8"/>
        <v>166865</v>
      </c>
      <c r="G23" s="232">
        <f t="shared" si="9"/>
        <v>363262</v>
      </c>
      <c r="H23" s="232">
        <f t="shared" si="10"/>
        <v>574429</v>
      </c>
      <c r="I23" s="232">
        <f t="shared" si="11"/>
        <v>815527</v>
      </c>
      <c r="J23" s="202"/>
      <c r="K23" s="232">
        <v>50880</v>
      </c>
      <c r="L23" s="232">
        <v>42517</v>
      </c>
      <c r="M23" s="232">
        <v>55514.155149999999</v>
      </c>
      <c r="N23" s="232">
        <v>78406</v>
      </c>
      <c r="O23" s="232">
        <v>102495</v>
      </c>
      <c r="P23" s="201">
        <v>163665</v>
      </c>
      <c r="Q23" s="201">
        <v>153726</v>
      </c>
      <c r="R23" s="201">
        <v>166865</v>
      </c>
      <c r="S23" s="201">
        <v>154341</v>
      </c>
      <c r="T23" s="201">
        <v>206021</v>
      </c>
      <c r="U23" s="201">
        <v>332844.93984000006</v>
      </c>
      <c r="V23" s="201">
        <v>363262</v>
      </c>
      <c r="W23" s="201">
        <v>439126</v>
      </c>
      <c r="X23" s="201">
        <v>357818.261</v>
      </c>
      <c r="Y23" s="201">
        <v>457853</v>
      </c>
      <c r="Z23" s="201">
        <v>574429</v>
      </c>
      <c r="AA23" s="201">
        <v>461725</v>
      </c>
      <c r="AB23" s="201">
        <v>524764</v>
      </c>
      <c r="AC23" s="201">
        <v>660338</v>
      </c>
      <c r="AD23" s="201">
        <v>815527</v>
      </c>
      <c r="AE23" s="201">
        <v>299311</v>
      </c>
      <c r="AF23" s="202"/>
      <c r="AG23" s="335">
        <f t="shared" si="12"/>
        <v>-0.63298456090356292</v>
      </c>
      <c r="AH23" s="335">
        <f t="shared" si="13"/>
        <v>-0.3517548324218962</v>
      </c>
      <c r="AI23" s="202"/>
    </row>
    <row r="24" spans="1:36" ht="13" customHeight="1">
      <c r="A24" s="225"/>
      <c r="B24" s="15" t="str">
        <f>IF('Summary | Sumário'!D$6=Names!B$3,Names!K25,Names!L25)</f>
        <v>Provisions</v>
      </c>
      <c r="C24" s="233">
        <v>22055</v>
      </c>
      <c r="D24" s="233">
        <v>23637</v>
      </c>
      <c r="E24" s="233">
        <f t="shared" si="7"/>
        <v>52848</v>
      </c>
      <c r="F24" s="233">
        <f t="shared" si="8"/>
        <v>57449</v>
      </c>
      <c r="G24" s="233">
        <f t="shared" si="9"/>
        <v>70452</v>
      </c>
      <c r="H24" s="233">
        <f t="shared" si="10"/>
        <v>151737</v>
      </c>
      <c r="I24" s="233">
        <f t="shared" si="11"/>
        <v>265455</v>
      </c>
      <c r="J24" s="202"/>
      <c r="K24" s="233">
        <v>25182</v>
      </c>
      <c r="L24" s="233">
        <v>37558</v>
      </c>
      <c r="M24" s="233">
        <v>41873</v>
      </c>
      <c r="N24" s="233">
        <v>52848</v>
      </c>
      <c r="O24" s="233">
        <v>55607</v>
      </c>
      <c r="P24" s="202">
        <v>61118</v>
      </c>
      <c r="Q24" s="202">
        <v>59219</v>
      </c>
      <c r="R24" s="202">
        <v>57449</v>
      </c>
      <c r="S24" s="202">
        <v>63213</v>
      </c>
      <c r="T24" s="202">
        <v>65931</v>
      </c>
      <c r="U24" s="202">
        <v>35040.451930000003</v>
      </c>
      <c r="V24" s="202">
        <v>70452</v>
      </c>
      <c r="W24" s="202">
        <v>70003.378370004008</v>
      </c>
      <c r="X24" s="202">
        <v>45712.063000000002</v>
      </c>
      <c r="Y24" s="202">
        <v>54375</v>
      </c>
      <c r="Z24" s="202">
        <v>151737</v>
      </c>
      <c r="AA24" s="202">
        <v>223950</v>
      </c>
      <c r="AB24" s="202">
        <v>243929</v>
      </c>
      <c r="AC24" s="202">
        <v>258680</v>
      </c>
      <c r="AD24" s="202">
        <v>265455</v>
      </c>
      <c r="AE24" s="202">
        <v>227019</v>
      </c>
      <c r="AF24" s="202"/>
      <c r="AG24" s="209">
        <f t="shared" si="12"/>
        <v>-0.14479290275187884</v>
      </c>
      <c r="AH24" s="209">
        <f t="shared" si="13"/>
        <v>1.3703951774949763E-2</v>
      </c>
      <c r="AI24" s="202"/>
    </row>
    <row r="25" spans="1:36" ht="13" customHeight="1">
      <c r="A25" s="225"/>
      <c r="B25" s="21" t="str">
        <f>IF('Summary | Sumário'!D$6=Names!B$3,Names!K26,Names!L26)</f>
        <v>Deferred tax liabilities</v>
      </c>
      <c r="C25" s="232">
        <v>21524</v>
      </c>
      <c r="D25" s="232">
        <v>60926</v>
      </c>
      <c r="E25" s="232">
        <f t="shared" si="7"/>
        <v>89235</v>
      </c>
      <c r="F25" s="232">
        <f t="shared" si="8"/>
        <v>30073</v>
      </c>
      <c r="G25" s="232">
        <f t="shared" si="9"/>
        <v>32539</v>
      </c>
      <c r="H25" s="232">
        <f t="shared" si="10"/>
        <v>61503</v>
      </c>
      <c r="I25" s="232">
        <f t="shared" si="11"/>
        <v>40923</v>
      </c>
      <c r="J25" s="202"/>
      <c r="K25" s="232">
        <v>90691</v>
      </c>
      <c r="L25" s="232">
        <v>85656</v>
      </c>
      <c r="M25" s="232">
        <v>27373.95</v>
      </c>
      <c r="N25" s="232">
        <v>89235</v>
      </c>
      <c r="O25" s="232">
        <v>92379</v>
      </c>
      <c r="P25" s="201">
        <v>81915</v>
      </c>
      <c r="Q25" s="201">
        <v>0</v>
      </c>
      <c r="R25" s="201">
        <v>30073</v>
      </c>
      <c r="S25" s="201">
        <v>29638</v>
      </c>
      <c r="T25" s="201">
        <v>32670</v>
      </c>
      <c r="U25" s="201">
        <v>28894.89588</v>
      </c>
      <c r="V25" s="201">
        <v>32539</v>
      </c>
      <c r="W25" s="201">
        <v>49912</v>
      </c>
      <c r="X25" s="201">
        <v>29640.036</v>
      </c>
      <c r="Y25" s="201">
        <v>46183</v>
      </c>
      <c r="Z25" s="201">
        <v>61503</v>
      </c>
      <c r="AA25" s="201">
        <v>107423</v>
      </c>
      <c r="AB25" s="201">
        <v>130150</v>
      </c>
      <c r="AC25" s="201">
        <v>46918</v>
      </c>
      <c r="AD25" s="201">
        <v>40923</v>
      </c>
      <c r="AE25" s="201">
        <v>43589</v>
      </c>
      <c r="AF25" s="202"/>
      <c r="AG25" s="335">
        <f t="shared" si="12"/>
        <v>6.5146738997629683E-2</v>
      </c>
      <c r="AH25" s="335">
        <f t="shared" si="13"/>
        <v>-0.59423028587918791</v>
      </c>
      <c r="AI25" s="202"/>
    </row>
    <row r="26" spans="1:36" ht="13" customHeight="1">
      <c r="A26" s="225"/>
      <c r="B26" s="15" t="str">
        <f>IF('Summary | Sumário'!D$6=Names!B$3,Names!K27,Names!L27)</f>
        <v>Other liabilities</v>
      </c>
      <c r="C26" s="202">
        <v>216115</v>
      </c>
      <c r="D26" s="202">
        <v>475420</v>
      </c>
      <c r="E26" s="202">
        <f t="shared" si="7"/>
        <v>617348.59181000001</v>
      </c>
      <c r="F26" s="202">
        <f t="shared" si="8"/>
        <v>1173527</v>
      </c>
      <c r="G26" s="202">
        <f t="shared" si="9"/>
        <v>1897248</v>
      </c>
      <c r="H26" s="202">
        <f t="shared" si="10"/>
        <v>2386457</v>
      </c>
      <c r="I26" s="202">
        <f t="shared" si="11"/>
        <v>2629110</v>
      </c>
      <c r="J26" s="202"/>
      <c r="K26" s="202">
        <v>575148</v>
      </c>
      <c r="L26" s="202">
        <v>631703.80099999998</v>
      </c>
      <c r="M26" s="202">
        <v>570154</v>
      </c>
      <c r="N26" s="202">
        <v>617348.59181000001</v>
      </c>
      <c r="O26" s="202">
        <v>741385</v>
      </c>
      <c r="P26" s="202">
        <v>618089</v>
      </c>
      <c r="Q26" s="202">
        <v>698852</v>
      </c>
      <c r="R26" s="202">
        <v>1173527</v>
      </c>
      <c r="S26" s="202">
        <v>1205649</v>
      </c>
      <c r="T26" s="202">
        <v>984830</v>
      </c>
      <c r="U26" s="202">
        <v>1260329</v>
      </c>
      <c r="V26" s="202">
        <v>1897248</v>
      </c>
      <c r="W26" s="202">
        <v>1957483</v>
      </c>
      <c r="X26" s="202">
        <v>1981740.4820000001</v>
      </c>
      <c r="Y26" s="202">
        <v>1797457</v>
      </c>
      <c r="Z26" s="202">
        <v>2386457</v>
      </c>
      <c r="AA26" s="202">
        <v>2195382</v>
      </c>
      <c r="AB26" s="202">
        <v>1909745</v>
      </c>
      <c r="AC26" s="202">
        <v>2342401</v>
      </c>
      <c r="AD26" s="202">
        <v>2629110</v>
      </c>
      <c r="AE26" s="202">
        <v>2400301</v>
      </c>
      <c r="AF26" s="202"/>
      <c r="AG26" s="209">
        <f t="shared" si="12"/>
        <v>-8.7029070674106479E-2</v>
      </c>
      <c r="AH26" s="209">
        <f t="shared" si="13"/>
        <v>9.3340931099917812E-2</v>
      </c>
      <c r="AI26" s="202"/>
    </row>
    <row r="27" spans="1:36" ht="13" customHeight="1">
      <c r="A27" s="225"/>
      <c r="B27" s="265" t="str">
        <f>IF('Summary | Sumário'!D$6=Names!B$3,Names!K28,Names!L28)</f>
        <v>Total liabilities</v>
      </c>
      <c r="C27" s="266">
        <v>7915148</v>
      </c>
      <c r="D27" s="266">
        <v>16597398</v>
      </c>
      <c r="E27" s="266">
        <f>N27</f>
        <v>28176553.591809999</v>
      </c>
      <c r="F27" s="266">
        <f>R27</f>
        <v>39253996</v>
      </c>
      <c r="G27" s="266">
        <f t="shared" si="9"/>
        <v>52755107</v>
      </c>
      <c r="H27" s="266">
        <f t="shared" si="10"/>
        <v>67386123</v>
      </c>
      <c r="I27" s="266">
        <f t="shared" si="11"/>
        <v>88218556</v>
      </c>
      <c r="J27" s="237"/>
      <c r="K27" s="266">
        <v>18186051</v>
      </c>
      <c r="L27" s="266">
        <v>21616867.421</v>
      </c>
      <c r="M27" s="266">
        <v>25224265.40315</v>
      </c>
      <c r="N27" s="266">
        <v>28176553.591809999</v>
      </c>
      <c r="O27" s="266">
        <v>30257828</v>
      </c>
      <c r="P27" s="266">
        <v>33818398</v>
      </c>
      <c r="Q27" s="266">
        <v>36703672</v>
      </c>
      <c r="R27" s="266">
        <v>39253996</v>
      </c>
      <c r="S27" s="266">
        <v>40561188</v>
      </c>
      <c r="T27" s="266">
        <v>42685671</v>
      </c>
      <c r="U27" s="266">
        <v>47710613</v>
      </c>
      <c r="V27" s="266">
        <v>52755107</v>
      </c>
      <c r="W27" s="266">
        <v>54008110.275435939</v>
      </c>
      <c r="X27" s="266">
        <v>57965925.803000003</v>
      </c>
      <c r="Y27" s="266">
        <v>61060739</v>
      </c>
      <c r="Z27" s="266">
        <v>67386123</v>
      </c>
      <c r="AA27" s="266">
        <v>71545716</v>
      </c>
      <c r="AB27" s="266">
        <v>75345087</v>
      </c>
      <c r="AC27" s="266">
        <v>82000376</v>
      </c>
      <c r="AD27" s="266">
        <v>88218556</v>
      </c>
      <c r="AE27" s="266">
        <v>88656450</v>
      </c>
      <c r="AF27" s="237"/>
      <c r="AG27" s="323">
        <f t="shared" si="12"/>
        <v>4.9637402815798648E-3</v>
      </c>
      <c r="AH27" s="323">
        <f t="shared" si="13"/>
        <v>0.23915805105647414</v>
      </c>
      <c r="AI27" s="214"/>
    </row>
    <row r="28" spans="1:36" ht="13" customHeight="1">
      <c r="A28" s="225"/>
      <c r="B28" s="3"/>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324"/>
      <c r="AH28" s="324"/>
      <c r="AI28" s="214"/>
    </row>
    <row r="29" spans="1:36" ht="13" customHeight="1">
      <c r="A29" s="225"/>
      <c r="B29" s="30" t="str">
        <f>IF('Summary | Sumário'!D$6=Names!B$3,Names!K29,Names!L29)</f>
        <v>Equity</v>
      </c>
      <c r="C29" s="226"/>
      <c r="D29" s="226"/>
      <c r="E29" s="226"/>
      <c r="F29" s="226"/>
      <c r="G29" s="226"/>
      <c r="H29" s="226"/>
      <c r="I29" s="226"/>
      <c r="J29" s="214"/>
      <c r="K29" s="226"/>
      <c r="L29" s="226"/>
      <c r="M29" s="226"/>
      <c r="N29" s="226"/>
      <c r="O29" s="226"/>
      <c r="P29" s="226"/>
      <c r="Q29" s="226"/>
      <c r="R29" s="226"/>
      <c r="S29" s="226"/>
      <c r="T29" s="226"/>
      <c r="U29" s="226"/>
      <c r="V29" s="226"/>
      <c r="W29" s="226"/>
      <c r="X29" s="226"/>
      <c r="Y29" s="226"/>
      <c r="Z29" s="226"/>
      <c r="AA29" s="226"/>
      <c r="AB29" s="226"/>
      <c r="AC29" s="226"/>
      <c r="AD29" s="226"/>
      <c r="AE29" s="226"/>
      <c r="AF29" s="214"/>
      <c r="AG29" s="319"/>
      <c r="AH29" s="319"/>
      <c r="AI29" s="214"/>
    </row>
    <row r="30" spans="1:36" ht="13" customHeight="1">
      <c r="A30" s="225"/>
      <c r="B30" s="696" t="str">
        <f>IF('Summary | Sumário'!D$6=Names!B$3,Names!K30,Names!L30)</f>
        <v>Equity attributable to owners of the Company</v>
      </c>
      <c r="C30" s="233">
        <f>SUM(C31:C34)</f>
        <v>2157761</v>
      </c>
      <c r="D30" s="233">
        <f t="shared" ref="D30:R30" si="14">SUM(D31:D34)</f>
        <v>3275634</v>
      </c>
      <c r="E30" s="233">
        <f t="shared" si="14"/>
        <v>2656124.8541782</v>
      </c>
      <c r="F30" s="233">
        <f t="shared" si="14"/>
        <v>6992382</v>
      </c>
      <c r="G30" s="233">
        <f t="shared" ref="G30:G36" si="15">V30</f>
        <v>7471810</v>
      </c>
      <c r="H30" s="233">
        <f t="shared" ref="H30:H36" si="16">Z30</f>
        <v>8895175</v>
      </c>
      <c r="I30" s="233">
        <f t="shared" ref="I30:I36" si="17">AD30</f>
        <v>10169589</v>
      </c>
      <c r="J30" s="233"/>
      <c r="K30" s="233">
        <f t="shared" si="14"/>
        <v>3200971</v>
      </c>
      <c r="L30" s="233">
        <f t="shared" si="14"/>
        <v>2725582.0000000005</v>
      </c>
      <c r="M30" s="233">
        <f t="shared" si="14"/>
        <v>2684449.7805932802</v>
      </c>
      <c r="N30" s="233">
        <f t="shared" si="14"/>
        <v>2656124.8541782</v>
      </c>
      <c r="O30" s="233">
        <f t="shared" si="14"/>
        <v>2615835.2391781998</v>
      </c>
      <c r="P30" s="233">
        <f t="shared" si="14"/>
        <v>7034059</v>
      </c>
      <c r="Q30" s="233">
        <f t="shared" si="14"/>
        <v>7044410</v>
      </c>
      <c r="R30" s="233">
        <f t="shared" si="14"/>
        <v>6992382</v>
      </c>
      <c r="S30" s="233">
        <f t="shared" ref="S30:X30" si="18">SUM(S31:S34)</f>
        <v>7030966</v>
      </c>
      <c r="T30" s="233">
        <f t="shared" si="18"/>
        <v>7203957</v>
      </c>
      <c r="U30" s="233">
        <f t="shared" si="18"/>
        <v>7260368</v>
      </c>
      <c r="V30" s="233">
        <f t="shared" si="18"/>
        <v>7471810</v>
      </c>
      <c r="W30" s="233">
        <f t="shared" si="18"/>
        <v>8392474.0009060334</v>
      </c>
      <c r="X30" s="233">
        <f t="shared" si="18"/>
        <v>8461990.9470000006</v>
      </c>
      <c r="Y30" s="233">
        <f t="shared" ref="Y30:Z30" si="19">SUM(Y31:Y34)</f>
        <v>8707251</v>
      </c>
      <c r="Z30" s="233">
        <f t="shared" si="19"/>
        <v>8895175</v>
      </c>
      <c r="AA30" s="233">
        <f t="shared" ref="AA30:AB30" si="20">SUM(AA31:AA34)</f>
        <v>8900556</v>
      </c>
      <c r="AB30" s="233">
        <f t="shared" si="20"/>
        <v>9289608</v>
      </c>
      <c r="AC30" s="233">
        <f t="shared" ref="AC30:AD30" si="21">SUM(AC31:AC34)</f>
        <v>9679815</v>
      </c>
      <c r="AD30" s="233">
        <f t="shared" si="21"/>
        <v>10169589</v>
      </c>
      <c r="AE30" s="233">
        <f t="shared" ref="AE30" si="22">SUM(AE31:AE34)</f>
        <v>10194949</v>
      </c>
      <c r="AF30" s="233"/>
      <c r="AG30" s="248">
        <f>AE30/AD30-1</f>
        <v>2.4937094311283658E-3</v>
      </c>
      <c r="AH30" s="248">
        <f>AE30/AA30-1</f>
        <v>0.14542833054474347</v>
      </c>
      <c r="AI30" s="233"/>
    </row>
    <row r="31" spans="1:36" ht="13" customHeight="1">
      <c r="A31" s="225"/>
      <c r="B31" s="22" t="str">
        <f>IF('Summary | Sumário'!D$6=Names!B$3,Names!K31,Names!L31)</f>
        <v>Share capital</v>
      </c>
      <c r="C31" s="232">
        <v>2068305</v>
      </c>
      <c r="D31" s="232">
        <v>3216455</v>
      </c>
      <c r="E31" s="232">
        <f t="shared" ref="E31:E36" si="23">N31</f>
        <v>13.23917819999042</v>
      </c>
      <c r="F31" s="232">
        <f t="shared" ref="F31:F36" si="24">R31</f>
        <v>13</v>
      </c>
      <c r="G31" s="232">
        <f t="shared" si="15"/>
        <v>13</v>
      </c>
      <c r="H31" s="232">
        <f t="shared" si="16"/>
        <v>13</v>
      </c>
      <c r="I31" s="232">
        <f t="shared" si="17"/>
        <v>13</v>
      </c>
      <c r="J31" s="202"/>
      <c r="K31" s="232">
        <v>3216455</v>
      </c>
      <c r="L31" s="232">
        <v>12.78059328001109</v>
      </c>
      <c r="M31" s="232">
        <v>12.78059328001109</v>
      </c>
      <c r="N31" s="232">
        <v>13.23917819999042</v>
      </c>
      <c r="O31" s="232">
        <v>13.23917819999042</v>
      </c>
      <c r="P31" s="201">
        <v>13</v>
      </c>
      <c r="Q31" s="201">
        <v>13</v>
      </c>
      <c r="R31" s="201">
        <v>13</v>
      </c>
      <c r="S31" s="201">
        <v>13</v>
      </c>
      <c r="T31" s="201">
        <v>13</v>
      </c>
      <c r="U31" s="201">
        <v>13</v>
      </c>
      <c r="V31" s="201">
        <v>13</v>
      </c>
      <c r="W31" s="201">
        <v>13.000906033441424</v>
      </c>
      <c r="X31" s="201">
        <v>13.002000000000001</v>
      </c>
      <c r="Y31" s="201">
        <v>13</v>
      </c>
      <c r="Z31" s="201">
        <v>13</v>
      </c>
      <c r="AA31" s="201">
        <v>13</v>
      </c>
      <c r="AB31" s="201">
        <v>13</v>
      </c>
      <c r="AC31" s="201">
        <v>13</v>
      </c>
      <c r="AD31" s="201">
        <v>13</v>
      </c>
      <c r="AE31" s="201">
        <v>13</v>
      </c>
      <c r="AF31" s="202"/>
      <c r="AG31" s="313">
        <f>AE31/AD31-1</f>
        <v>0</v>
      </c>
      <c r="AH31" s="313">
        <f>AE31/AA31-1</f>
        <v>0</v>
      </c>
      <c r="AI31" s="202"/>
    </row>
    <row r="32" spans="1:36" ht="13" customHeight="1">
      <c r="A32" s="225"/>
      <c r="B32" s="16" t="str">
        <f>IF('Summary | Sumário'!D$6=Names!B$3,Names!K32,Names!L32)</f>
        <v>Reserves</v>
      </c>
      <c r="C32" s="233">
        <v>90152</v>
      </c>
      <c r="D32" s="233">
        <v>150709</v>
      </c>
      <c r="E32" s="233">
        <f t="shared" si="23"/>
        <v>2728396</v>
      </c>
      <c r="F32" s="233">
        <f t="shared" si="24"/>
        <v>7817670</v>
      </c>
      <c r="G32" s="233">
        <f t="shared" si="15"/>
        <v>8147285</v>
      </c>
      <c r="H32" s="233">
        <f t="shared" si="16"/>
        <v>9793992</v>
      </c>
      <c r="I32" s="233">
        <f t="shared" si="17"/>
        <v>10971176</v>
      </c>
      <c r="J32" s="202"/>
      <c r="K32" s="233">
        <v>57846</v>
      </c>
      <c r="L32" s="233">
        <v>2744512.2194067203</v>
      </c>
      <c r="M32" s="233">
        <v>2733223</v>
      </c>
      <c r="N32" s="233">
        <v>2728396</v>
      </c>
      <c r="O32" s="233">
        <v>2700579</v>
      </c>
      <c r="P32" s="202">
        <v>7842630</v>
      </c>
      <c r="Q32" s="202">
        <v>7870186</v>
      </c>
      <c r="R32" s="202">
        <v>7817670</v>
      </c>
      <c r="S32" s="202">
        <v>7855472</v>
      </c>
      <c r="T32" s="202">
        <v>7902577</v>
      </c>
      <c r="U32" s="202">
        <v>7998214</v>
      </c>
      <c r="V32" s="202">
        <v>8147285</v>
      </c>
      <c r="W32" s="202">
        <v>9116496</v>
      </c>
      <c r="X32" s="202">
        <v>9232289.6119999997</v>
      </c>
      <c r="Y32" s="202">
        <v>9508076</v>
      </c>
      <c r="Z32" s="202">
        <v>9793992</v>
      </c>
      <c r="AA32" s="202">
        <v>9901230</v>
      </c>
      <c r="AB32" s="202">
        <v>10206691</v>
      </c>
      <c r="AC32" s="202">
        <v>10579565</v>
      </c>
      <c r="AD32" s="202">
        <v>10971176</v>
      </c>
      <c r="AE32" s="202">
        <v>11115869</v>
      </c>
      <c r="AF32" s="202"/>
      <c r="AG32" s="248">
        <f>AE32/AD32-1</f>
        <v>1.3188467672016202E-2</v>
      </c>
      <c r="AH32" s="248">
        <f>AE32/AA32-1</f>
        <v>0.12267556657102197</v>
      </c>
      <c r="AI32" s="202"/>
    </row>
    <row r="33" spans="1:35" ht="13" customHeight="1">
      <c r="A33" s="225"/>
      <c r="B33" s="22" t="str">
        <f>IF('Summary | Sumário'!D$6=Names!B$3,Names!K33,Names!L33)</f>
        <v xml:space="preserve">Other comprehensive loss </v>
      </c>
      <c r="C33" s="232">
        <v>-696</v>
      </c>
      <c r="D33" s="232">
        <v>25991</v>
      </c>
      <c r="E33" s="232">
        <f t="shared" si="23"/>
        <v>-72284.384999999995</v>
      </c>
      <c r="F33" s="232">
        <f t="shared" si="24"/>
        <v>-825301</v>
      </c>
      <c r="G33" s="232">
        <f t="shared" si="15"/>
        <v>-675488</v>
      </c>
      <c r="H33" s="232">
        <f t="shared" si="16"/>
        <v>-898830</v>
      </c>
      <c r="I33" s="232">
        <f t="shared" si="17"/>
        <v>-801600</v>
      </c>
      <c r="J33" s="202"/>
      <c r="K33" s="232">
        <v>-36968</v>
      </c>
      <c r="L33" s="232">
        <v>-18943</v>
      </c>
      <c r="M33" s="232">
        <v>-48786</v>
      </c>
      <c r="N33" s="232">
        <v>-72284.384999999995</v>
      </c>
      <c r="O33" s="232">
        <v>-84757</v>
      </c>
      <c r="P33" s="201">
        <v>-808584</v>
      </c>
      <c r="Q33" s="201">
        <v>-825789</v>
      </c>
      <c r="R33" s="201">
        <v>-825301</v>
      </c>
      <c r="S33" s="201">
        <v>-808110</v>
      </c>
      <c r="T33" s="201">
        <v>-682224</v>
      </c>
      <c r="U33" s="201">
        <v>-729442</v>
      </c>
      <c r="V33" s="201">
        <v>-675488</v>
      </c>
      <c r="W33" s="201">
        <v>-711252</v>
      </c>
      <c r="X33" s="201">
        <v>-756624.66700000002</v>
      </c>
      <c r="Y33" s="201">
        <v>-800226</v>
      </c>
      <c r="Z33" s="201">
        <v>-898830</v>
      </c>
      <c r="AA33" s="201">
        <v>-985968</v>
      </c>
      <c r="AB33" s="201">
        <v>-917096</v>
      </c>
      <c r="AC33" s="201">
        <v>-899763</v>
      </c>
      <c r="AD33" s="201">
        <v>-801600</v>
      </c>
      <c r="AE33" s="201">
        <v>-920933</v>
      </c>
      <c r="AF33" s="202"/>
      <c r="AG33" s="313">
        <f>AE33/AD33-1</f>
        <v>0.1488685129740519</v>
      </c>
      <c r="AH33" s="313">
        <f>AE33/AA33-1</f>
        <v>-6.5960558557681348E-2</v>
      </c>
      <c r="AI33" s="202"/>
    </row>
    <row r="34" spans="1:35" ht="13" customHeight="1">
      <c r="A34" s="225"/>
      <c r="B34" s="16" t="str">
        <f>IF('Summary | Sumário'!D$6=Names!B$3,Names!K34,Names!L34)</f>
        <v>Treasury shares</v>
      </c>
      <c r="C34" s="233">
        <v>0</v>
      </c>
      <c r="D34" s="233">
        <v>-117521</v>
      </c>
      <c r="E34" s="233">
        <f t="shared" si="23"/>
        <v>0</v>
      </c>
      <c r="F34" s="233">
        <f t="shared" si="24"/>
        <v>0</v>
      </c>
      <c r="G34" s="233">
        <f t="shared" si="15"/>
        <v>0</v>
      </c>
      <c r="H34" s="233">
        <f t="shared" si="16"/>
        <v>0</v>
      </c>
      <c r="I34" s="233">
        <f t="shared" si="17"/>
        <v>0</v>
      </c>
      <c r="J34" s="202"/>
      <c r="K34" s="233">
        <v>-36362</v>
      </c>
      <c r="L34" s="233">
        <v>0</v>
      </c>
      <c r="M34" s="233">
        <v>0</v>
      </c>
      <c r="N34" s="233">
        <v>0</v>
      </c>
      <c r="O34" s="233">
        <v>0</v>
      </c>
      <c r="P34" s="202">
        <v>0</v>
      </c>
      <c r="Q34" s="202">
        <v>0</v>
      </c>
      <c r="R34" s="202">
        <v>0</v>
      </c>
      <c r="S34" s="202">
        <v>-16409</v>
      </c>
      <c r="T34" s="202">
        <v>-16409</v>
      </c>
      <c r="U34" s="202">
        <v>-8417</v>
      </c>
      <c r="V34" s="202">
        <v>0</v>
      </c>
      <c r="W34" s="202">
        <v>-12783</v>
      </c>
      <c r="X34" s="202">
        <v>-13687</v>
      </c>
      <c r="Y34" s="202">
        <v>-612</v>
      </c>
      <c r="Z34" s="202">
        <v>0</v>
      </c>
      <c r="AA34" s="202">
        <v>-14719</v>
      </c>
      <c r="AB34" s="202">
        <v>0</v>
      </c>
      <c r="AC34" s="202">
        <v>0</v>
      </c>
      <c r="AD34" s="202">
        <v>0</v>
      </c>
      <c r="AE34" s="202">
        <v>0</v>
      </c>
      <c r="AF34" s="202"/>
      <c r="AG34" s="202">
        <v>0</v>
      </c>
      <c r="AH34" s="209" t="s">
        <v>1179</v>
      </c>
      <c r="AI34" s="202"/>
    </row>
    <row r="35" spans="1:35" ht="13" customHeight="1">
      <c r="A35" s="225"/>
      <c r="B35" s="21" t="str">
        <f>IF('Summary | Sumário'!D$6=Names!B$3,Names!K35,Names!L35)</f>
        <v>Non-controlling interest</v>
      </c>
      <c r="C35" s="232">
        <v>4177</v>
      </c>
      <c r="D35" s="232">
        <v>48581</v>
      </c>
      <c r="E35" s="232">
        <f t="shared" si="23"/>
        <v>5793658.7330626091</v>
      </c>
      <c r="F35" s="232">
        <f t="shared" si="24"/>
        <v>96722</v>
      </c>
      <c r="G35" s="232">
        <f t="shared" si="15"/>
        <v>124881</v>
      </c>
      <c r="H35" s="232">
        <f t="shared" si="16"/>
        <v>177132</v>
      </c>
      <c r="I35" s="232">
        <f t="shared" si="17"/>
        <v>223373</v>
      </c>
      <c r="J35" s="202"/>
      <c r="K35" s="232">
        <v>49645</v>
      </c>
      <c r="L35" s="232">
        <v>5967043.7920000013</v>
      </c>
      <c r="M35" s="232">
        <v>5853877.4000000004</v>
      </c>
      <c r="N35" s="232">
        <v>5793658.7330626091</v>
      </c>
      <c r="O35" s="232">
        <v>5738531</v>
      </c>
      <c r="P35" s="201">
        <v>81322</v>
      </c>
      <c r="Q35" s="201">
        <v>95985</v>
      </c>
      <c r="R35" s="201">
        <v>96722</v>
      </c>
      <c r="S35" s="201">
        <v>108940</v>
      </c>
      <c r="T35" s="201">
        <v>113701</v>
      </c>
      <c r="U35" s="201">
        <v>107859</v>
      </c>
      <c r="V35" s="201">
        <v>124881</v>
      </c>
      <c r="W35" s="201">
        <v>145978</v>
      </c>
      <c r="X35" s="201">
        <v>145544.61499999999</v>
      </c>
      <c r="Y35" s="201">
        <v>160088</v>
      </c>
      <c r="Z35" s="201">
        <v>177132</v>
      </c>
      <c r="AA35" s="201">
        <v>112294</v>
      </c>
      <c r="AB35" s="201">
        <v>98224</v>
      </c>
      <c r="AC35" s="201">
        <v>128317</v>
      </c>
      <c r="AD35" s="201">
        <v>223373</v>
      </c>
      <c r="AE35" s="201">
        <v>218781</v>
      </c>
      <c r="AF35" s="202"/>
      <c r="AG35" s="313">
        <f>AE35/AD35-1</f>
        <v>-2.0557542764792491E-2</v>
      </c>
      <c r="AH35" s="313">
        <f>AE35/AA35-1</f>
        <v>0.94828753094555363</v>
      </c>
      <c r="AI35" s="202"/>
    </row>
    <row r="36" spans="1:35" ht="13" customHeight="1">
      <c r="A36" s="225"/>
      <c r="B36" s="13" t="str">
        <f>IF('Summary | Sumário'!D$6=Names!B$3,Names!K36,Names!L36)</f>
        <v>Total equity</v>
      </c>
      <c r="C36" s="236">
        <v>2161938</v>
      </c>
      <c r="D36" s="236">
        <v>3324215</v>
      </c>
      <c r="E36" s="236">
        <f t="shared" si="23"/>
        <v>8449783.5872408096</v>
      </c>
      <c r="F36" s="236">
        <f t="shared" si="24"/>
        <v>7089104</v>
      </c>
      <c r="G36" s="236">
        <f t="shared" si="15"/>
        <v>7596691</v>
      </c>
      <c r="H36" s="236">
        <f t="shared" si="16"/>
        <v>9072307</v>
      </c>
      <c r="I36" s="236">
        <f t="shared" si="17"/>
        <v>10392962</v>
      </c>
      <c r="J36" s="237"/>
      <c r="K36" s="236">
        <v>3250616</v>
      </c>
      <c r="L36" s="236">
        <v>8692625.7920000013</v>
      </c>
      <c r="M36" s="236">
        <v>8538327.1805932801</v>
      </c>
      <c r="N36" s="236">
        <v>8449783.5872408096</v>
      </c>
      <c r="O36" s="236">
        <v>8354366</v>
      </c>
      <c r="P36" s="237">
        <v>7115381</v>
      </c>
      <c r="Q36" s="237">
        <v>7140395</v>
      </c>
      <c r="R36" s="237">
        <v>7089104</v>
      </c>
      <c r="S36" s="237">
        <v>7139906</v>
      </c>
      <c r="T36" s="237">
        <v>7317658</v>
      </c>
      <c r="U36" s="237">
        <v>7368227</v>
      </c>
      <c r="V36" s="237">
        <v>7596691</v>
      </c>
      <c r="W36" s="237">
        <v>8538452.0009060334</v>
      </c>
      <c r="X36" s="237">
        <v>8607535.5620000008</v>
      </c>
      <c r="Y36" s="237">
        <v>8867338</v>
      </c>
      <c r="Z36" s="237">
        <v>9072307</v>
      </c>
      <c r="AA36" s="237">
        <v>9012850</v>
      </c>
      <c r="AB36" s="237">
        <v>9387832</v>
      </c>
      <c r="AC36" s="237">
        <v>9808132</v>
      </c>
      <c r="AD36" s="237">
        <v>10392962</v>
      </c>
      <c r="AE36" s="237">
        <v>10413730</v>
      </c>
      <c r="AF36" s="237"/>
      <c r="AG36" s="248">
        <f>AE36/AD36-1</f>
        <v>1.9982753713523316E-3</v>
      </c>
      <c r="AH36" s="248">
        <f>AE36/AA36-1</f>
        <v>0.15543141181757147</v>
      </c>
      <c r="AI36" s="214"/>
    </row>
    <row r="37" spans="1:35" ht="13" customHeight="1">
      <c r="A37" s="225"/>
      <c r="B37" s="23"/>
      <c r="C37" s="226"/>
      <c r="D37" s="226"/>
      <c r="E37" s="226"/>
      <c r="F37" s="226"/>
      <c r="G37" s="226"/>
      <c r="H37" s="226"/>
      <c r="I37" s="226"/>
      <c r="J37" s="214"/>
      <c r="K37" s="226"/>
      <c r="L37" s="226"/>
      <c r="M37" s="226"/>
      <c r="N37" s="226"/>
      <c r="O37" s="226"/>
      <c r="P37" s="226"/>
      <c r="Q37" s="226"/>
      <c r="R37" s="226"/>
      <c r="S37" s="226"/>
      <c r="T37" s="226"/>
      <c r="U37" s="226"/>
      <c r="V37" s="226"/>
      <c r="W37" s="226"/>
      <c r="X37" s="226"/>
      <c r="Y37" s="226"/>
      <c r="Z37" s="226"/>
      <c r="AA37" s="226"/>
      <c r="AB37" s="226"/>
      <c r="AC37" s="226"/>
      <c r="AD37" s="226"/>
      <c r="AE37" s="226"/>
      <c r="AF37" s="214"/>
      <c r="AG37" s="319"/>
      <c r="AH37" s="319"/>
      <c r="AI37" s="214"/>
    </row>
    <row r="38" spans="1:35" ht="13" customHeight="1">
      <c r="A38" s="225"/>
      <c r="B38" s="8" t="str">
        <f>IF('Summary | Sumário'!D$6=Names!B$3,Names!K37,Names!L37)</f>
        <v>Liabilities + equity</v>
      </c>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325"/>
      <c r="AH38" s="325"/>
      <c r="AI38" s="214"/>
    </row>
    <row r="39" spans="1:35" ht="13" customHeight="1">
      <c r="A39" s="225"/>
      <c r="B39" s="267" t="str">
        <f>IF('Summary | Sumário'!D$6=Names!B$3,Names!K38,Names!L38)</f>
        <v>Total liabilities and equity</v>
      </c>
      <c r="C39" s="268">
        <v>10077086</v>
      </c>
      <c r="D39" s="268">
        <v>19921613</v>
      </c>
      <c r="E39" s="268">
        <f>N39</f>
        <v>36626337.179050811</v>
      </c>
      <c r="F39" s="268">
        <f>R39</f>
        <v>46343100</v>
      </c>
      <c r="G39" s="268">
        <f>V39</f>
        <v>60351797</v>
      </c>
      <c r="H39" s="268">
        <f>Z39</f>
        <v>76458430</v>
      </c>
      <c r="I39" s="268">
        <f>AD39</f>
        <v>98611518</v>
      </c>
      <c r="J39" s="237"/>
      <c r="K39" s="268">
        <v>21436667</v>
      </c>
      <c r="L39" s="268">
        <v>30309493.213</v>
      </c>
      <c r="M39" s="268">
        <v>33762592.583743282</v>
      </c>
      <c r="N39" s="268">
        <v>36626337.179050811</v>
      </c>
      <c r="O39" s="268">
        <v>38612194</v>
      </c>
      <c r="P39" s="266">
        <v>40933779</v>
      </c>
      <c r="Q39" s="266">
        <v>43844067</v>
      </c>
      <c r="R39" s="266">
        <v>46343100</v>
      </c>
      <c r="S39" s="266">
        <v>47701094</v>
      </c>
      <c r="T39" s="266">
        <v>50003329</v>
      </c>
      <c r="U39" s="266">
        <v>55078840</v>
      </c>
      <c r="V39" s="266">
        <v>60351797</v>
      </c>
      <c r="W39" s="266">
        <v>62546562.276341975</v>
      </c>
      <c r="X39" s="266">
        <v>66573461.365000002</v>
      </c>
      <c r="Y39" s="266">
        <v>69928077</v>
      </c>
      <c r="Z39" s="266">
        <v>76458430</v>
      </c>
      <c r="AA39" s="266">
        <v>80558566</v>
      </c>
      <c r="AB39" s="266">
        <v>84732919</v>
      </c>
      <c r="AC39" s="266">
        <v>91808508</v>
      </c>
      <c r="AD39" s="266">
        <v>98611518</v>
      </c>
      <c r="AE39" s="266">
        <v>99070180</v>
      </c>
      <c r="AF39" s="237"/>
      <c r="AG39" s="323">
        <f>AE39/AD39-1</f>
        <v>4.651201089917345E-3</v>
      </c>
      <c r="AH39" s="323">
        <f>AE39/AA39-1</f>
        <v>0.22979075868852972</v>
      </c>
      <c r="AI39" s="214"/>
    </row>
    <row r="40" spans="1:35" ht="13" customHeight="1">
      <c r="B40" s="13"/>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row>
    <row r="41" spans="1:35" ht="13" customHeight="1">
      <c r="B41" s="17"/>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744"/>
      <c r="AF41" s="238"/>
      <c r="AG41" s="238"/>
      <c r="AH41" s="238"/>
      <c r="AI41" s="238"/>
    </row>
    <row r="42" spans="1:35" ht="13" customHeight="1">
      <c r="C42" s="239"/>
      <c r="R42" s="239"/>
      <c r="S42" s="239"/>
      <c r="T42" s="239"/>
      <c r="U42" s="239"/>
      <c r="V42" s="239"/>
      <c r="W42" s="239"/>
      <c r="X42" s="239"/>
      <c r="Y42" s="239"/>
      <c r="Z42" s="239"/>
      <c r="AA42" s="239"/>
      <c r="AB42" s="239"/>
      <c r="AC42" s="239"/>
      <c r="AD42" s="743"/>
      <c r="AE42" s="743"/>
      <c r="AF42" s="239"/>
      <c r="AG42" s="239"/>
      <c r="AH42" s="239"/>
    </row>
    <row r="43" spans="1:35" ht="13" customHeight="1">
      <c r="K43" s="239"/>
      <c r="R43" s="239"/>
      <c r="S43" s="239"/>
      <c r="T43" s="239"/>
      <c r="U43" s="239"/>
      <c r="V43" s="239"/>
      <c r="W43" s="239"/>
      <c r="X43" s="239"/>
      <c r="Y43" s="239"/>
      <c r="Z43" s="239"/>
      <c r="AA43" s="239"/>
      <c r="AB43" s="239"/>
      <c r="AC43" s="239"/>
      <c r="AD43" s="239"/>
      <c r="AE43" s="239"/>
      <c r="AF43" s="239"/>
      <c r="AG43" s="239"/>
      <c r="AH43" s="239"/>
    </row>
    <row r="44" spans="1:35" ht="13" customHeight="1">
      <c r="R44" s="239"/>
      <c r="S44" s="239"/>
      <c r="T44" s="239"/>
      <c r="U44" s="239"/>
      <c r="V44" s="239"/>
      <c r="W44" s="239"/>
      <c r="X44" s="239"/>
      <c r="Y44" s="239"/>
      <c r="Z44" s="239"/>
      <c r="AA44" s="239"/>
      <c r="AB44" s="239"/>
      <c r="AC44" s="239"/>
      <c r="AD44" s="239"/>
      <c r="AE44" s="239"/>
      <c r="AF44" s="239"/>
      <c r="AG44" s="239"/>
      <c r="AH44" s="239"/>
    </row>
    <row r="45" spans="1:35" ht="13" customHeight="1">
      <c r="R45" s="239"/>
      <c r="S45" s="239"/>
      <c r="T45" s="239"/>
      <c r="U45" s="239"/>
      <c r="V45" s="239"/>
      <c r="W45" s="239"/>
      <c r="X45" s="239"/>
      <c r="Y45" s="239"/>
      <c r="Z45" s="239"/>
      <c r="AA45" s="239"/>
      <c r="AB45" s="239"/>
      <c r="AC45" s="239"/>
      <c r="AD45" s="239"/>
      <c r="AE45" s="239"/>
      <c r="AF45" s="239"/>
      <c r="AG45" s="239"/>
      <c r="AH45" s="239"/>
    </row>
  </sheetData>
  <sheetProtection algorithmName="SHA-512" hashValue="TrRPgybvG6v4TCZA1Gz39+pazf4PTPMbdAvNFkci1Pxl6A2bHUastkmyPmc+addcvn/URBWVfGVlLDkEG2kl9Q==" saltValue="BwStLVLVz0ZeHbEXbPKxIw==" spinCount="100000" sheet="1" formatCells="0" formatColumns="0" formatRows="0" insertColumns="0" insertRows="0" insertHyperlinks="0" deleteColumns="0" deleteRows="0" sort="0" autoFilter="0" pivotTables="0"/>
  <phoneticPr fontId="6" type="noConversion"/>
  <pageMargins left="0.511811024" right="0.511811024" top="0.78740157499999996" bottom="0.78740157499999996" header="0.31496062000000002" footer="0.31496062000000002"/>
  <pageSetup paperSize="9" orientation="portrait" horizontalDpi="0" verticalDpi="0"/>
  <ignoredErrors>
    <ignoredError sqref="AF3:AH4 B2:H4 J2:AC4 AF16:AH17 AF5 AF6 AF7 AF8 AF9 AF10 AF11 AF12 AF13 AF14 AF15 AF28:AH29 AF18 AF19 AF20 AF21 AF22 AF23 AF24 AF25 AF26 AF27 AF34:AH34 AF30 AF31 AF32 AF33 AF37:AH38 AF35 AF36 AF39 AF2:AH2 B13 J16:AC17 J14 B15 B14 E14:H14 B17:H17 B16 D16:H16 J13 B10 B5 E5:H5 B6 E6:H6 B7 E7:H7 B8 E8:H8 B9 E9:H9 E10:H10 B11 E11:H11 B12 E12:H12 E13:H13 E15:H15 B28:H30 B18 E18:H18 B19 E19:H19 B20 E20:H20 B21 E21:H21 B22 E22:H22 B23 E23:H23 B24 E24:H24 B25 E25:H25 B26 E26:H26 B27 E27:H27 J10 J5 J6 J7 J8 J9 J11 J12 J15 J28:AC30 J18 J19 J20 J21 J22 J23 J24 J25 J26 J27 B37:H38 B31 E31:H31 B32 E32:H32 B33 E33:H33 B34 E34:H34 B35 E35:H35 B36 E36:H36 B39 E39:H39 J37:AC38 J31 J32 J33 J34 J35 J36 J39"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D8006-174F-CB4D-8F57-C3ED229B1EBF}">
  <sheetPr codeName="Sheet4">
    <tabColor rgb="FFEB7100"/>
  </sheetPr>
  <dimension ref="A1:XEU40"/>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5" style="120" customWidth="1"/>
    <col min="2" max="2" width="68.33203125" style="24" customWidth="1"/>
    <col min="3" max="9" width="10.83203125" style="120" customWidth="1"/>
    <col min="10" max="10" width="2.83203125" style="120" customWidth="1"/>
    <col min="11" max="31" width="10.83203125" style="120" customWidth="1"/>
    <col min="32" max="32" width="4.83203125" style="120" customWidth="1"/>
    <col min="33" max="34" width="10.83203125" style="120" customWidth="1"/>
    <col min="35" max="16384" width="10.83203125" style="120"/>
  </cols>
  <sheetData>
    <row r="1" spans="1:1022 1035:2036 2049:3063 3076:4090 4103:5117 5130:6144 6157:7158 7171:8185 8198:9212 9225:10239 10252:11253 11266:12280 12293:13307 13320:14334 14347:15348 15361:16375"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1:1022 1035:2036 2049:3063 3076:4090 4103:5117 5130:6144 6157:7158 7171:8185 8198:9212 9225:10239 10252:11253 11266:12280 12293:13307 13320:14334 14347:15348 15361:16375" s="9" customFormat="1" ht="13" customHeight="1">
      <c r="B2" s="255" t="str">
        <f>IF('Summary | Sumário'!D$6=Names!B$3,Names!M1,Names!N1)</f>
        <v>Income Statement (IFRS, R$ Thousands)</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118">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6"/>
      <c r="AG2" s="104" t="str">
        <f>IF('Summary | Sumário'!$D$6=Names!$B$3,Names!$I$24,Names!$J$24)</f>
        <v>QoQ Variation</v>
      </c>
      <c r="AH2" s="104" t="str">
        <f>IF('Summary | Sumário'!D6=Names!$B$3,Names!$I$25,Names!$J$25)</f>
        <v>YoY Variation</v>
      </c>
      <c r="AI2" s="10"/>
      <c r="AK2" s="11"/>
      <c r="AL2" s="12"/>
    </row>
    <row r="3" spans="1:1022 1035:2036 2049:3063 3076:4090 4103:5117 5130:6144 6157:7158 7171:8185 8198:9212 9225:10239 10252:11253 11266:12280 12293:13307 13320:14334 14347:15348 15361:16375" ht="13" customHeight="1">
      <c r="B3" s="13"/>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315"/>
      <c r="AC3" s="315"/>
      <c r="AD3" s="315"/>
      <c r="AE3" s="315"/>
      <c r="AF3" s="131"/>
      <c r="AG3" s="131"/>
      <c r="AH3" s="131"/>
    </row>
    <row r="4" spans="1:1022 1035:2036 2049:3063 3076:4090 4103:5117 5130:6144 6157:7158 7171:8185 8198:9212 9225:10239 10252:11253 11266:12280 12293:13307 13320:14334 14347:15348 15361:16375" ht="13" customHeight="1">
      <c r="A4" s="198"/>
      <c r="B4" s="15" t="str">
        <f>IF('Summary | Sumário'!D$6=Names!B$3,Names!M2,Names!N2)</f>
        <v>Interest income</v>
      </c>
      <c r="C4" s="173">
        <v>775515</v>
      </c>
      <c r="D4" s="173">
        <v>942655.89517999999</v>
      </c>
      <c r="E4" s="173">
        <v>1435428.2459999998</v>
      </c>
      <c r="F4" s="173">
        <v>2802658.0819999995</v>
      </c>
      <c r="G4" s="173">
        <v>4549827</v>
      </c>
      <c r="H4" s="173">
        <v>5139213</v>
      </c>
      <c r="I4" s="173">
        <v>8638477</v>
      </c>
      <c r="J4" s="164"/>
      <c r="K4" s="173">
        <v>289003.935</v>
      </c>
      <c r="L4" s="173">
        <v>305659.75100000005</v>
      </c>
      <c r="M4" s="173">
        <v>367405.88</v>
      </c>
      <c r="N4" s="173">
        <v>473357.68</v>
      </c>
      <c r="O4" s="173">
        <v>521159.63199999993</v>
      </c>
      <c r="P4" s="173">
        <v>622312.6370000001</v>
      </c>
      <c r="Q4" s="173">
        <v>788342.73100000003</v>
      </c>
      <c r="R4" s="173">
        <v>870843.08199999994</v>
      </c>
      <c r="S4" s="173">
        <v>1012926.822</v>
      </c>
      <c r="T4" s="173">
        <v>1151105</v>
      </c>
      <c r="U4" s="173">
        <v>1106935.08874</v>
      </c>
      <c r="V4" s="173">
        <v>1278860.08926</v>
      </c>
      <c r="W4" s="173">
        <v>1217530.9999999998</v>
      </c>
      <c r="X4" s="173">
        <v>1172415.139</v>
      </c>
      <c r="Y4" s="173">
        <v>1412226.140133633</v>
      </c>
      <c r="Z4" s="173">
        <v>1337040.7208663672</v>
      </c>
      <c r="AA4" s="173">
        <v>1806870</v>
      </c>
      <c r="AB4" s="173">
        <v>2128214</v>
      </c>
      <c r="AC4" s="173">
        <v>2226423</v>
      </c>
      <c r="AD4" s="173">
        <v>2476970</v>
      </c>
      <c r="AE4" s="173">
        <v>2569450</v>
      </c>
      <c r="AF4" s="173"/>
      <c r="AG4" s="326">
        <f>AE4/AD4-1</f>
        <v>3.7335938667000468E-2</v>
      </c>
      <c r="AH4" s="326">
        <f>AE4/AA4-1</f>
        <v>0.42204475142096554</v>
      </c>
    </row>
    <row r="5" spans="1:1022 1035:2036 2049:3063 3076:4090 4103:5117 5130:6144 6157:7158 7171:8185 8198:9212 9225:10239 10252:11253 11266:12280 12293:13307 13320:14334 14347:15348 15361:16375" s="199" customFormat="1" ht="13" customHeight="1">
      <c r="A5" s="198"/>
      <c r="B5" s="21" t="str">
        <f>IF('Summary | Sumário'!D$6=Names!B$3,Names!M3,Names!N3)</f>
        <v>Interest expenses</v>
      </c>
      <c r="C5" s="224">
        <v>-256717</v>
      </c>
      <c r="D5" s="224">
        <v>-184335</v>
      </c>
      <c r="E5" s="224">
        <v>-543242</v>
      </c>
      <c r="F5" s="224">
        <v>-1972850</v>
      </c>
      <c r="G5" s="224">
        <v>-2887573</v>
      </c>
      <c r="H5" s="224">
        <v>-3311638.4190579997</v>
      </c>
      <c r="I5" s="224">
        <v>-5977127</v>
      </c>
      <c r="J5" s="164"/>
      <c r="K5" s="224">
        <v>-65559</v>
      </c>
      <c r="L5" s="224">
        <v>-86261</v>
      </c>
      <c r="M5" s="224">
        <v>-138587</v>
      </c>
      <c r="N5" s="224">
        <v>-252835</v>
      </c>
      <c r="O5" s="224">
        <v>-336771</v>
      </c>
      <c r="P5" s="224">
        <v>-465041</v>
      </c>
      <c r="Q5" s="224">
        <v>-579678</v>
      </c>
      <c r="R5" s="224">
        <v>-591360</v>
      </c>
      <c r="S5" s="224">
        <v>-672771</v>
      </c>
      <c r="T5" s="224">
        <v>-692206</v>
      </c>
      <c r="U5" s="224">
        <v>-770398</v>
      </c>
      <c r="V5" s="224">
        <v>-752198.00500000012</v>
      </c>
      <c r="W5" s="224">
        <v>-762246.89030000009</v>
      </c>
      <c r="X5" s="224">
        <v>-772642.60900000005</v>
      </c>
      <c r="Y5" s="224">
        <v>-835616.71799999999</v>
      </c>
      <c r="Z5" s="224">
        <v>-941132.20175799984</v>
      </c>
      <c r="AA5" s="224">
        <v>-1179020</v>
      </c>
      <c r="AB5" s="224">
        <v>-1423958</v>
      </c>
      <c r="AC5" s="224">
        <v>-1653759</v>
      </c>
      <c r="AD5" s="224">
        <v>-1720390</v>
      </c>
      <c r="AE5" s="224">
        <v>-1751480</v>
      </c>
      <c r="AF5" s="173"/>
      <c r="AG5" s="503">
        <f>AE5/AD5-1</f>
        <v>1.8071483791465948E-2</v>
      </c>
      <c r="AH5" s="503">
        <f>AE5/AA5-1</f>
        <v>0.48553883733948533</v>
      </c>
      <c r="AI5" s="120"/>
      <c r="AU5" s="200"/>
      <c r="BH5" s="200"/>
      <c r="BU5" s="200"/>
      <c r="CH5" s="200"/>
      <c r="CU5" s="200"/>
      <c r="DH5" s="200"/>
      <c r="DU5" s="200"/>
      <c r="EH5" s="200"/>
      <c r="EU5" s="200"/>
      <c r="FH5" s="200"/>
      <c r="FU5" s="200"/>
      <c r="GH5" s="200"/>
      <c r="GU5" s="200"/>
      <c r="HH5" s="200"/>
      <c r="HU5" s="200"/>
      <c r="IH5" s="200"/>
      <c r="IU5" s="200"/>
      <c r="JH5" s="200"/>
      <c r="JU5" s="200"/>
      <c r="KH5" s="200"/>
      <c r="KU5" s="200"/>
      <c r="LH5" s="200"/>
      <c r="LU5" s="200"/>
      <c r="MH5" s="200"/>
      <c r="MU5" s="200"/>
      <c r="NH5" s="200"/>
      <c r="NU5" s="200"/>
      <c r="OH5" s="200"/>
      <c r="OU5" s="200"/>
      <c r="PH5" s="200"/>
      <c r="PU5" s="200"/>
      <c r="QH5" s="200"/>
      <c r="QU5" s="200"/>
      <c r="RH5" s="200"/>
      <c r="RU5" s="200"/>
      <c r="SH5" s="200"/>
      <c r="SU5" s="200"/>
      <c r="TH5" s="200"/>
      <c r="TU5" s="200"/>
      <c r="UH5" s="200"/>
      <c r="UU5" s="200"/>
      <c r="VH5" s="200"/>
      <c r="VU5" s="200"/>
      <c r="WH5" s="200"/>
      <c r="WU5" s="200"/>
      <c r="XH5" s="200"/>
      <c r="XU5" s="200"/>
      <c r="YH5" s="200"/>
      <c r="YU5" s="200"/>
      <c r="ZH5" s="200"/>
      <c r="ZU5" s="200"/>
      <c r="AAH5" s="200"/>
      <c r="AAU5" s="200"/>
      <c r="ABH5" s="200"/>
      <c r="ABU5" s="200"/>
      <c r="ACH5" s="200"/>
      <c r="ACU5" s="200"/>
      <c r="ADH5" s="200"/>
      <c r="ADU5" s="200"/>
      <c r="AEH5" s="200"/>
      <c r="AEU5" s="200"/>
      <c r="AFH5" s="200"/>
      <c r="AFU5" s="200"/>
      <c r="AGH5" s="200"/>
      <c r="AGU5" s="200"/>
      <c r="AHH5" s="200"/>
      <c r="AHU5" s="200"/>
      <c r="AIH5" s="200"/>
      <c r="AIU5" s="200"/>
      <c r="AJH5" s="200"/>
      <c r="AJU5" s="200"/>
      <c r="AKH5" s="200"/>
      <c r="AKU5" s="200"/>
      <c r="ALH5" s="200"/>
      <c r="ALU5" s="200"/>
      <c r="AMH5" s="200"/>
      <c r="AMU5" s="200"/>
      <c r="ANH5" s="200"/>
      <c r="ANU5" s="200"/>
      <c r="AOH5" s="200"/>
      <c r="AOU5" s="200"/>
      <c r="APH5" s="200"/>
      <c r="APU5" s="200"/>
      <c r="AQH5" s="200"/>
      <c r="AQU5" s="200"/>
      <c r="ARH5" s="200"/>
      <c r="ARU5" s="200"/>
      <c r="ASH5" s="200"/>
      <c r="ASU5" s="200"/>
      <c r="ATH5" s="200"/>
      <c r="ATU5" s="200"/>
      <c r="AUH5" s="200"/>
      <c r="AUU5" s="200"/>
      <c r="AVH5" s="200"/>
      <c r="AVU5" s="200"/>
      <c r="AWH5" s="200"/>
      <c r="AWU5" s="200"/>
      <c r="AXH5" s="200"/>
      <c r="AXU5" s="200"/>
      <c r="AYH5" s="200"/>
      <c r="AYU5" s="200"/>
      <c r="AZH5" s="200"/>
      <c r="AZU5" s="200"/>
      <c r="BAH5" s="200"/>
      <c r="BAU5" s="200"/>
      <c r="BBH5" s="200"/>
      <c r="BBU5" s="200"/>
      <c r="BCH5" s="200"/>
      <c r="BCU5" s="200"/>
      <c r="BDH5" s="200"/>
      <c r="BDU5" s="200"/>
      <c r="BEH5" s="200"/>
      <c r="BEU5" s="200"/>
      <c r="BFH5" s="200"/>
      <c r="BFU5" s="200"/>
      <c r="BGH5" s="200"/>
      <c r="BGU5" s="200"/>
      <c r="BHH5" s="200"/>
      <c r="BHU5" s="200"/>
      <c r="BIH5" s="200"/>
      <c r="BIU5" s="200"/>
      <c r="BJH5" s="200"/>
      <c r="BJU5" s="200"/>
      <c r="BKH5" s="200"/>
      <c r="BKU5" s="200"/>
      <c r="BLH5" s="200"/>
      <c r="BLU5" s="200"/>
      <c r="BMH5" s="200"/>
      <c r="BMU5" s="200"/>
      <c r="BNH5" s="200"/>
      <c r="BNU5" s="200"/>
      <c r="BOH5" s="200"/>
      <c r="BOU5" s="200"/>
      <c r="BPH5" s="200"/>
      <c r="BPU5" s="200"/>
      <c r="BQH5" s="200"/>
      <c r="BQU5" s="200"/>
      <c r="BRH5" s="200"/>
      <c r="BRU5" s="200"/>
      <c r="BSH5" s="200"/>
      <c r="BSU5" s="200"/>
      <c r="BTH5" s="200"/>
      <c r="BTU5" s="200"/>
      <c r="BUH5" s="200"/>
      <c r="BUU5" s="200"/>
      <c r="BVH5" s="200"/>
      <c r="BVU5" s="200"/>
      <c r="BWH5" s="200"/>
      <c r="BWU5" s="200"/>
      <c r="BXH5" s="200"/>
      <c r="BXU5" s="200"/>
      <c r="BYH5" s="200"/>
      <c r="BYU5" s="200"/>
      <c r="BZH5" s="200"/>
      <c r="BZU5" s="200"/>
      <c r="CAH5" s="200"/>
      <c r="CAU5" s="200"/>
      <c r="CBH5" s="200"/>
      <c r="CBU5" s="200"/>
      <c r="CCH5" s="200"/>
      <c r="CCU5" s="200"/>
      <c r="CDH5" s="200"/>
      <c r="CDU5" s="200"/>
      <c r="CEH5" s="200"/>
      <c r="CEU5" s="200"/>
      <c r="CFH5" s="200"/>
      <c r="CFU5" s="200"/>
      <c r="CGH5" s="200"/>
      <c r="CGU5" s="200"/>
      <c r="CHH5" s="200"/>
      <c r="CHU5" s="200"/>
      <c r="CIH5" s="200"/>
      <c r="CIU5" s="200"/>
      <c r="CJH5" s="200"/>
      <c r="CJU5" s="200"/>
      <c r="CKH5" s="200"/>
      <c r="CKU5" s="200"/>
      <c r="CLH5" s="200"/>
      <c r="CLU5" s="200"/>
      <c r="CMH5" s="200"/>
      <c r="CMU5" s="200"/>
      <c r="CNH5" s="200"/>
      <c r="CNU5" s="200"/>
      <c r="COH5" s="200"/>
      <c r="COU5" s="200"/>
      <c r="CPH5" s="200"/>
      <c r="CPU5" s="200"/>
      <c r="CQH5" s="200"/>
      <c r="CQU5" s="200"/>
      <c r="CRH5" s="200"/>
      <c r="CRU5" s="200"/>
      <c r="CSH5" s="200"/>
      <c r="CSU5" s="200"/>
      <c r="CTH5" s="200"/>
      <c r="CTU5" s="200"/>
      <c r="CUH5" s="200"/>
      <c r="CUU5" s="200"/>
      <c r="CVH5" s="200"/>
      <c r="CVU5" s="200"/>
      <c r="CWH5" s="200"/>
      <c r="CWU5" s="200"/>
      <c r="CXH5" s="200"/>
      <c r="CXU5" s="200"/>
      <c r="CYH5" s="200"/>
      <c r="CYU5" s="200"/>
      <c r="CZH5" s="200"/>
      <c r="CZU5" s="200"/>
      <c r="DAH5" s="200"/>
      <c r="DAU5" s="200"/>
      <c r="DBH5" s="200"/>
      <c r="DBU5" s="200"/>
      <c r="DCH5" s="200"/>
      <c r="DCU5" s="200"/>
      <c r="DDH5" s="200"/>
      <c r="DDU5" s="200"/>
      <c r="DEH5" s="200"/>
      <c r="DEU5" s="200"/>
      <c r="DFH5" s="200"/>
      <c r="DFU5" s="200"/>
      <c r="DGH5" s="200"/>
      <c r="DGU5" s="200"/>
      <c r="DHH5" s="200"/>
      <c r="DHU5" s="200"/>
      <c r="DIH5" s="200"/>
      <c r="DIU5" s="200"/>
      <c r="DJH5" s="200"/>
      <c r="DJU5" s="200"/>
      <c r="DKH5" s="200"/>
      <c r="DKU5" s="200"/>
      <c r="DLH5" s="200"/>
      <c r="DLU5" s="200"/>
      <c r="DMH5" s="200"/>
      <c r="DMU5" s="200"/>
      <c r="DNH5" s="200"/>
      <c r="DNU5" s="200"/>
      <c r="DOH5" s="200"/>
      <c r="DOU5" s="200"/>
      <c r="DPH5" s="200"/>
      <c r="DPU5" s="200"/>
      <c r="DQH5" s="200"/>
      <c r="DQU5" s="200"/>
      <c r="DRH5" s="200"/>
      <c r="DRU5" s="200"/>
      <c r="DSH5" s="200"/>
      <c r="DSU5" s="200"/>
      <c r="DTH5" s="200"/>
      <c r="DTU5" s="200"/>
      <c r="DUH5" s="200"/>
      <c r="DUU5" s="200"/>
      <c r="DVH5" s="200"/>
      <c r="DVU5" s="200"/>
      <c r="DWH5" s="200"/>
      <c r="DWU5" s="200"/>
      <c r="DXH5" s="200"/>
      <c r="DXU5" s="200"/>
      <c r="DYH5" s="200"/>
      <c r="DYU5" s="200"/>
      <c r="DZH5" s="200"/>
      <c r="DZU5" s="200"/>
      <c r="EAH5" s="200"/>
      <c r="EAU5" s="200"/>
      <c r="EBH5" s="200"/>
      <c r="EBU5" s="200"/>
      <c r="ECH5" s="200"/>
      <c r="ECU5" s="200"/>
      <c r="EDH5" s="200"/>
      <c r="EDU5" s="200"/>
      <c r="EEH5" s="200"/>
      <c r="EEU5" s="200"/>
      <c r="EFH5" s="200"/>
      <c r="EFU5" s="200"/>
      <c r="EGH5" s="200"/>
      <c r="EGU5" s="200"/>
      <c r="EHH5" s="200"/>
      <c r="EHU5" s="200"/>
      <c r="EIH5" s="200"/>
      <c r="EIU5" s="200"/>
      <c r="EJH5" s="200"/>
      <c r="EJU5" s="200"/>
      <c r="EKH5" s="200"/>
      <c r="EKU5" s="200"/>
      <c r="ELH5" s="200"/>
      <c r="ELU5" s="200"/>
      <c r="EMH5" s="200"/>
      <c r="EMU5" s="200"/>
      <c r="ENH5" s="200"/>
      <c r="ENU5" s="200"/>
      <c r="EOH5" s="200"/>
      <c r="EOU5" s="200"/>
      <c r="EPH5" s="200"/>
      <c r="EPU5" s="200"/>
      <c r="EQH5" s="200"/>
      <c r="EQU5" s="200"/>
      <c r="ERH5" s="200"/>
      <c r="ERU5" s="200"/>
      <c r="ESH5" s="200"/>
      <c r="ESU5" s="200"/>
      <c r="ETH5" s="200"/>
      <c r="ETU5" s="200"/>
      <c r="EUH5" s="200"/>
      <c r="EUU5" s="200"/>
      <c r="EVH5" s="200"/>
      <c r="EVU5" s="200"/>
      <c r="EWH5" s="200"/>
      <c r="EWU5" s="200"/>
      <c r="EXH5" s="200"/>
      <c r="EXU5" s="200"/>
      <c r="EYH5" s="200"/>
      <c r="EYU5" s="200"/>
      <c r="EZH5" s="200"/>
      <c r="EZU5" s="200"/>
      <c r="FAH5" s="200"/>
      <c r="FAU5" s="200"/>
      <c r="FBH5" s="200"/>
      <c r="FBU5" s="200"/>
      <c r="FCH5" s="200"/>
      <c r="FCU5" s="200"/>
      <c r="FDH5" s="200"/>
      <c r="FDU5" s="200"/>
      <c r="FEH5" s="200"/>
      <c r="FEU5" s="200"/>
      <c r="FFH5" s="200"/>
      <c r="FFU5" s="200"/>
      <c r="FGH5" s="200"/>
      <c r="FGU5" s="200"/>
      <c r="FHH5" s="200"/>
      <c r="FHU5" s="200"/>
      <c r="FIH5" s="200"/>
      <c r="FIU5" s="200"/>
      <c r="FJH5" s="200"/>
      <c r="FJU5" s="200"/>
      <c r="FKH5" s="200"/>
      <c r="FKU5" s="200"/>
      <c r="FLH5" s="200"/>
      <c r="FLU5" s="200"/>
      <c r="FMH5" s="200"/>
      <c r="FMU5" s="200"/>
      <c r="FNH5" s="200"/>
      <c r="FNU5" s="200"/>
      <c r="FOH5" s="200"/>
      <c r="FOU5" s="200"/>
      <c r="FPH5" s="200"/>
      <c r="FPU5" s="200"/>
      <c r="FQH5" s="200"/>
      <c r="FQU5" s="200"/>
      <c r="FRH5" s="200"/>
      <c r="FRU5" s="200"/>
      <c r="FSH5" s="200"/>
      <c r="FSU5" s="200"/>
      <c r="FTH5" s="200"/>
      <c r="FTU5" s="200"/>
      <c r="FUH5" s="200"/>
      <c r="FUU5" s="200"/>
      <c r="FVH5" s="200"/>
      <c r="FVU5" s="200"/>
      <c r="FWH5" s="200"/>
      <c r="FWU5" s="200"/>
      <c r="FXH5" s="200"/>
      <c r="FXU5" s="200"/>
      <c r="FYH5" s="200"/>
      <c r="FYU5" s="200"/>
      <c r="FZH5" s="200"/>
      <c r="FZU5" s="200"/>
      <c r="GAH5" s="200"/>
      <c r="GAU5" s="200"/>
      <c r="GBH5" s="200"/>
      <c r="GBU5" s="200"/>
      <c r="GCH5" s="200"/>
      <c r="GCU5" s="200"/>
      <c r="GDH5" s="200"/>
      <c r="GDU5" s="200"/>
      <c r="GEH5" s="200"/>
      <c r="GEU5" s="200"/>
      <c r="GFH5" s="200"/>
      <c r="GFU5" s="200"/>
      <c r="GGH5" s="200"/>
      <c r="GGU5" s="200"/>
      <c r="GHH5" s="200"/>
      <c r="GHU5" s="200"/>
      <c r="GIH5" s="200"/>
      <c r="GIU5" s="200"/>
      <c r="GJH5" s="200"/>
      <c r="GJU5" s="200"/>
      <c r="GKH5" s="200"/>
      <c r="GKU5" s="200"/>
      <c r="GLH5" s="200"/>
      <c r="GLU5" s="200"/>
      <c r="GMH5" s="200"/>
      <c r="GMU5" s="200"/>
      <c r="GNH5" s="200"/>
      <c r="GNU5" s="200"/>
      <c r="GOH5" s="200"/>
      <c r="GOU5" s="200"/>
      <c r="GPH5" s="200"/>
      <c r="GPU5" s="200"/>
      <c r="GQH5" s="200"/>
      <c r="GQU5" s="200"/>
      <c r="GRH5" s="200"/>
      <c r="GRU5" s="200"/>
      <c r="GSH5" s="200"/>
      <c r="GSU5" s="200"/>
      <c r="GTH5" s="200"/>
      <c r="GTU5" s="200"/>
      <c r="GUH5" s="200"/>
      <c r="GUU5" s="200"/>
      <c r="GVH5" s="200"/>
      <c r="GVU5" s="200"/>
      <c r="GWH5" s="200"/>
      <c r="GWU5" s="200"/>
      <c r="GXH5" s="200"/>
      <c r="GXU5" s="200"/>
      <c r="GYH5" s="200"/>
      <c r="GYU5" s="200"/>
      <c r="GZH5" s="200"/>
      <c r="GZU5" s="200"/>
      <c r="HAH5" s="200"/>
      <c r="HAU5" s="200"/>
      <c r="HBH5" s="200"/>
      <c r="HBU5" s="200"/>
      <c r="HCH5" s="200"/>
      <c r="HCU5" s="200"/>
      <c r="HDH5" s="200"/>
      <c r="HDU5" s="200"/>
      <c r="HEH5" s="200"/>
      <c r="HEU5" s="200"/>
      <c r="HFH5" s="200"/>
      <c r="HFU5" s="200"/>
      <c r="HGH5" s="200"/>
      <c r="HGU5" s="200"/>
      <c r="HHH5" s="200"/>
      <c r="HHU5" s="200"/>
      <c r="HIH5" s="200"/>
      <c r="HIU5" s="200"/>
      <c r="HJH5" s="200"/>
      <c r="HJU5" s="200"/>
      <c r="HKH5" s="200"/>
      <c r="HKU5" s="200"/>
      <c r="HLH5" s="200"/>
      <c r="HLU5" s="200"/>
      <c r="HMH5" s="200"/>
      <c r="HMU5" s="200"/>
      <c r="HNH5" s="200"/>
      <c r="HNU5" s="200"/>
      <c r="HOH5" s="200"/>
      <c r="HOU5" s="200"/>
      <c r="HPH5" s="200"/>
      <c r="HPU5" s="200"/>
      <c r="HQH5" s="200"/>
      <c r="HQU5" s="200"/>
      <c r="HRH5" s="200"/>
      <c r="HRU5" s="200"/>
      <c r="HSH5" s="200"/>
      <c r="HSU5" s="200"/>
      <c r="HTH5" s="200"/>
      <c r="HTU5" s="200"/>
      <c r="HUH5" s="200"/>
      <c r="HUU5" s="200"/>
      <c r="HVH5" s="200"/>
      <c r="HVU5" s="200"/>
      <c r="HWH5" s="200"/>
      <c r="HWU5" s="200"/>
      <c r="HXH5" s="200"/>
      <c r="HXU5" s="200"/>
      <c r="HYH5" s="200"/>
      <c r="HYU5" s="200"/>
      <c r="HZH5" s="200"/>
      <c r="HZU5" s="200"/>
      <c r="IAH5" s="200"/>
      <c r="IAU5" s="200"/>
      <c r="IBH5" s="200"/>
      <c r="IBU5" s="200"/>
      <c r="ICH5" s="200"/>
      <c r="ICU5" s="200"/>
      <c r="IDH5" s="200"/>
      <c r="IDU5" s="200"/>
      <c r="IEH5" s="200"/>
      <c r="IEU5" s="200"/>
      <c r="IFH5" s="200"/>
      <c r="IFU5" s="200"/>
      <c r="IGH5" s="200"/>
      <c r="IGU5" s="200"/>
      <c r="IHH5" s="200"/>
      <c r="IHU5" s="200"/>
      <c r="IIH5" s="200"/>
      <c r="IIU5" s="200"/>
      <c r="IJH5" s="200"/>
      <c r="IJU5" s="200"/>
      <c r="IKH5" s="200"/>
      <c r="IKU5" s="200"/>
      <c r="ILH5" s="200"/>
      <c r="ILU5" s="200"/>
      <c r="IMH5" s="200"/>
      <c r="IMU5" s="200"/>
      <c r="INH5" s="200"/>
      <c r="INU5" s="200"/>
      <c r="IOH5" s="200"/>
      <c r="IOU5" s="200"/>
      <c r="IPH5" s="200"/>
      <c r="IPU5" s="200"/>
      <c r="IQH5" s="200"/>
      <c r="IQU5" s="200"/>
      <c r="IRH5" s="200"/>
      <c r="IRU5" s="200"/>
      <c r="ISH5" s="200"/>
      <c r="ISU5" s="200"/>
      <c r="ITH5" s="200"/>
      <c r="ITU5" s="200"/>
      <c r="IUH5" s="200"/>
      <c r="IUU5" s="200"/>
      <c r="IVH5" s="200"/>
      <c r="IVU5" s="200"/>
      <c r="IWH5" s="200"/>
      <c r="IWU5" s="200"/>
      <c r="IXH5" s="200"/>
      <c r="IXU5" s="200"/>
      <c r="IYH5" s="200"/>
      <c r="IYU5" s="200"/>
      <c r="IZH5" s="200"/>
      <c r="IZU5" s="200"/>
      <c r="JAH5" s="200"/>
      <c r="JAU5" s="200"/>
      <c r="JBH5" s="200"/>
      <c r="JBU5" s="200"/>
      <c r="JCH5" s="200"/>
      <c r="JCU5" s="200"/>
      <c r="JDH5" s="200"/>
      <c r="JDU5" s="200"/>
      <c r="JEH5" s="200"/>
      <c r="JEU5" s="200"/>
      <c r="JFH5" s="200"/>
      <c r="JFU5" s="200"/>
      <c r="JGH5" s="200"/>
      <c r="JGU5" s="200"/>
      <c r="JHH5" s="200"/>
      <c r="JHU5" s="200"/>
      <c r="JIH5" s="200"/>
      <c r="JIU5" s="200"/>
      <c r="JJH5" s="200"/>
      <c r="JJU5" s="200"/>
      <c r="JKH5" s="200"/>
      <c r="JKU5" s="200"/>
      <c r="JLH5" s="200"/>
      <c r="JLU5" s="200"/>
      <c r="JMH5" s="200"/>
      <c r="JMU5" s="200"/>
      <c r="JNH5" s="200"/>
      <c r="JNU5" s="200"/>
      <c r="JOH5" s="200"/>
      <c r="JOU5" s="200"/>
      <c r="JPH5" s="200"/>
      <c r="JPU5" s="200"/>
      <c r="JQH5" s="200"/>
      <c r="JQU5" s="200"/>
      <c r="JRH5" s="200"/>
      <c r="JRU5" s="200"/>
      <c r="JSH5" s="200"/>
      <c r="JSU5" s="200"/>
      <c r="JTH5" s="200"/>
      <c r="JTU5" s="200"/>
      <c r="JUH5" s="200"/>
      <c r="JUU5" s="200"/>
      <c r="JVH5" s="200"/>
      <c r="JVU5" s="200"/>
      <c r="JWH5" s="200"/>
      <c r="JWU5" s="200"/>
      <c r="JXH5" s="200"/>
      <c r="JXU5" s="200"/>
      <c r="JYH5" s="200"/>
      <c r="JYU5" s="200"/>
      <c r="JZH5" s="200"/>
      <c r="JZU5" s="200"/>
      <c r="KAH5" s="200"/>
      <c r="KAU5" s="200"/>
      <c r="KBH5" s="200"/>
      <c r="KBU5" s="200"/>
      <c r="KCH5" s="200"/>
      <c r="KCU5" s="200"/>
      <c r="KDH5" s="200"/>
      <c r="KDU5" s="200"/>
      <c r="KEH5" s="200"/>
      <c r="KEU5" s="200"/>
      <c r="KFH5" s="200"/>
      <c r="KFU5" s="200"/>
      <c r="KGH5" s="200"/>
      <c r="KGU5" s="200"/>
      <c r="KHH5" s="200"/>
      <c r="KHU5" s="200"/>
      <c r="KIH5" s="200"/>
      <c r="KIU5" s="200"/>
      <c r="KJH5" s="200"/>
      <c r="KJU5" s="200"/>
      <c r="KKH5" s="200"/>
      <c r="KKU5" s="200"/>
      <c r="KLH5" s="200"/>
      <c r="KLU5" s="200"/>
      <c r="KMH5" s="200"/>
      <c r="KMU5" s="200"/>
      <c r="KNH5" s="200"/>
      <c r="KNU5" s="200"/>
      <c r="KOH5" s="200"/>
      <c r="KOU5" s="200"/>
      <c r="KPH5" s="200"/>
      <c r="KPU5" s="200"/>
      <c r="KQH5" s="200"/>
      <c r="KQU5" s="200"/>
      <c r="KRH5" s="200"/>
      <c r="KRU5" s="200"/>
      <c r="KSH5" s="200"/>
      <c r="KSU5" s="200"/>
      <c r="KTH5" s="200"/>
      <c r="KTU5" s="200"/>
      <c r="KUH5" s="200"/>
      <c r="KUU5" s="200"/>
      <c r="KVH5" s="200"/>
      <c r="KVU5" s="200"/>
      <c r="KWH5" s="200"/>
      <c r="KWU5" s="200"/>
      <c r="KXH5" s="200"/>
      <c r="KXU5" s="200"/>
      <c r="KYH5" s="200"/>
      <c r="KYU5" s="200"/>
      <c r="KZH5" s="200"/>
      <c r="KZU5" s="200"/>
      <c r="LAH5" s="200"/>
      <c r="LAU5" s="200"/>
      <c r="LBH5" s="200"/>
      <c r="LBU5" s="200"/>
      <c r="LCH5" s="200"/>
      <c r="LCU5" s="200"/>
      <c r="LDH5" s="200"/>
      <c r="LDU5" s="200"/>
      <c r="LEH5" s="200"/>
      <c r="LEU5" s="200"/>
      <c r="LFH5" s="200"/>
      <c r="LFU5" s="200"/>
      <c r="LGH5" s="200"/>
      <c r="LGU5" s="200"/>
      <c r="LHH5" s="200"/>
      <c r="LHU5" s="200"/>
      <c r="LIH5" s="200"/>
      <c r="LIU5" s="200"/>
      <c r="LJH5" s="200"/>
      <c r="LJU5" s="200"/>
      <c r="LKH5" s="200"/>
      <c r="LKU5" s="200"/>
      <c r="LLH5" s="200"/>
      <c r="LLU5" s="200"/>
      <c r="LMH5" s="200"/>
      <c r="LMU5" s="200"/>
      <c r="LNH5" s="200"/>
      <c r="LNU5" s="200"/>
      <c r="LOH5" s="200"/>
      <c r="LOU5" s="200"/>
      <c r="LPH5" s="200"/>
      <c r="LPU5" s="200"/>
      <c r="LQH5" s="200"/>
      <c r="LQU5" s="200"/>
      <c r="LRH5" s="200"/>
      <c r="LRU5" s="200"/>
      <c r="LSH5" s="200"/>
      <c r="LSU5" s="200"/>
      <c r="LTH5" s="200"/>
      <c r="LTU5" s="200"/>
      <c r="LUH5" s="200"/>
      <c r="LUU5" s="200"/>
      <c r="LVH5" s="200"/>
      <c r="LVU5" s="200"/>
      <c r="LWH5" s="200"/>
      <c r="LWU5" s="200"/>
      <c r="LXH5" s="200"/>
      <c r="LXU5" s="200"/>
      <c r="LYH5" s="200"/>
      <c r="LYU5" s="200"/>
      <c r="LZH5" s="200"/>
      <c r="LZU5" s="200"/>
      <c r="MAH5" s="200"/>
      <c r="MAU5" s="200"/>
      <c r="MBH5" s="200"/>
      <c r="MBU5" s="200"/>
      <c r="MCH5" s="200"/>
      <c r="MCU5" s="200"/>
      <c r="MDH5" s="200"/>
      <c r="MDU5" s="200"/>
      <c r="MEH5" s="200"/>
      <c r="MEU5" s="200"/>
      <c r="MFH5" s="200"/>
      <c r="MFU5" s="200"/>
      <c r="MGH5" s="200"/>
      <c r="MGU5" s="200"/>
      <c r="MHH5" s="200"/>
      <c r="MHU5" s="200"/>
      <c r="MIH5" s="200"/>
      <c r="MIU5" s="200"/>
      <c r="MJH5" s="200"/>
      <c r="MJU5" s="200"/>
      <c r="MKH5" s="200"/>
      <c r="MKU5" s="200"/>
      <c r="MLH5" s="200"/>
      <c r="MLU5" s="200"/>
      <c r="MMH5" s="200"/>
      <c r="MMU5" s="200"/>
      <c r="MNH5" s="200"/>
      <c r="MNU5" s="200"/>
      <c r="MOH5" s="200"/>
      <c r="MOU5" s="200"/>
      <c r="MPH5" s="200"/>
      <c r="MPU5" s="200"/>
      <c r="MQH5" s="200"/>
      <c r="MQU5" s="200"/>
      <c r="MRH5" s="200"/>
      <c r="MRU5" s="200"/>
      <c r="MSH5" s="200"/>
      <c r="MSU5" s="200"/>
      <c r="MTH5" s="200"/>
      <c r="MTU5" s="200"/>
      <c r="MUH5" s="200"/>
      <c r="MUU5" s="200"/>
      <c r="MVH5" s="200"/>
      <c r="MVU5" s="200"/>
      <c r="MWH5" s="200"/>
      <c r="MWU5" s="200"/>
      <c r="MXH5" s="200"/>
      <c r="MXU5" s="200"/>
      <c r="MYH5" s="200"/>
      <c r="MYU5" s="200"/>
      <c r="MZH5" s="200"/>
      <c r="MZU5" s="200"/>
      <c r="NAH5" s="200"/>
      <c r="NAU5" s="200"/>
      <c r="NBH5" s="200"/>
      <c r="NBU5" s="200"/>
      <c r="NCH5" s="200"/>
      <c r="NCU5" s="200"/>
      <c r="NDH5" s="200"/>
      <c r="NDU5" s="200"/>
      <c r="NEH5" s="200"/>
      <c r="NEU5" s="200"/>
      <c r="NFH5" s="200"/>
      <c r="NFU5" s="200"/>
      <c r="NGH5" s="200"/>
      <c r="NGU5" s="200"/>
      <c r="NHH5" s="200"/>
      <c r="NHU5" s="200"/>
      <c r="NIH5" s="200"/>
      <c r="NIU5" s="200"/>
      <c r="NJH5" s="200"/>
      <c r="NJU5" s="200"/>
      <c r="NKH5" s="200"/>
      <c r="NKU5" s="200"/>
      <c r="NLH5" s="200"/>
      <c r="NLU5" s="200"/>
      <c r="NMH5" s="200"/>
      <c r="NMU5" s="200"/>
      <c r="NNH5" s="200"/>
      <c r="NNU5" s="200"/>
      <c r="NOH5" s="200"/>
      <c r="NOU5" s="200"/>
      <c r="NPH5" s="200"/>
      <c r="NPU5" s="200"/>
      <c r="NQH5" s="200"/>
      <c r="NQU5" s="200"/>
      <c r="NRH5" s="200"/>
      <c r="NRU5" s="200"/>
      <c r="NSH5" s="200"/>
      <c r="NSU5" s="200"/>
      <c r="NTH5" s="200"/>
      <c r="NTU5" s="200"/>
      <c r="NUH5" s="200"/>
      <c r="NUU5" s="200"/>
      <c r="NVH5" s="200"/>
      <c r="NVU5" s="200"/>
      <c r="NWH5" s="200"/>
      <c r="NWU5" s="200"/>
      <c r="NXH5" s="200"/>
      <c r="NXU5" s="200"/>
      <c r="NYH5" s="200"/>
      <c r="NYU5" s="200"/>
      <c r="NZH5" s="200"/>
      <c r="NZU5" s="200"/>
      <c r="OAH5" s="200"/>
      <c r="OAU5" s="200"/>
      <c r="OBH5" s="200"/>
      <c r="OBU5" s="200"/>
      <c r="OCH5" s="200"/>
      <c r="OCU5" s="200"/>
      <c r="ODH5" s="200"/>
      <c r="ODU5" s="200"/>
      <c r="OEH5" s="200"/>
      <c r="OEU5" s="200"/>
      <c r="OFH5" s="200"/>
      <c r="OFU5" s="200"/>
      <c r="OGH5" s="200"/>
      <c r="OGU5" s="200"/>
      <c r="OHH5" s="200"/>
      <c r="OHU5" s="200"/>
      <c r="OIH5" s="200"/>
      <c r="OIU5" s="200"/>
      <c r="OJH5" s="200"/>
      <c r="OJU5" s="200"/>
      <c r="OKH5" s="200"/>
      <c r="OKU5" s="200"/>
      <c r="OLH5" s="200"/>
      <c r="OLU5" s="200"/>
      <c r="OMH5" s="200"/>
      <c r="OMU5" s="200"/>
      <c r="ONH5" s="200"/>
      <c r="ONU5" s="200"/>
      <c r="OOH5" s="200"/>
      <c r="OOU5" s="200"/>
      <c r="OPH5" s="200"/>
      <c r="OPU5" s="200"/>
      <c r="OQH5" s="200"/>
      <c r="OQU5" s="200"/>
      <c r="ORH5" s="200"/>
      <c r="ORU5" s="200"/>
      <c r="OSH5" s="200"/>
      <c r="OSU5" s="200"/>
      <c r="OTH5" s="200"/>
      <c r="OTU5" s="200"/>
      <c r="OUH5" s="200"/>
      <c r="OUU5" s="200"/>
      <c r="OVH5" s="200"/>
      <c r="OVU5" s="200"/>
      <c r="OWH5" s="200"/>
      <c r="OWU5" s="200"/>
      <c r="OXH5" s="200"/>
      <c r="OXU5" s="200"/>
      <c r="OYH5" s="200"/>
      <c r="OYU5" s="200"/>
      <c r="OZH5" s="200"/>
      <c r="OZU5" s="200"/>
      <c r="PAH5" s="200"/>
      <c r="PAU5" s="200"/>
      <c r="PBH5" s="200"/>
      <c r="PBU5" s="200"/>
      <c r="PCH5" s="200"/>
      <c r="PCU5" s="200"/>
      <c r="PDH5" s="200"/>
      <c r="PDU5" s="200"/>
      <c r="PEH5" s="200"/>
      <c r="PEU5" s="200"/>
      <c r="PFH5" s="200"/>
      <c r="PFU5" s="200"/>
      <c r="PGH5" s="200"/>
      <c r="PGU5" s="200"/>
      <c r="PHH5" s="200"/>
      <c r="PHU5" s="200"/>
      <c r="PIH5" s="200"/>
      <c r="PIU5" s="200"/>
      <c r="PJH5" s="200"/>
      <c r="PJU5" s="200"/>
      <c r="PKH5" s="200"/>
      <c r="PKU5" s="200"/>
      <c r="PLH5" s="200"/>
      <c r="PLU5" s="200"/>
      <c r="PMH5" s="200"/>
      <c r="PMU5" s="200"/>
      <c r="PNH5" s="200"/>
      <c r="PNU5" s="200"/>
      <c r="POH5" s="200"/>
      <c r="POU5" s="200"/>
      <c r="PPH5" s="200"/>
      <c r="PPU5" s="200"/>
      <c r="PQH5" s="200"/>
      <c r="PQU5" s="200"/>
      <c r="PRH5" s="200"/>
      <c r="PRU5" s="200"/>
      <c r="PSH5" s="200"/>
      <c r="PSU5" s="200"/>
      <c r="PTH5" s="200"/>
      <c r="PTU5" s="200"/>
      <c r="PUH5" s="200"/>
      <c r="PUU5" s="200"/>
      <c r="PVH5" s="200"/>
      <c r="PVU5" s="200"/>
      <c r="PWH5" s="200"/>
      <c r="PWU5" s="200"/>
      <c r="PXH5" s="200"/>
      <c r="PXU5" s="200"/>
      <c r="PYH5" s="200"/>
      <c r="PYU5" s="200"/>
      <c r="PZH5" s="200"/>
      <c r="PZU5" s="200"/>
      <c r="QAH5" s="200"/>
      <c r="QAU5" s="200"/>
      <c r="QBH5" s="200"/>
      <c r="QBU5" s="200"/>
      <c r="QCH5" s="200"/>
      <c r="QCU5" s="200"/>
      <c r="QDH5" s="200"/>
      <c r="QDU5" s="200"/>
      <c r="QEH5" s="200"/>
      <c r="QEU5" s="200"/>
      <c r="QFH5" s="200"/>
      <c r="QFU5" s="200"/>
      <c r="QGH5" s="200"/>
      <c r="QGU5" s="200"/>
      <c r="QHH5" s="200"/>
      <c r="QHU5" s="200"/>
      <c r="QIH5" s="200"/>
      <c r="QIU5" s="200"/>
      <c r="QJH5" s="200"/>
      <c r="QJU5" s="200"/>
      <c r="QKH5" s="200"/>
      <c r="QKU5" s="200"/>
      <c r="QLH5" s="200"/>
      <c r="QLU5" s="200"/>
      <c r="QMH5" s="200"/>
      <c r="QMU5" s="200"/>
      <c r="QNH5" s="200"/>
      <c r="QNU5" s="200"/>
      <c r="QOH5" s="200"/>
      <c r="QOU5" s="200"/>
      <c r="QPH5" s="200"/>
      <c r="QPU5" s="200"/>
      <c r="QQH5" s="200"/>
      <c r="QQU5" s="200"/>
      <c r="QRH5" s="200"/>
      <c r="QRU5" s="200"/>
      <c r="QSH5" s="200"/>
      <c r="QSU5" s="200"/>
      <c r="QTH5" s="200"/>
      <c r="QTU5" s="200"/>
      <c r="QUH5" s="200"/>
      <c r="QUU5" s="200"/>
      <c r="QVH5" s="200"/>
      <c r="QVU5" s="200"/>
      <c r="QWH5" s="200"/>
      <c r="QWU5" s="200"/>
      <c r="QXH5" s="200"/>
      <c r="QXU5" s="200"/>
      <c r="QYH5" s="200"/>
      <c r="QYU5" s="200"/>
      <c r="QZH5" s="200"/>
      <c r="QZU5" s="200"/>
      <c r="RAH5" s="200"/>
      <c r="RAU5" s="200"/>
      <c r="RBH5" s="200"/>
      <c r="RBU5" s="200"/>
      <c r="RCH5" s="200"/>
      <c r="RCU5" s="200"/>
      <c r="RDH5" s="200"/>
      <c r="RDU5" s="200"/>
      <c r="REH5" s="200"/>
      <c r="REU5" s="200"/>
      <c r="RFH5" s="200"/>
      <c r="RFU5" s="200"/>
      <c r="RGH5" s="200"/>
      <c r="RGU5" s="200"/>
      <c r="RHH5" s="200"/>
      <c r="RHU5" s="200"/>
      <c r="RIH5" s="200"/>
      <c r="RIU5" s="200"/>
      <c r="RJH5" s="200"/>
      <c r="RJU5" s="200"/>
      <c r="RKH5" s="200"/>
      <c r="RKU5" s="200"/>
      <c r="RLH5" s="200"/>
      <c r="RLU5" s="200"/>
      <c r="RMH5" s="200"/>
      <c r="RMU5" s="200"/>
      <c r="RNH5" s="200"/>
      <c r="RNU5" s="200"/>
      <c r="ROH5" s="200"/>
      <c r="ROU5" s="200"/>
      <c r="RPH5" s="200"/>
      <c r="RPU5" s="200"/>
      <c r="RQH5" s="200"/>
      <c r="RQU5" s="200"/>
      <c r="RRH5" s="200"/>
      <c r="RRU5" s="200"/>
      <c r="RSH5" s="200"/>
      <c r="RSU5" s="200"/>
      <c r="RTH5" s="200"/>
      <c r="RTU5" s="200"/>
      <c r="RUH5" s="200"/>
      <c r="RUU5" s="200"/>
      <c r="RVH5" s="200"/>
      <c r="RVU5" s="200"/>
      <c r="RWH5" s="200"/>
      <c r="RWU5" s="200"/>
      <c r="RXH5" s="200"/>
      <c r="RXU5" s="200"/>
      <c r="RYH5" s="200"/>
      <c r="RYU5" s="200"/>
      <c r="RZH5" s="200"/>
      <c r="RZU5" s="200"/>
      <c r="SAH5" s="200"/>
      <c r="SAU5" s="200"/>
      <c r="SBH5" s="200"/>
      <c r="SBU5" s="200"/>
      <c r="SCH5" s="200"/>
      <c r="SCU5" s="200"/>
      <c r="SDH5" s="200"/>
      <c r="SDU5" s="200"/>
      <c r="SEH5" s="200"/>
      <c r="SEU5" s="200"/>
      <c r="SFH5" s="200"/>
      <c r="SFU5" s="200"/>
      <c r="SGH5" s="200"/>
      <c r="SGU5" s="200"/>
      <c r="SHH5" s="200"/>
      <c r="SHU5" s="200"/>
      <c r="SIH5" s="200"/>
      <c r="SIU5" s="200"/>
      <c r="SJH5" s="200"/>
      <c r="SJU5" s="200"/>
      <c r="SKH5" s="200"/>
      <c r="SKU5" s="200"/>
      <c r="SLH5" s="200"/>
      <c r="SLU5" s="200"/>
      <c r="SMH5" s="200"/>
      <c r="SMU5" s="200"/>
      <c r="SNH5" s="200"/>
      <c r="SNU5" s="200"/>
      <c r="SOH5" s="200"/>
      <c r="SOU5" s="200"/>
      <c r="SPH5" s="200"/>
      <c r="SPU5" s="200"/>
      <c r="SQH5" s="200"/>
      <c r="SQU5" s="200"/>
      <c r="SRH5" s="200"/>
      <c r="SRU5" s="200"/>
      <c r="SSH5" s="200"/>
      <c r="SSU5" s="200"/>
      <c r="STH5" s="200"/>
      <c r="STU5" s="200"/>
      <c r="SUH5" s="200"/>
      <c r="SUU5" s="200"/>
      <c r="SVH5" s="200"/>
      <c r="SVU5" s="200"/>
      <c r="SWH5" s="200"/>
      <c r="SWU5" s="200"/>
      <c r="SXH5" s="200"/>
      <c r="SXU5" s="200"/>
      <c r="SYH5" s="200"/>
      <c r="SYU5" s="200"/>
      <c r="SZH5" s="200"/>
      <c r="SZU5" s="200"/>
      <c r="TAH5" s="200"/>
      <c r="TAU5" s="200"/>
      <c r="TBH5" s="200"/>
      <c r="TBU5" s="200"/>
      <c r="TCH5" s="200"/>
      <c r="TCU5" s="200"/>
      <c r="TDH5" s="200"/>
      <c r="TDU5" s="200"/>
      <c r="TEH5" s="200"/>
      <c r="TEU5" s="200"/>
      <c r="TFH5" s="200"/>
      <c r="TFU5" s="200"/>
      <c r="TGH5" s="200"/>
      <c r="TGU5" s="200"/>
      <c r="THH5" s="200"/>
      <c r="THU5" s="200"/>
      <c r="TIH5" s="200"/>
      <c r="TIU5" s="200"/>
      <c r="TJH5" s="200"/>
      <c r="TJU5" s="200"/>
      <c r="TKH5" s="200"/>
      <c r="TKU5" s="200"/>
      <c r="TLH5" s="200"/>
      <c r="TLU5" s="200"/>
      <c r="TMH5" s="200"/>
      <c r="TMU5" s="200"/>
      <c r="TNH5" s="200"/>
      <c r="TNU5" s="200"/>
      <c r="TOH5" s="200"/>
      <c r="TOU5" s="200"/>
      <c r="TPH5" s="200"/>
      <c r="TPU5" s="200"/>
      <c r="TQH5" s="200"/>
      <c r="TQU5" s="200"/>
      <c r="TRH5" s="200"/>
      <c r="TRU5" s="200"/>
      <c r="TSH5" s="200"/>
      <c r="TSU5" s="200"/>
      <c r="TTH5" s="200"/>
      <c r="TTU5" s="200"/>
      <c r="TUH5" s="200"/>
      <c r="TUU5" s="200"/>
      <c r="TVH5" s="200"/>
      <c r="TVU5" s="200"/>
      <c r="TWH5" s="200"/>
      <c r="TWU5" s="200"/>
      <c r="TXH5" s="200"/>
      <c r="TXU5" s="200"/>
      <c r="TYH5" s="200"/>
      <c r="TYU5" s="200"/>
      <c r="TZH5" s="200"/>
      <c r="TZU5" s="200"/>
      <c r="UAH5" s="200"/>
      <c r="UAU5" s="200"/>
      <c r="UBH5" s="200"/>
      <c r="UBU5" s="200"/>
      <c r="UCH5" s="200"/>
      <c r="UCU5" s="200"/>
      <c r="UDH5" s="200"/>
      <c r="UDU5" s="200"/>
      <c r="UEH5" s="200"/>
      <c r="UEU5" s="200"/>
      <c r="UFH5" s="200"/>
      <c r="UFU5" s="200"/>
      <c r="UGH5" s="200"/>
      <c r="UGU5" s="200"/>
      <c r="UHH5" s="200"/>
      <c r="UHU5" s="200"/>
      <c r="UIH5" s="200"/>
      <c r="UIU5" s="200"/>
      <c r="UJH5" s="200"/>
      <c r="UJU5" s="200"/>
      <c r="UKH5" s="200"/>
      <c r="UKU5" s="200"/>
      <c r="ULH5" s="200"/>
      <c r="ULU5" s="200"/>
      <c r="UMH5" s="200"/>
      <c r="UMU5" s="200"/>
      <c r="UNH5" s="200"/>
      <c r="UNU5" s="200"/>
      <c r="UOH5" s="200"/>
      <c r="UOU5" s="200"/>
      <c r="UPH5" s="200"/>
      <c r="UPU5" s="200"/>
      <c r="UQH5" s="200"/>
      <c r="UQU5" s="200"/>
      <c r="URH5" s="200"/>
      <c r="URU5" s="200"/>
      <c r="USH5" s="200"/>
      <c r="USU5" s="200"/>
      <c r="UTH5" s="200"/>
      <c r="UTU5" s="200"/>
      <c r="UUH5" s="200"/>
      <c r="UUU5" s="200"/>
      <c r="UVH5" s="200"/>
      <c r="UVU5" s="200"/>
      <c r="UWH5" s="200"/>
      <c r="UWU5" s="200"/>
      <c r="UXH5" s="200"/>
      <c r="UXU5" s="200"/>
      <c r="UYH5" s="200"/>
      <c r="UYU5" s="200"/>
      <c r="UZH5" s="200"/>
      <c r="UZU5" s="200"/>
      <c r="VAH5" s="200"/>
      <c r="VAU5" s="200"/>
      <c r="VBH5" s="200"/>
      <c r="VBU5" s="200"/>
      <c r="VCH5" s="200"/>
      <c r="VCU5" s="200"/>
      <c r="VDH5" s="200"/>
      <c r="VDU5" s="200"/>
      <c r="VEH5" s="200"/>
      <c r="VEU5" s="200"/>
      <c r="VFH5" s="200"/>
      <c r="VFU5" s="200"/>
      <c r="VGH5" s="200"/>
      <c r="VGU5" s="200"/>
      <c r="VHH5" s="200"/>
      <c r="VHU5" s="200"/>
      <c r="VIH5" s="200"/>
      <c r="VIU5" s="200"/>
      <c r="VJH5" s="200"/>
      <c r="VJU5" s="200"/>
      <c r="VKH5" s="200"/>
      <c r="VKU5" s="200"/>
      <c r="VLH5" s="200"/>
      <c r="VLU5" s="200"/>
      <c r="VMH5" s="200"/>
      <c r="VMU5" s="200"/>
      <c r="VNH5" s="200"/>
      <c r="VNU5" s="200"/>
      <c r="VOH5" s="200"/>
      <c r="VOU5" s="200"/>
      <c r="VPH5" s="200"/>
      <c r="VPU5" s="200"/>
      <c r="VQH5" s="200"/>
      <c r="VQU5" s="200"/>
      <c r="VRH5" s="200"/>
      <c r="VRU5" s="200"/>
      <c r="VSH5" s="200"/>
      <c r="VSU5" s="200"/>
      <c r="VTH5" s="200"/>
      <c r="VTU5" s="200"/>
      <c r="VUH5" s="200"/>
      <c r="VUU5" s="200"/>
      <c r="VVH5" s="200"/>
      <c r="VVU5" s="200"/>
      <c r="VWH5" s="200"/>
      <c r="VWU5" s="200"/>
      <c r="VXH5" s="200"/>
      <c r="VXU5" s="200"/>
      <c r="VYH5" s="200"/>
      <c r="VYU5" s="200"/>
      <c r="VZH5" s="200"/>
      <c r="VZU5" s="200"/>
      <c r="WAH5" s="200"/>
      <c r="WAU5" s="200"/>
      <c r="WBH5" s="200"/>
      <c r="WBU5" s="200"/>
      <c r="WCH5" s="200"/>
      <c r="WCU5" s="200"/>
      <c r="WDH5" s="200"/>
      <c r="WDU5" s="200"/>
      <c r="WEH5" s="200"/>
      <c r="WEU5" s="200"/>
      <c r="WFH5" s="200"/>
      <c r="WFU5" s="200"/>
      <c r="WGH5" s="200"/>
      <c r="WGU5" s="200"/>
      <c r="WHH5" s="200"/>
      <c r="WHU5" s="200"/>
      <c r="WIH5" s="200"/>
      <c r="WIU5" s="200"/>
      <c r="WJH5" s="200"/>
      <c r="WJU5" s="200"/>
      <c r="WKH5" s="200"/>
      <c r="WKU5" s="200"/>
      <c r="WLH5" s="200"/>
      <c r="WLU5" s="200"/>
      <c r="WMH5" s="200"/>
      <c r="WMU5" s="200"/>
      <c r="WNH5" s="200"/>
      <c r="WNU5" s="200"/>
      <c r="WOH5" s="200"/>
      <c r="WOU5" s="200"/>
      <c r="WPH5" s="200"/>
      <c r="WPU5" s="200"/>
      <c r="WQH5" s="200"/>
      <c r="WQU5" s="200"/>
      <c r="WRH5" s="200"/>
      <c r="WRU5" s="200"/>
      <c r="WSH5" s="200"/>
      <c r="WSU5" s="200"/>
      <c r="WTH5" s="200"/>
      <c r="WTU5" s="200"/>
      <c r="WUH5" s="200"/>
      <c r="WUU5" s="200"/>
      <c r="WVH5" s="200"/>
      <c r="WVU5" s="200"/>
      <c r="WWH5" s="200"/>
      <c r="WWU5" s="200"/>
      <c r="WXH5" s="200"/>
      <c r="WXU5" s="200"/>
      <c r="WYH5" s="200"/>
      <c r="WYU5" s="200"/>
      <c r="WZH5" s="200"/>
      <c r="WZU5" s="200"/>
      <c r="XAH5" s="200"/>
      <c r="XAU5" s="200"/>
      <c r="XBH5" s="200"/>
      <c r="XBU5" s="200"/>
      <c r="XCH5" s="200"/>
      <c r="XCU5" s="200"/>
      <c r="XDH5" s="200"/>
      <c r="XDU5" s="200"/>
      <c r="XEH5" s="200"/>
      <c r="XEU5" s="200"/>
    </row>
    <row r="6" spans="1:1022 1035:2036 2049:3063 3076:4090 4103:5117 5130:6144 6157:7158 7171:8185 8198:9212 9225:10239 10252:11253 11266:12280 12293:13307 13320:14334 14347:15348 15361:16375" s="156" customFormat="1" ht="13" customHeight="1">
      <c r="A6" s="211"/>
      <c r="B6" s="696" t="str">
        <f>IF('Summary | Sumário'!D$6=Names!B$3,Names!M4,Names!N4)</f>
        <v>Income from securities, derivatives and foreign exchange</v>
      </c>
      <c r="C6" s="202">
        <v>72729</v>
      </c>
      <c r="D6" s="202">
        <v>-25040</v>
      </c>
      <c r="E6" s="202">
        <v>721949.66599999997</v>
      </c>
      <c r="F6" s="202">
        <v>1605401.1030000001</v>
      </c>
      <c r="G6" s="202">
        <v>1634543</v>
      </c>
      <c r="H6" s="202">
        <v>2629169.8134021345</v>
      </c>
      <c r="I6" s="202">
        <v>3612469</v>
      </c>
      <c r="J6" s="202"/>
      <c r="K6" s="202">
        <v>74012.403999999995</v>
      </c>
      <c r="L6" s="202">
        <v>89585.596000000005</v>
      </c>
      <c r="M6" s="202">
        <v>224342</v>
      </c>
      <c r="N6" s="202">
        <v>334009.66600000003</v>
      </c>
      <c r="O6" s="202">
        <v>376055.38299999997</v>
      </c>
      <c r="P6" s="202">
        <v>429378.674</v>
      </c>
      <c r="Q6" s="202">
        <v>378059.73599999998</v>
      </c>
      <c r="R6" s="202">
        <v>421907.31</v>
      </c>
      <c r="S6" s="202">
        <v>386325.30200000003</v>
      </c>
      <c r="T6" s="202">
        <v>369367</v>
      </c>
      <c r="U6" s="202">
        <v>508679.01922000002</v>
      </c>
      <c r="V6" s="202">
        <v>370171.67877999996</v>
      </c>
      <c r="W6" s="202">
        <v>537136.61082000006</v>
      </c>
      <c r="X6" s="202">
        <v>642093.19580384996</v>
      </c>
      <c r="Y6" s="202">
        <v>587740.70944000012</v>
      </c>
      <c r="Z6" s="202">
        <v>862199.29693614994</v>
      </c>
      <c r="AA6" s="202">
        <v>734744.3</v>
      </c>
      <c r="AB6" s="202">
        <v>765251</v>
      </c>
      <c r="AC6" s="202">
        <v>1050027</v>
      </c>
      <c r="AD6" s="202">
        <v>1062446.7000000002</v>
      </c>
      <c r="AE6" s="202">
        <v>1063780</v>
      </c>
      <c r="AF6" s="202"/>
      <c r="AG6" s="326">
        <f>AE6/AD6-1</f>
        <v>1.2549335416072172E-3</v>
      </c>
      <c r="AH6" s="326">
        <f>AE6/AA6-1</f>
        <v>0.44782341285260729</v>
      </c>
    </row>
    <row r="7" spans="1:1022 1035:2036 2049:3063 3076:4090 4103:5117 5130:6144 6157:7158 7171:8185 8198:9212 9225:10239 10252:11253 11266:12280 12293:13307 13320:14334 14347:15348 15361:16375" s="155" customFormat="1" ht="13" customHeight="1">
      <c r="A7" s="225"/>
      <c r="B7" s="269" t="str">
        <f>IF('Summary | Sumário'!D$6=Names!B$3,Names!M5,Names!N5)</f>
        <v>Net interest income and income from securities, derivatives and foreing exchange</v>
      </c>
      <c r="C7" s="270">
        <v>591527</v>
      </c>
      <c r="D7" s="270">
        <v>733280.89517999999</v>
      </c>
      <c r="E7" s="270">
        <v>1614135.9119999998</v>
      </c>
      <c r="F7" s="270">
        <v>2435209.1849999996</v>
      </c>
      <c r="G7" s="270">
        <v>3296797</v>
      </c>
      <c r="H7" s="270">
        <v>4456744.3939420003</v>
      </c>
      <c r="I7" s="270">
        <v>6273819</v>
      </c>
      <c r="J7" s="214"/>
      <c r="K7" s="270">
        <v>297457.33899999998</v>
      </c>
      <c r="L7" s="270">
        <v>308984.34700000007</v>
      </c>
      <c r="M7" s="270">
        <v>453160.88</v>
      </c>
      <c r="N7" s="270">
        <v>554532.34600000002</v>
      </c>
      <c r="O7" s="270">
        <v>560444.0149999999</v>
      </c>
      <c r="P7" s="270">
        <v>586650.3110000001</v>
      </c>
      <c r="Q7" s="270">
        <v>586724.46699999995</v>
      </c>
      <c r="R7" s="270">
        <v>701390.39199999999</v>
      </c>
      <c r="S7" s="270">
        <v>726481.12400000007</v>
      </c>
      <c r="T7" s="270">
        <v>828266</v>
      </c>
      <c r="U7" s="270">
        <v>845216.10796000005</v>
      </c>
      <c r="V7" s="270">
        <v>896833.76303999987</v>
      </c>
      <c r="W7" s="270">
        <v>992420.72051999974</v>
      </c>
      <c r="X7" s="270">
        <v>1041865.7258038499</v>
      </c>
      <c r="Y7" s="270">
        <v>1164350.1315736333</v>
      </c>
      <c r="Z7" s="270">
        <v>1258107.8160445173</v>
      </c>
      <c r="AA7" s="270">
        <v>1362594.3</v>
      </c>
      <c r="AB7" s="270">
        <v>1469507</v>
      </c>
      <c r="AC7" s="270">
        <v>1622691</v>
      </c>
      <c r="AD7" s="270">
        <v>1819026.7000000002</v>
      </c>
      <c r="AE7" s="270">
        <v>1881750</v>
      </c>
      <c r="AF7" s="214"/>
      <c r="AG7" s="311">
        <f>AE7/AD7-1</f>
        <v>3.4481791828564035E-2</v>
      </c>
      <c r="AH7" s="311">
        <f>AE7/AA7-1</f>
        <v>0.38100533665816738</v>
      </c>
    </row>
    <row r="8" spans="1:1022 1035:2036 2049:3063 3076:4090 4103:5117 5130:6144 6157:7158 7171:8185 8198:9212 9225:10239 10252:11253 11266:12280 12293:13307 13320:14334 14347:15348 15361:16375" ht="13" customHeight="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97"/>
      <c r="AH8" s="197"/>
    </row>
    <row r="9" spans="1:1022 1035:2036 2049:3063 3076:4090 4103:5117 5130:6144 6157:7158 7171:8185 8198:9212 9225:10239 10252:11253 11266:12280 12293:13307 13320:14334 14347:15348 15361:16375" s="199" customFormat="1" ht="13" customHeight="1">
      <c r="A9" s="198"/>
      <c r="B9" s="21" t="str">
        <f>IF('Summary | Sumário'!D$6=Names!B$3,Names!M6,Names!N6)</f>
        <v>Net revenues from services and commissions</v>
      </c>
      <c r="C9" s="224">
        <v>130457</v>
      </c>
      <c r="D9" s="224">
        <v>257145</v>
      </c>
      <c r="E9" s="224">
        <v>542569</v>
      </c>
      <c r="F9" s="224">
        <v>968039</v>
      </c>
      <c r="G9" s="224">
        <v>1304382</v>
      </c>
      <c r="H9" s="224">
        <v>1753280.4850000001</v>
      </c>
      <c r="I9" s="224">
        <v>2008095</v>
      </c>
      <c r="J9" s="164"/>
      <c r="K9" s="224">
        <v>100965</v>
      </c>
      <c r="L9" s="224">
        <v>110911</v>
      </c>
      <c r="M9" s="224">
        <v>149283</v>
      </c>
      <c r="N9" s="224">
        <v>181410</v>
      </c>
      <c r="O9" s="224">
        <v>206219</v>
      </c>
      <c r="P9" s="224">
        <v>238515</v>
      </c>
      <c r="Q9" s="224">
        <v>250433</v>
      </c>
      <c r="R9" s="224">
        <v>272872</v>
      </c>
      <c r="S9" s="224">
        <v>282353</v>
      </c>
      <c r="T9" s="224">
        <v>298524</v>
      </c>
      <c r="U9" s="224">
        <v>347780</v>
      </c>
      <c r="V9" s="224">
        <v>375724.6</v>
      </c>
      <c r="W9" s="224">
        <v>374339.16833017452</v>
      </c>
      <c r="X9" s="224">
        <v>397142.87599999999</v>
      </c>
      <c r="Y9" s="224">
        <v>467667</v>
      </c>
      <c r="Z9" s="224">
        <v>514131.44066982553</v>
      </c>
      <c r="AA9" s="224">
        <v>459924</v>
      </c>
      <c r="AB9" s="224">
        <v>495128</v>
      </c>
      <c r="AC9" s="224">
        <v>514179</v>
      </c>
      <c r="AD9" s="224">
        <v>538864</v>
      </c>
      <c r="AE9" s="224">
        <v>496033</v>
      </c>
      <c r="AF9" s="173"/>
      <c r="AG9" s="327">
        <f>AE9/AD9-1</f>
        <v>-7.9483877193503361E-2</v>
      </c>
      <c r="AH9" s="327">
        <f>AE9/AA9-1</f>
        <v>7.8510797436098123E-2</v>
      </c>
      <c r="AI9" s="120"/>
      <c r="AU9" s="200"/>
      <c r="BH9" s="200"/>
      <c r="BU9" s="200"/>
      <c r="CH9" s="200"/>
      <c r="CU9" s="200"/>
      <c r="DH9" s="200"/>
      <c r="DU9" s="200"/>
      <c r="EH9" s="200"/>
      <c r="EU9" s="200"/>
      <c r="FH9" s="200"/>
      <c r="FU9" s="200"/>
      <c r="GH9" s="200"/>
      <c r="GU9" s="200"/>
      <c r="HH9" s="200"/>
      <c r="HU9" s="200"/>
      <c r="IH9" s="200"/>
      <c r="IU9" s="200"/>
      <c r="JH9" s="200"/>
      <c r="JU9" s="200"/>
      <c r="KH9" s="200"/>
      <c r="KU9" s="200"/>
      <c r="LH9" s="200"/>
      <c r="LU9" s="200"/>
      <c r="MH9" s="200"/>
      <c r="MU9" s="200"/>
      <c r="NH9" s="200"/>
      <c r="NU9" s="200"/>
      <c r="OH9" s="200"/>
      <c r="OU9" s="200"/>
      <c r="PH9" s="200"/>
      <c r="PU9" s="200"/>
      <c r="QH9" s="200"/>
      <c r="QU9" s="200"/>
      <c r="RH9" s="200"/>
      <c r="RU9" s="200"/>
      <c r="SH9" s="200"/>
      <c r="SU9" s="200"/>
      <c r="TH9" s="200"/>
      <c r="TU9" s="200"/>
      <c r="UH9" s="200"/>
      <c r="UU9" s="200"/>
      <c r="VH9" s="200"/>
      <c r="VU9" s="200"/>
      <c r="WH9" s="200"/>
      <c r="WU9" s="200"/>
      <c r="XH9" s="200"/>
      <c r="XU9" s="200"/>
      <c r="YH9" s="200"/>
      <c r="YU9" s="200"/>
      <c r="ZH9" s="200"/>
      <c r="ZU9" s="200"/>
      <c r="AAH9" s="200"/>
      <c r="AAU9" s="200"/>
      <c r="ABH9" s="200"/>
      <c r="ABU9" s="200"/>
      <c r="ACH9" s="200"/>
      <c r="ACU9" s="200"/>
      <c r="ADH9" s="200"/>
      <c r="ADU9" s="200"/>
      <c r="AEH9" s="200"/>
      <c r="AEU9" s="200"/>
      <c r="AFH9" s="200"/>
      <c r="AFU9" s="200"/>
      <c r="AGH9" s="200"/>
      <c r="AGU9" s="200"/>
      <c r="AHH9" s="200"/>
      <c r="AHU9" s="200"/>
      <c r="AIH9" s="200"/>
      <c r="AIU9" s="200"/>
      <c r="AJH9" s="200"/>
      <c r="AJU9" s="200"/>
      <c r="AKH9" s="200"/>
      <c r="AKU9" s="200"/>
      <c r="ALH9" s="200"/>
      <c r="ALU9" s="200"/>
      <c r="AMH9" s="200"/>
      <c r="AMU9" s="200"/>
      <c r="ANH9" s="200"/>
      <c r="ANU9" s="200"/>
      <c r="AOH9" s="200"/>
      <c r="AOU9" s="200"/>
      <c r="APH9" s="200"/>
      <c r="APU9" s="200"/>
      <c r="AQH9" s="200"/>
      <c r="AQU9" s="200"/>
      <c r="ARH9" s="200"/>
      <c r="ARU9" s="200"/>
      <c r="ASH9" s="200"/>
      <c r="ASU9" s="200"/>
      <c r="ATH9" s="200"/>
      <c r="ATU9" s="200"/>
      <c r="AUH9" s="200"/>
      <c r="AUU9" s="200"/>
      <c r="AVH9" s="200"/>
      <c r="AVU9" s="200"/>
      <c r="AWH9" s="200"/>
      <c r="AWU9" s="200"/>
      <c r="AXH9" s="200"/>
      <c r="AXU9" s="200"/>
      <c r="AYH9" s="200"/>
      <c r="AYU9" s="200"/>
      <c r="AZH9" s="200"/>
      <c r="AZU9" s="200"/>
      <c r="BAH9" s="200"/>
      <c r="BAU9" s="200"/>
      <c r="BBH9" s="200"/>
      <c r="BBU9" s="200"/>
      <c r="BCH9" s="200"/>
      <c r="BCU9" s="200"/>
      <c r="BDH9" s="200"/>
      <c r="BDU9" s="200"/>
      <c r="BEH9" s="200"/>
      <c r="BEU9" s="200"/>
      <c r="BFH9" s="200"/>
      <c r="BFU9" s="200"/>
      <c r="BGH9" s="200"/>
      <c r="BGU9" s="200"/>
      <c r="BHH9" s="200"/>
      <c r="BHU9" s="200"/>
      <c r="BIH9" s="200"/>
      <c r="BIU9" s="200"/>
      <c r="BJH9" s="200"/>
      <c r="BJU9" s="200"/>
      <c r="BKH9" s="200"/>
      <c r="BKU9" s="200"/>
      <c r="BLH9" s="200"/>
      <c r="BLU9" s="200"/>
      <c r="BMH9" s="200"/>
      <c r="BMU9" s="200"/>
      <c r="BNH9" s="200"/>
      <c r="BNU9" s="200"/>
      <c r="BOH9" s="200"/>
      <c r="BOU9" s="200"/>
      <c r="BPH9" s="200"/>
      <c r="BPU9" s="200"/>
      <c r="BQH9" s="200"/>
      <c r="BQU9" s="200"/>
      <c r="BRH9" s="200"/>
      <c r="BRU9" s="200"/>
      <c r="BSH9" s="200"/>
      <c r="BSU9" s="200"/>
      <c r="BTH9" s="200"/>
      <c r="BTU9" s="200"/>
      <c r="BUH9" s="200"/>
      <c r="BUU9" s="200"/>
      <c r="BVH9" s="200"/>
      <c r="BVU9" s="200"/>
      <c r="BWH9" s="200"/>
      <c r="BWU9" s="200"/>
      <c r="BXH9" s="200"/>
      <c r="BXU9" s="200"/>
      <c r="BYH9" s="200"/>
      <c r="BYU9" s="200"/>
      <c r="BZH9" s="200"/>
      <c r="BZU9" s="200"/>
      <c r="CAH9" s="200"/>
      <c r="CAU9" s="200"/>
      <c r="CBH9" s="200"/>
      <c r="CBU9" s="200"/>
      <c r="CCH9" s="200"/>
      <c r="CCU9" s="200"/>
      <c r="CDH9" s="200"/>
      <c r="CDU9" s="200"/>
      <c r="CEH9" s="200"/>
      <c r="CEU9" s="200"/>
      <c r="CFH9" s="200"/>
      <c r="CFU9" s="200"/>
      <c r="CGH9" s="200"/>
      <c r="CGU9" s="200"/>
      <c r="CHH9" s="200"/>
      <c r="CHU9" s="200"/>
      <c r="CIH9" s="200"/>
      <c r="CIU9" s="200"/>
      <c r="CJH9" s="200"/>
      <c r="CJU9" s="200"/>
      <c r="CKH9" s="200"/>
      <c r="CKU9" s="200"/>
      <c r="CLH9" s="200"/>
      <c r="CLU9" s="200"/>
      <c r="CMH9" s="200"/>
      <c r="CMU9" s="200"/>
      <c r="CNH9" s="200"/>
      <c r="CNU9" s="200"/>
      <c r="COH9" s="200"/>
      <c r="COU9" s="200"/>
      <c r="CPH9" s="200"/>
      <c r="CPU9" s="200"/>
      <c r="CQH9" s="200"/>
      <c r="CQU9" s="200"/>
      <c r="CRH9" s="200"/>
      <c r="CRU9" s="200"/>
      <c r="CSH9" s="200"/>
      <c r="CSU9" s="200"/>
      <c r="CTH9" s="200"/>
      <c r="CTU9" s="200"/>
      <c r="CUH9" s="200"/>
      <c r="CUU9" s="200"/>
      <c r="CVH9" s="200"/>
      <c r="CVU9" s="200"/>
      <c r="CWH9" s="200"/>
      <c r="CWU9" s="200"/>
      <c r="CXH9" s="200"/>
      <c r="CXU9" s="200"/>
      <c r="CYH9" s="200"/>
      <c r="CYU9" s="200"/>
      <c r="CZH9" s="200"/>
      <c r="CZU9" s="200"/>
      <c r="DAH9" s="200"/>
      <c r="DAU9" s="200"/>
      <c r="DBH9" s="200"/>
      <c r="DBU9" s="200"/>
      <c r="DCH9" s="200"/>
      <c r="DCU9" s="200"/>
      <c r="DDH9" s="200"/>
      <c r="DDU9" s="200"/>
      <c r="DEH9" s="200"/>
      <c r="DEU9" s="200"/>
      <c r="DFH9" s="200"/>
      <c r="DFU9" s="200"/>
      <c r="DGH9" s="200"/>
      <c r="DGU9" s="200"/>
      <c r="DHH9" s="200"/>
      <c r="DHU9" s="200"/>
      <c r="DIH9" s="200"/>
      <c r="DIU9" s="200"/>
      <c r="DJH9" s="200"/>
      <c r="DJU9" s="200"/>
      <c r="DKH9" s="200"/>
      <c r="DKU9" s="200"/>
      <c r="DLH9" s="200"/>
      <c r="DLU9" s="200"/>
      <c r="DMH9" s="200"/>
      <c r="DMU9" s="200"/>
      <c r="DNH9" s="200"/>
      <c r="DNU9" s="200"/>
      <c r="DOH9" s="200"/>
      <c r="DOU9" s="200"/>
      <c r="DPH9" s="200"/>
      <c r="DPU9" s="200"/>
      <c r="DQH9" s="200"/>
      <c r="DQU9" s="200"/>
      <c r="DRH9" s="200"/>
      <c r="DRU9" s="200"/>
      <c r="DSH9" s="200"/>
      <c r="DSU9" s="200"/>
      <c r="DTH9" s="200"/>
      <c r="DTU9" s="200"/>
      <c r="DUH9" s="200"/>
      <c r="DUU9" s="200"/>
      <c r="DVH9" s="200"/>
      <c r="DVU9" s="200"/>
      <c r="DWH9" s="200"/>
      <c r="DWU9" s="200"/>
      <c r="DXH9" s="200"/>
      <c r="DXU9" s="200"/>
      <c r="DYH9" s="200"/>
      <c r="DYU9" s="200"/>
      <c r="DZH9" s="200"/>
      <c r="DZU9" s="200"/>
      <c r="EAH9" s="200"/>
      <c r="EAU9" s="200"/>
      <c r="EBH9" s="200"/>
      <c r="EBU9" s="200"/>
      <c r="ECH9" s="200"/>
      <c r="ECU9" s="200"/>
      <c r="EDH9" s="200"/>
      <c r="EDU9" s="200"/>
      <c r="EEH9" s="200"/>
      <c r="EEU9" s="200"/>
      <c r="EFH9" s="200"/>
      <c r="EFU9" s="200"/>
      <c r="EGH9" s="200"/>
      <c r="EGU9" s="200"/>
      <c r="EHH9" s="200"/>
      <c r="EHU9" s="200"/>
      <c r="EIH9" s="200"/>
      <c r="EIU9" s="200"/>
      <c r="EJH9" s="200"/>
      <c r="EJU9" s="200"/>
      <c r="EKH9" s="200"/>
      <c r="EKU9" s="200"/>
      <c r="ELH9" s="200"/>
      <c r="ELU9" s="200"/>
      <c r="EMH9" s="200"/>
      <c r="EMU9" s="200"/>
      <c r="ENH9" s="200"/>
      <c r="ENU9" s="200"/>
      <c r="EOH9" s="200"/>
      <c r="EOU9" s="200"/>
      <c r="EPH9" s="200"/>
      <c r="EPU9" s="200"/>
      <c r="EQH9" s="200"/>
      <c r="EQU9" s="200"/>
      <c r="ERH9" s="200"/>
      <c r="ERU9" s="200"/>
      <c r="ESH9" s="200"/>
      <c r="ESU9" s="200"/>
      <c r="ETH9" s="200"/>
      <c r="ETU9" s="200"/>
      <c r="EUH9" s="200"/>
      <c r="EUU9" s="200"/>
      <c r="EVH9" s="200"/>
      <c r="EVU9" s="200"/>
      <c r="EWH9" s="200"/>
      <c r="EWU9" s="200"/>
      <c r="EXH9" s="200"/>
      <c r="EXU9" s="200"/>
      <c r="EYH9" s="200"/>
      <c r="EYU9" s="200"/>
      <c r="EZH9" s="200"/>
      <c r="EZU9" s="200"/>
      <c r="FAH9" s="200"/>
      <c r="FAU9" s="200"/>
      <c r="FBH9" s="200"/>
      <c r="FBU9" s="200"/>
      <c r="FCH9" s="200"/>
      <c r="FCU9" s="200"/>
      <c r="FDH9" s="200"/>
      <c r="FDU9" s="200"/>
      <c r="FEH9" s="200"/>
      <c r="FEU9" s="200"/>
      <c r="FFH9" s="200"/>
      <c r="FFU9" s="200"/>
      <c r="FGH9" s="200"/>
      <c r="FGU9" s="200"/>
      <c r="FHH9" s="200"/>
      <c r="FHU9" s="200"/>
      <c r="FIH9" s="200"/>
      <c r="FIU9" s="200"/>
      <c r="FJH9" s="200"/>
      <c r="FJU9" s="200"/>
      <c r="FKH9" s="200"/>
      <c r="FKU9" s="200"/>
      <c r="FLH9" s="200"/>
      <c r="FLU9" s="200"/>
      <c r="FMH9" s="200"/>
      <c r="FMU9" s="200"/>
      <c r="FNH9" s="200"/>
      <c r="FNU9" s="200"/>
      <c r="FOH9" s="200"/>
      <c r="FOU9" s="200"/>
      <c r="FPH9" s="200"/>
      <c r="FPU9" s="200"/>
      <c r="FQH9" s="200"/>
      <c r="FQU9" s="200"/>
      <c r="FRH9" s="200"/>
      <c r="FRU9" s="200"/>
      <c r="FSH9" s="200"/>
      <c r="FSU9" s="200"/>
      <c r="FTH9" s="200"/>
      <c r="FTU9" s="200"/>
      <c r="FUH9" s="200"/>
      <c r="FUU9" s="200"/>
      <c r="FVH9" s="200"/>
      <c r="FVU9" s="200"/>
      <c r="FWH9" s="200"/>
      <c r="FWU9" s="200"/>
      <c r="FXH9" s="200"/>
      <c r="FXU9" s="200"/>
      <c r="FYH9" s="200"/>
      <c r="FYU9" s="200"/>
      <c r="FZH9" s="200"/>
      <c r="FZU9" s="200"/>
      <c r="GAH9" s="200"/>
      <c r="GAU9" s="200"/>
      <c r="GBH9" s="200"/>
      <c r="GBU9" s="200"/>
      <c r="GCH9" s="200"/>
      <c r="GCU9" s="200"/>
      <c r="GDH9" s="200"/>
      <c r="GDU9" s="200"/>
      <c r="GEH9" s="200"/>
      <c r="GEU9" s="200"/>
      <c r="GFH9" s="200"/>
      <c r="GFU9" s="200"/>
      <c r="GGH9" s="200"/>
      <c r="GGU9" s="200"/>
      <c r="GHH9" s="200"/>
      <c r="GHU9" s="200"/>
      <c r="GIH9" s="200"/>
      <c r="GIU9" s="200"/>
      <c r="GJH9" s="200"/>
      <c r="GJU9" s="200"/>
      <c r="GKH9" s="200"/>
      <c r="GKU9" s="200"/>
      <c r="GLH9" s="200"/>
      <c r="GLU9" s="200"/>
      <c r="GMH9" s="200"/>
      <c r="GMU9" s="200"/>
      <c r="GNH9" s="200"/>
      <c r="GNU9" s="200"/>
      <c r="GOH9" s="200"/>
      <c r="GOU9" s="200"/>
      <c r="GPH9" s="200"/>
      <c r="GPU9" s="200"/>
      <c r="GQH9" s="200"/>
      <c r="GQU9" s="200"/>
      <c r="GRH9" s="200"/>
      <c r="GRU9" s="200"/>
      <c r="GSH9" s="200"/>
      <c r="GSU9" s="200"/>
      <c r="GTH9" s="200"/>
      <c r="GTU9" s="200"/>
      <c r="GUH9" s="200"/>
      <c r="GUU9" s="200"/>
      <c r="GVH9" s="200"/>
      <c r="GVU9" s="200"/>
      <c r="GWH9" s="200"/>
      <c r="GWU9" s="200"/>
      <c r="GXH9" s="200"/>
      <c r="GXU9" s="200"/>
      <c r="GYH9" s="200"/>
      <c r="GYU9" s="200"/>
      <c r="GZH9" s="200"/>
      <c r="GZU9" s="200"/>
      <c r="HAH9" s="200"/>
      <c r="HAU9" s="200"/>
      <c r="HBH9" s="200"/>
      <c r="HBU9" s="200"/>
      <c r="HCH9" s="200"/>
      <c r="HCU9" s="200"/>
      <c r="HDH9" s="200"/>
      <c r="HDU9" s="200"/>
      <c r="HEH9" s="200"/>
      <c r="HEU9" s="200"/>
      <c r="HFH9" s="200"/>
      <c r="HFU9" s="200"/>
      <c r="HGH9" s="200"/>
      <c r="HGU9" s="200"/>
      <c r="HHH9" s="200"/>
      <c r="HHU9" s="200"/>
      <c r="HIH9" s="200"/>
      <c r="HIU9" s="200"/>
      <c r="HJH9" s="200"/>
      <c r="HJU9" s="200"/>
      <c r="HKH9" s="200"/>
      <c r="HKU9" s="200"/>
      <c r="HLH9" s="200"/>
      <c r="HLU9" s="200"/>
      <c r="HMH9" s="200"/>
      <c r="HMU9" s="200"/>
      <c r="HNH9" s="200"/>
      <c r="HNU9" s="200"/>
      <c r="HOH9" s="200"/>
      <c r="HOU9" s="200"/>
      <c r="HPH9" s="200"/>
      <c r="HPU9" s="200"/>
      <c r="HQH9" s="200"/>
      <c r="HQU9" s="200"/>
      <c r="HRH9" s="200"/>
      <c r="HRU9" s="200"/>
      <c r="HSH9" s="200"/>
      <c r="HSU9" s="200"/>
      <c r="HTH9" s="200"/>
      <c r="HTU9" s="200"/>
      <c r="HUH9" s="200"/>
      <c r="HUU9" s="200"/>
      <c r="HVH9" s="200"/>
      <c r="HVU9" s="200"/>
      <c r="HWH9" s="200"/>
      <c r="HWU9" s="200"/>
      <c r="HXH9" s="200"/>
      <c r="HXU9" s="200"/>
      <c r="HYH9" s="200"/>
      <c r="HYU9" s="200"/>
      <c r="HZH9" s="200"/>
      <c r="HZU9" s="200"/>
      <c r="IAH9" s="200"/>
      <c r="IAU9" s="200"/>
      <c r="IBH9" s="200"/>
      <c r="IBU9" s="200"/>
      <c r="ICH9" s="200"/>
      <c r="ICU9" s="200"/>
      <c r="IDH9" s="200"/>
      <c r="IDU9" s="200"/>
      <c r="IEH9" s="200"/>
      <c r="IEU9" s="200"/>
      <c r="IFH9" s="200"/>
      <c r="IFU9" s="200"/>
      <c r="IGH9" s="200"/>
      <c r="IGU9" s="200"/>
      <c r="IHH9" s="200"/>
      <c r="IHU9" s="200"/>
      <c r="IIH9" s="200"/>
      <c r="IIU9" s="200"/>
      <c r="IJH9" s="200"/>
      <c r="IJU9" s="200"/>
      <c r="IKH9" s="200"/>
      <c r="IKU9" s="200"/>
      <c r="ILH9" s="200"/>
      <c r="ILU9" s="200"/>
      <c r="IMH9" s="200"/>
      <c r="IMU9" s="200"/>
      <c r="INH9" s="200"/>
      <c r="INU9" s="200"/>
      <c r="IOH9" s="200"/>
      <c r="IOU9" s="200"/>
      <c r="IPH9" s="200"/>
      <c r="IPU9" s="200"/>
      <c r="IQH9" s="200"/>
      <c r="IQU9" s="200"/>
      <c r="IRH9" s="200"/>
      <c r="IRU9" s="200"/>
      <c r="ISH9" s="200"/>
      <c r="ISU9" s="200"/>
      <c r="ITH9" s="200"/>
      <c r="ITU9" s="200"/>
      <c r="IUH9" s="200"/>
      <c r="IUU9" s="200"/>
      <c r="IVH9" s="200"/>
      <c r="IVU9" s="200"/>
      <c r="IWH9" s="200"/>
      <c r="IWU9" s="200"/>
      <c r="IXH9" s="200"/>
      <c r="IXU9" s="200"/>
      <c r="IYH9" s="200"/>
      <c r="IYU9" s="200"/>
      <c r="IZH9" s="200"/>
      <c r="IZU9" s="200"/>
      <c r="JAH9" s="200"/>
      <c r="JAU9" s="200"/>
      <c r="JBH9" s="200"/>
      <c r="JBU9" s="200"/>
      <c r="JCH9" s="200"/>
      <c r="JCU9" s="200"/>
      <c r="JDH9" s="200"/>
      <c r="JDU9" s="200"/>
      <c r="JEH9" s="200"/>
      <c r="JEU9" s="200"/>
      <c r="JFH9" s="200"/>
      <c r="JFU9" s="200"/>
      <c r="JGH9" s="200"/>
      <c r="JGU9" s="200"/>
      <c r="JHH9" s="200"/>
      <c r="JHU9" s="200"/>
      <c r="JIH9" s="200"/>
      <c r="JIU9" s="200"/>
      <c r="JJH9" s="200"/>
      <c r="JJU9" s="200"/>
      <c r="JKH9" s="200"/>
      <c r="JKU9" s="200"/>
      <c r="JLH9" s="200"/>
      <c r="JLU9" s="200"/>
      <c r="JMH9" s="200"/>
      <c r="JMU9" s="200"/>
      <c r="JNH9" s="200"/>
      <c r="JNU9" s="200"/>
      <c r="JOH9" s="200"/>
      <c r="JOU9" s="200"/>
      <c r="JPH9" s="200"/>
      <c r="JPU9" s="200"/>
      <c r="JQH9" s="200"/>
      <c r="JQU9" s="200"/>
      <c r="JRH9" s="200"/>
      <c r="JRU9" s="200"/>
      <c r="JSH9" s="200"/>
      <c r="JSU9" s="200"/>
      <c r="JTH9" s="200"/>
      <c r="JTU9" s="200"/>
      <c r="JUH9" s="200"/>
      <c r="JUU9" s="200"/>
      <c r="JVH9" s="200"/>
      <c r="JVU9" s="200"/>
      <c r="JWH9" s="200"/>
      <c r="JWU9" s="200"/>
      <c r="JXH9" s="200"/>
      <c r="JXU9" s="200"/>
      <c r="JYH9" s="200"/>
      <c r="JYU9" s="200"/>
      <c r="JZH9" s="200"/>
      <c r="JZU9" s="200"/>
      <c r="KAH9" s="200"/>
      <c r="KAU9" s="200"/>
      <c r="KBH9" s="200"/>
      <c r="KBU9" s="200"/>
      <c r="KCH9" s="200"/>
      <c r="KCU9" s="200"/>
      <c r="KDH9" s="200"/>
      <c r="KDU9" s="200"/>
      <c r="KEH9" s="200"/>
      <c r="KEU9" s="200"/>
      <c r="KFH9" s="200"/>
      <c r="KFU9" s="200"/>
      <c r="KGH9" s="200"/>
      <c r="KGU9" s="200"/>
      <c r="KHH9" s="200"/>
      <c r="KHU9" s="200"/>
      <c r="KIH9" s="200"/>
      <c r="KIU9" s="200"/>
      <c r="KJH9" s="200"/>
      <c r="KJU9" s="200"/>
      <c r="KKH9" s="200"/>
      <c r="KKU9" s="200"/>
      <c r="KLH9" s="200"/>
      <c r="KLU9" s="200"/>
      <c r="KMH9" s="200"/>
      <c r="KMU9" s="200"/>
      <c r="KNH9" s="200"/>
      <c r="KNU9" s="200"/>
      <c r="KOH9" s="200"/>
      <c r="KOU9" s="200"/>
      <c r="KPH9" s="200"/>
      <c r="KPU9" s="200"/>
      <c r="KQH9" s="200"/>
      <c r="KQU9" s="200"/>
      <c r="KRH9" s="200"/>
      <c r="KRU9" s="200"/>
      <c r="KSH9" s="200"/>
      <c r="KSU9" s="200"/>
      <c r="KTH9" s="200"/>
      <c r="KTU9" s="200"/>
      <c r="KUH9" s="200"/>
      <c r="KUU9" s="200"/>
      <c r="KVH9" s="200"/>
      <c r="KVU9" s="200"/>
      <c r="KWH9" s="200"/>
      <c r="KWU9" s="200"/>
      <c r="KXH9" s="200"/>
      <c r="KXU9" s="200"/>
      <c r="KYH9" s="200"/>
      <c r="KYU9" s="200"/>
      <c r="KZH9" s="200"/>
      <c r="KZU9" s="200"/>
      <c r="LAH9" s="200"/>
      <c r="LAU9" s="200"/>
      <c r="LBH9" s="200"/>
      <c r="LBU9" s="200"/>
      <c r="LCH9" s="200"/>
      <c r="LCU9" s="200"/>
      <c r="LDH9" s="200"/>
      <c r="LDU9" s="200"/>
      <c r="LEH9" s="200"/>
      <c r="LEU9" s="200"/>
      <c r="LFH9" s="200"/>
      <c r="LFU9" s="200"/>
      <c r="LGH9" s="200"/>
      <c r="LGU9" s="200"/>
      <c r="LHH9" s="200"/>
      <c r="LHU9" s="200"/>
      <c r="LIH9" s="200"/>
      <c r="LIU9" s="200"/>
      <c r="LJH9" s="200"/>
      <c r="LJU9" s="200"/>
      <c r="LKH9" s="200"/>
      <c r="LKU9" s="200"/>
      <c r="LLH9" s="200"/>
      <c r="LLU9" s="200"/>
      <c r="LMH9" s="200"/>
      <c r="LMU9" s="200"/>
      <c r="LNH9" s="200"/>
      <c r="LNU9" s="200"/>
      <c r="LOH9" s="200"/>
      <c r="LOU9" s="200"/>
      <c r="LPH9" s="200"/>
      <c r="LPU9" s="200"/>
      <c r="LQH9" s="200"/>
      <c r="LQU9" s="200"/>
      <c r="LRH9" s="200"/>
      <c r="LRU9" s="200"/>
      <c r="LSH9" s="200"/>
      <c r="LSU9" s="200"/>
      <c r="LTH9" s="200"/>
      <c r="LTU9" s="200"/>
      <c r="LUH9" s="200"/>
      <c r="LUU9" s="200"/>
      <c r="LVH9" s="200"/>
      <c r="LVU9" s="200"/>
      <c r="LWH9" s="200"/>
      <c r="LWU9" s="200"/>
      <c r="LXH9" s="200"/>
      <c r="LXU9" s="200"/>
      <c r="LYH9" s="200"/>
      <c r="LYU9" s="200"/>
      <c r="LZH9" s="200"/>
      <c r="LZU9" s="200"/>
      <c r="MAH9" s="200"/>
      <c r="MAU9" s="200"/>
      <c r="MBH9" s="200"/>
      <c r="MBU9" s="200"/>
      <c r="MCH9" s="200"/>
      <c r="MCU9" s="200"/>
      <c r="MDH9" s="200"/>
      <c r="MDU9" s="200"/>
      <c r="MEH9" s="200"/>
      <c r="MEU9" s="200"/>
      <c r="MFH9" s="200"/>
      <c r="MFU9" s="200"/>
      <c r="MGH9" s="200"/>
      <c r="MGU9" s="200"/>
      <c r="MHH9" s="200"/>
      <c r="MHU9" s="200"/>
      <c r="MIH9" s="200"/>
      <c r="MIU9" s="200"/>
      <c r="MJH9" s="200"/>
      <c r="MJU9" s="200"/>
      <c r="MKH9" s="200"/>
      <c r="MKU9" s="200"/>
      <c r="MLH9" s="200"/>
      <c r="MLU9" s="200"/>
      <c r="MMH9" s="200"/>
      <c r="MMU9" s="200"/>
      <c r="MNH9" s="200"/>
      <c r="MNU9" s="200"/>
      <c r="MOH9" s="200"/>
      <c r="MOU9" s="200"/>
      <c r="MPH9" s="200"/>
      <c r="MPU9" s="200"/>
      <c r="MQH9" s="200"/>
      <c r="MQU9" s="200"/>
      <c r="MRH9" s="200"/>
      <c r="MRU9" s="200"/>
      <c r="MSH9" s="200"/>
      <c r="MSU9" s="200"/>
      <c r="MTH9" s="200"/>
      <c r="MTU9" s="200"/>
      <c r="MUH9" s="200"/>
      <c r="MUU9" s="200"/>
      <c r="MVH9" s="200"/>
      <c r="MVU9" s="200"/>
      <c r="MWH9" s="200"/>
      <c r="MWU9" s="200"/>
      <c r="MXH9" s="200"/>
      <c r="MXU9" s="200"/>
      <c r="MYH9" s="200"/>
      <c r="MYU9" s="200"/>
      <c r="MZH9" s="200"/>
      <c r="MZU9" s="200"/>
      <c r="NAH9" s="200"/>
      <c r="NAU9" s="200"/>
      <c r="NBH9" s="200"/>
      <c r="NBU9" s="200"/>
      <c r="NCH9" s="200"/>
      <c r="NCU9" s="200"/>
      <c r="NDH9" s="200"/>
      <c r="NDU9" s="200"/>
      <c r="NEH9" s="200"/>
      <c r="NEU9" s="200"/>
      <c r="NFH9" s="200"/>
      <c r="NFU9" s="200"/>
      <c r="NGH9" s="200"/>
      <c r="NGU9" s="200"/>
      <c r="NHH9" s="200"/>
      <c r="NHU9" s="200"/>
      <c r="NIH9" s="200"/>
      <c r="NIU9" s="200"/>
      <c r="NJH9" s="200"/>
      <c r="NJU9" s="200"/>
      <c r="NKH9" s="200"/>
      <c r="NKU9" s="200"/>
      <c r="NLH9" s="200"/>
      <c r="NLU9" s="200"/>
      <c r="NMH9" s="200"/>
      <c r="NMU9" s="200"/>
      <c r="NNH9" s="200"/>
      <c r="NNU9" s="200"/>
      <c r="NOH9" s="200"/>
      <c r="NOU9" s="200"/>
      <c r="NPH9" s="200"/>
      <c r="NPU9" s="200"/>
      <c r="NQH9" s="200"/>
      <c r="NQU9" s="200"/>
      <c r="NRH9" s="200"/>
      <c r="NRU9" s="200"/>
      <c r="NSH9" s="200"/>
      <c r="NSU9" s="200"/>
      <c r="NTH9" s="200"/>
      <c r="NTU9" s="200"/>
      <c r="NUH9" s="200"/>
      <c r="NUU9" s="200"/>
      <c r="NVH9" s="200"/>
      <c r="NVU9" s="200"/>
      <c r="NWH9" s="200"/>
      <c r="NWU9" s="200"/>
      <c r="NXH9" s="200"/>
      <c r="NXU9" s="200"/>
      <c r="NYH9" s="200"/>
      <c r="NYU9" s="200"/>
      <c r="NZH9" s="200"/>
      <c r="NZU9" s="200"/>
      <c r="OAH9" s="200"/>
      <c r="OAU9" s="200"/>
      <c r="OBH9" s="200"/>
      <c r="OBU9" s="200"/>
      <c r="OCH9" s="200"/>
      <c r="OCU9" s="200"/>
      <c r="ODH9" s="200"/>
      <c r="ODU9" s="200"/>
      <c r="OEH9" s="200"/>
      <c r="OEU9" s="200"/>
      <c r="OFH9" s="200"/>
      <c r="OFU9" s="200"/>
      <c r="OGH9" s="200"/>
      <c r="OGU9" s="200"/>
      <c r="OHH9" s="200"/>
      <c r="OHU9" s="200"/>
      <c r="OIH9" s="200"/>
      <c r="OIU9" s="200"/>
      <c r="OJH9" s="200"/>
      <c r="OJU9" s="200"/>
      <c r="OKH9" s="200"/>
      <c r="OKU9" s="200"/>
      <c r="OLH9" s="200"/>
      <c r="OLU9" s="200"/>
      <c r="OMH9" s="200"/>
      <c r="OMU9" s="200"/>
      <c r="ONH9" s="200"/>
      <c r="ONU9" s="200"/>
      <c r="OOH9" s="200"/>
      <c r="OOU9" s="200"/>
      <c r="OPH9" s="200"/>
      <c r="OPU9" s="200"/>
      <c r="OQH9" s="200"/>
      <c r="OQU9" s="200"/>
      <c r="ORH9" s="200"/>
      <c r="ORU9" s="200"/>
      <c r="OSH9" s="200"/>
      <c r="OSU9" s="200"/>
      <c r="OTH9" s="200"/>
      <c r="OTU9" s="200"/>
      <c r="OUH9" s="200"/>
      <c r="OUU9" s="200"/>
      <c r="OVH9" s="200"/>
      <c r="OVU9" s="200"/>
      <c r="OWH9" s="200"/>
      <c r="OWU9" s="200"/>
      <c r="OXH9" s="200"/>
      <c r="OXU9" s="200"/>
      <c r="OYH9" s="200"/>
      <c r="OYU9" s="200"/>
      <c r="OZH9" s="200"/>
      <c r="OZU9" s="200"/>
      <c r="PAH9" s="200"/>
      <c r="PAU9" s="200"/>
      <c r="PBH9" s="200"/>
      <c r="PBU9" s="200"/>
      <c r="PCH9" s="200"/>
      <c r="PCU9" s="200"/>
      <c r="PDH9" s="200"/>
      <c r="PDU9" s="200"/>
      <c r="PEH9" s="200"/>
      <c r="PEU9" s="200"/>
      <c r="PFH9" s="200"/>
      <c r="PFU9" s="200"/>
      <c r="PGH9" s="200"/>
      <c r="PGU9" s="200"/>
      <c r="PHH9" s="200"/>
      <c r="PHU9" s="200"/>
      <c r="PIH9" s="200"/>
      <c r="PIU9" s="200"/>
      <c r="PJH9" s="200"/>
      <c r="PJU9" s="200"/>
      <c r="PKH9" s="200"/>
      <c r="PKU9" s="200"/>
      <c r="PLH9" s="200"/>
      <c r="PLU9" s="200"/>
      <c r="PMH9" s="200"/>
      <c r="PMU9" s="200"/>
      <c r="PNH9" s="200"/>
      <c r="PNU9" s="200"/>
      <c r="POH9" s="200"/>
      <c r="POU9" s="200"/>
      <c r="PPH9" s="200"/>
      <c r="PPU9" s="200"/>
      <c r="PQH9" s="200"/>
      <c r="PQU9" s="200"/>
      <c r="PRH9" s="200"/>
      <c r="PRU9" s="200"/>
      <c r="PSH9" s="200"/>
      <c r="PSU9" s="200"/>
      <c r="PTH9" s="200"/>
      <c r="PTU9" s="200"/>
      <c r="PUH9" s="200"/>
      <c r="PUU9" s="200"/>
      <c r="PVH9" s="200"/>
      <c r="PVU9" s="200"/>
      <c r="PWH9" s="200"/>
      <c r="PWU9" s="200"/>
      <c r="PXH9" s="200"/>
      <c r="PXU9" s="200"/>
      <c r="PYH9" s="200"/>
      <c r="PYU9" s="200"/>
      <c r="PZH9" s="200"/>
      <c r="PZU9" s="200"/>
      <c r="QAH9" s="200"/>
      <c r="QAU9" s="200"/>
      <c r="QBH9" s="200"/>
      <c r="QBU9" s="200"/>
      <c r="QCH9" s="200"/>
      <c r="QCU9" s="200"/>
      <c r="QDH9" s="200"/>
      <c r="QDU9" s="200"/>
      <c r="QEH9" s="200"/>
      <c r="QEU9" s="200"/>
      <c r="QFH9" s="200"/>
      <c r="QFU9" s="200"/>
      <c r="QGH9" s="200"/>
      <c r="QGU9" s="200"/>
      <c r="QHH9" s="200"/>
      <c r="QHU9" s="200"/>
      <c r="QIH9" s="200"/>
      <c r="QIU9" s="200"/>
      <c r="QJH9" s="200"/>
      <c r="QJU9" s="200"/>
      <c r="QKH9" s="200"/>
      <c r="QKU9" s="200"/>
      <c r="QLH9" s="200"/>
      <c r="QLU9" s="200"/>
      <c r="QMH9" s="200"/>
      <c r="QMU9" s="200"/>
      <c r="QNH9" s="200"/>
      <c r="QNU9" s="200"/>
      <c r="QOH9" s="200"/>
      <c r="QOU9" s="200"/>
      <c r="QPH9" s="200"/>
      <c r="QPU9" s="200"/>
      <c r="QQH9" s="200"/>
      <c r="QQU9" s="200"/>
      <c r="QRH9" s="200"/>
      <c r="QRU9" s="200"/>
      <c r="QSH9" s="200"/>
      <c r="QSU9" s="200"/>
      <c r="QTH9" s="200"/>
      <c r="QTU9" s="200"/>
      <c r="QUH9" s="200"/>
      <c r="QUU9" s="200"/>
      <c r="QVH9" s="200"/>
      <c r="QVU9" s="200"/>
      <c r="QWH9" s="200"/>
      <c r="QWU9" s="200"/>
      <c r="QXH9" s="200"/>
      <c r="QXU9" s="200"/>
      <c r="QYH9" s="200"/>
      <c r="QYU9" s="200"/>
      <c r="QZH9" s="200"/>
      <c r="QZU9" s="200"/>
      <c r="RAH9" s="200"/>
      <c r="RAU9" s="200"/>
      <c r="RBH9" s="200"/>
      <c r="RBU9" s="200"/>
      <c r="RCH9" s="200"/>
      <c r="RCU9" s="200"/>
      <c r="RDH9" s="200"/>
      <c r="RDU9" s="200"/>
      <c r="REH9" s="200"/>
      <c r="REU9" s="200"/>
      <c r="RFH9" s="200"/>
      <c r="RFU9" s="200"/>
      <c r="RGH9" s="200"/>
      <c r="RGU9" s="200"/>
      <c r="RHH9" s="200"/>
      <c r="RHU9" s="200"/>
      <c r="RIH9" s="200"/>
      <c r="RIU9" s="200"/>
      <c r="RJH9" s="200"/>
      <c r="RJU9" s="200"/>
      <c r="RKH9" s="200"/>
      <c r="RKU9" s="200"/>
      <c r="RLH9" s="200"/>
      <c r="RLU9" s="200"/>
      <c r="RMH9" s="200"/>
      <c r="RMU9" s="200"/>
      <c r="RNH9" s="200"/>
      <c r="RNU9" s="200"/>
      <c r="ROH9" s="200"/>
      <c r="ROU9" s="200"/>
      <c r="RPH9" s="200"/>
      <c r="RPU9" s="200"/>
      <c r="RQH9" s="200"/>
      <c r="RQU9" s="200"/>
      <c r="RRH9" s="200"/>
      <c r="RRU9" s="200"/>
      <c r="RSH9" s="200"/>
      <c r="RSU9" s="200"/>
      <c r="RTH9" s="200"/>
      <c r="RTU9" s="200"/>
      <c r="RUH9" s="200"/>
      <c r="RUU9" s="200"/>
      <c r="RVH9" s="200"/>
      <c r="RVU9" s="200"/>
      <c r="RWH9" s="200"/>
      <c r="RWU9" s="200"/>
      <c r="RXH9" s="200"/>
      <c r="RXU9" s="200"/>
      <c r="RYH9" s="200"/>
      <c r="RYU9" s="200"/>
      <c r="RZH9" s="200"/>
      <c r="RZU9" s="200"/>
      <c r="SAH9" s="200"/>
      <c r="SAU9" s="200"/>
      <c r="SBH9" s="200"/>
      <c r="SBU9" s="200"/>
      <c r="SCH9" s="200"/>
      <c r="SCU9" s="200"/>
      <c r="SDH9" s="200"/>
      <c r="SDU9" s="200"/>
      <c r="SEH9" s="200"/>
      <c r="SEU9" s="200"/>
      <c r="SFH9" s="200"/>
      <c r="SFU9" s="200"/>
      <c r="SGH9" s="200"/>
      <c r="SGU9" s="200"/>
      <c r="SHH9" s="200"/>
      <c r="SHU9" s="200"/>
      <c r="SIH9" s="200"/>
      <c r="SIU9" s="200"/>
      <c r="SJH9" s="200"/>
      <c r="SJU9" s="200"/>
      <c r="SKH9" s="200"/>
      <c r="SKU9" s="200"/>
      <c r="SLH9" s="200"/>
      <c r="SLU9" s="200"/>
      <c r="SMH9" s="200"/>
      <c r="SMU9" s="200"/>
      <c r="SNH9" s="200"/>
      <c r="SNU9" s="200"/>
      <c r="SOH9" s="200"/>
      <c r="SOU9" s="200"/>
      <c r="SPH9" s="200"/>
      <c r="SPU9" s="200"/>
      <c r="SQH9" s="200"/>
      <c r="SQU9" s="200"/>
      <c r="SRH9" s="200"/>
      <c r="SRU9" s="200"/>
      <c r="SSH9" s="200"/>
      <c r="SSU9" s="200"/>
      <c r="STH9" s="200"/>
      <c r="STU9" s="200"/>
      <c r="SUH9" s="200"/>
      <c r="SUU9" s="200"/>
      <c r="SVH9" s="200"/>
      <c r="SVU9" s="200"/>
      <c r="SWH9" s="200"/>
      <c r="SWU9" s="200"/>
      <c r="SXH9" s="200"/>
      <c r="SXU9" s="200"/>
      <c r="SYH9" s="200"/>
      <c r="SYU9" s="200"/>
      <c r="SZH9" s="200"/>
      <c r="SZU9" s="200"/>
      <c r="TAH9" s="200"/>
      <c r="TAU9" s="200"/>
      <c r="TBH9" s="200"/>
      <c r="TBU9" s="200"/>
      <c r="TCH9" s="200"/>
      <c r="TCU9" s="200"/>
      <c r="TDH9" s="200"/>
      <c r="TDU9" s="200"/>
      <c r="TEH9" s="200"/>
      <c r="TEU9" s="200"/>
      <c r="TFH9" s="200"/>
      <c r="TFU9" s="200"/>
      <c r="TGH9" s="200"/>
      <c r="TGU9" s="200"/>
      <c r="THH9" s="200"/>
      <c r="THU9" s="200"/>
      <c r="TIH9" s="200"/>
      <c r="TIU9" s="200"/>
      <c r="TJH9" s="200"/>
      <c r="TJU9" s="200"/>
      <c r="TKH9" s="200"/>
      <c r="TKU9" s="200"/>
      <c r="TLH9" s="200"/>
      <c r="TLU9" s="200"/>
      <c r="TMH9" s="200"/>
      <c r="TMU9" s="200"/>
      <c r="TNH9" s="200"/>
      <c r="TNU9" s="200"/>
      <c r="TOH9" s="200"/>
      <c r="TOU9" s="200"/>
      <c r="TPH9" s="200"/>
      <c r="TPU9" s="200"/>
      <c r="TQH9" s="200"/>
      <c r="TQU9" s="200"/>
      <c r="TRH9" s="200"/>
      <c r="TRU9" s="200"/>
      <c r="TSH9" s="200"/>
      <c r="TSU9" s="200"/>
      <c r="TTH9" s="200"/>
      <c r="TTU9" s="200"/>
      <c r="TUH9" s="200"/>
      <c r="TUU9" s="200"/>
      <c r="TVH9" s="200"/>
      <c r="TVU9" s="200"/>
      <c r="TWH9" s="200"/>
      <c r="TWU9" s="200"/>
      <c r="TXH9" s="200"/>
      <c r="TXU9" s="200"/>
      <c r="TYH9" s="200"/>
      <c r="TYU9" s="200"/>
      <c r="TZH9" s="200"/>
      <c r="TZU9" s="200"/>
      <c r="UAH9" s="200"/>
      <c r="UAU9" s="200"/>
      <c r="UBH9" s="200"/>
      <c r="UBU9" s="200"/>
      <c r="UCH9" s="200"/>
      <c r="UCU9" s="200"/>
      <c r="UDH9" s="200"/>
      <c r="UDU9" s="200"/>
      <c r="UEH9" s="200"/>
      <c r="UEU9" s="200"/>
      <c r="UFH9" s="200"/>
      <c r="UFU9" s="200"/>
      <c r="UGH9" s="200"/>
      <c r="UGU9" s="200"/>
      <c r="UHH9" s="200"/>
      <c r="UHU9" s="200"/>
      <c r="UIH9" s="200"/>
      <c r="UIU9" s="200"/>
      <c r="UJH9" s="200"/>
      <c r="UJU9" s="200"/>
      <c r="UKH9" s="200"/>
      <c r="UKU9" s="200"/>
      <c r="ULH9" s="200"/>
      <c r="ULU9" s="200"/>
      <c r="UMH9" s="200"/>
      <c r="UMU9" s="200"/>
      <c r="UNH9" s="200"/>
      <c r="UNU9" s="200"/>
      <c r="UOH9" s="200"/>
      <c r="UOU9" s="200"/>
      <c r="UPH9" s="200"/>
      <c r="UPU9" s="200"/>
      <c r="UQH9" s="200"/>
      <c r="UQU9" s="200"/>
      <c r="URH9" s="200"/>
      <c r="URU9" s="200"/>
      <c r="USH9" s="200"/>
      <c r="USU9" s="200"/>
      <c r="UTH9" s="200"/>
      <c r="UTU9" s="200"/>
      <c r="UUH9" s="200"/>
      <c r="UUU9" s="200"/>
      <c r="UVH9" s="200"/>
      <c r="UVU9" s="200"/>
      <c r="UWH9" s="200"/>
      <c r="UWU9" s="200"/>
      <c r="UXH9" s="200"/>
      <c r="UXU9" s="200"/>
      <c r="UYH9" s="200"/>
      <c r="UYU9" s="200"/>
      <c r="UZH9" s="200"/>
      <c r="UZU9" s="200"/>
      <c r="VAH9" s="200"/>
      <c r="VAU9" s="200"/>
      <c r="VBH9" s="200"/>
      <c r="VBU9" s="200"/>
      <c r="VCH9" s="200"/>
      <c r="VCU9" s="200"/>
      <c r="VDH9" s="200"/>
      <c r="VDU9" s="200"/>
      <c r="VEH9" s="200"/>
      <c r="VEU9" s="200"/>
      <c r="VFH9" s="200"/>
      <c r="VFU9" s="200"/>
      <c r="VGH9" s="200"/>
      <c r="VGU9" s="200"/>
      <c r="VHH9" s="200"/>
      <c r="VHU9" s="200"/>
      <c r="VIH9" s="200"/>
      <c r="VIU9" s="200"/>
      <c r="VJH9" s="200"/>
      <c r="VJU9" s="200"/>
      <c r="VKH9" s="200"/>
      <c r="VKU9" s="200"/>
      <c r="VLH9" s="200"/>
      <c r="VLU9" s="200"/>
      <c r="VMH9" s="200"/>
      <c r="VMU9" s="200"/>
      <c r="VNH9" s="200"/>
      <c r="VNU9" s="200"/>
      <c r="VOH9" s="200"/>
      <c r="VOU9" s="200"/>
      <c r="VPH9" s="200"/>
      <c r="VPU9" s="200"/>
      <c r="VQH9" s="200"/>
      <c r="VQU9" s="200"/>
      <c r="VRH9" s="200"/>
      <c r="VRU9" s="200"/>
      <c r="VSH9" s="200"/>
      <c r="VSU9" s="200"/>
      <c r="VTH9" s="200"/>
      <c r="VTU9" s="200"/>
      <c r="VUH9" s="200"/>
      <c r="VUU9" s="200"/>
      <c r="VVH9" s="200"/>
      <c r="VVU9" s="200"/>
      <c r="VWH9" s="200"/>
      <c r="VWU9" s="200"/>
      <c r="VXH9" s="200"/>
      <c r="VXU9" s="200"/>
      <c r="VYH9" s="200"/>
      <c r="VYU9" s="200"/>
      <c r="VZH9" s="200"/>
      <c r="VZU9" s="200"/>
      <c r="WAH9" s="200"/>
      <c r="WAU9" s="200"/>
      <c r="WBH9" s="200"/>
      <c r="WBU9" s="200"/>
      <c r="WCH9" s="200"/>
      <c r="WCU9" s="200"/>
      <c r="WDH9" s="200"/>
      <c r="WDU9" s="200"/>
      <c r="WEH9" s="200"/>
      <c r="WEU9" s="200"/>
      <c r="WFH9" s="200"/>
      <c r="WFU9" s="200"/>
      <c r="WGH9" s="200"/>
      <c r="WGU9" s="200"/>
      <c r="WHH9" s="200"/>
      <c r="WHU9" s="200"/>
      <c r="WIH9" s="200"/>
      <c r="WIU9" s="200"/>
      <c r="WJH9" s="200"/>
      <c r="WJU9" s="200"/>
      <c r="WKH9" s="200"/>
      <c r="WKU9" s="200"/>
      <c r="WLH9" s="200"/>
      <c r="WLU9" s="200"/>
      <c r="WMH9" s="200"/>
      <c r="WMU9" s="200"/>
      <c r="WNH9" s="200"/>
      <c r="WNU9" s="200"/>
      <c r="WOH9" s="200"/>
      <c r="WOU9" s="200"/>
      <c r="WPH9" s="200"/>
      <c r="WPU9" s="200"/>
      <c r="WQH9" s="200"/>
      <c r="WQU9" s="200"/>
      <c r="WRH9" s="200"/>
      <c r="WRU9" s="200"/>
      <c r="WSH9" s="200"/>
      <c r="WSU9" s="200"/>
      <c r="WTH9" s="200"/>
      <c r="WTU9" s="200"/>
      <c r="WUH9" s="200"/>
      <c r="WUU9" s="200"/>
      <c r="WVH9" s="200"/>
      <c r="WVU9" s="200"/>
      <c r="WWH9" s="200"/>
      <c r="WWU9" s="200"/>
      <c r="WXH9" s="200"/>
      <c r="WXU9" s="200"/>
      <c r="WYH9" s="200"/>
      <c r="WYU9" s="200"/>
      <c r="WZH9" s="200"/>
      <c r="WZU9" s="200"/>
      <c r="XAH9" s="200"/>
      <c r="XAU9" s="200"/>
      <c r="XBH9" s="200"/>
      <c r="XBU9" s="200"/>
      <c r="XCH9" s="200"/>
      <c r="XCU9" s="200"/>
      <c r="XDH9" s="200"/>
      <c r="XDU9" s="200"/>
      <c r="XEH9" s="200"/>
      <c r="XEU9" s="200"/>
    </row>
    <row r="10" spans="1:1022 1035:2036 2049:3063 3076:4090 4103:5117 5130:6144 6157:7158 7171:8185 8198:9212 9225:10239 10252:11253 11266:12280 12293:13307 13320:14334 14347:15348 15361:16375" s="156" customFormat="1" ht="13" customHeight="1">
      <c r="A10" s="211"/>
      <c r="B10" s="15" t="str">
        <f>IF('Summary | Sumário'!D$6=Names!B$3,Names!M7,Names!N7)</f>
        <v>Expenses from services and commissions</v>
      </c>
      <c r="C10" s="202">
        <v>-56627.339</v>
      </c>
      <c r="D10" s="202">
        <v>-71611</v>
      </c>
      <c r="E10" s="202">
        <v>-100297</v>
      </c>
      <c r="F10" s="202">
        <v>-129233</v>
      </c>
      <c r="G10" s="202">
        <v>-135582</v>
      </c>
      <c r="H10" s="202">
        <v>-143430.21100000001</v>
      </c>
      <c r="I10" s="202">
        <v>-182202</v>
      </c>
      <c r="J10" s="202"/>
      <c r="K10" s="202">
        <v>-23279</v>
      </c>
      <c r="L10" s="202">
        <v>-21841</v>
      </c>
      <c r="M10" s="202">
        <v>-26430</v>
      </c>
      <c r="N10" s="202">
        <v>-28747</v>
      </c>
      <c r="O10" s="202">
        <v>-28516</v>
      </c>
      <c r="P10" s="202">
        <v>-33954</v>
      </c>
      <c r="Q10" s="202">
        <v>-33404</v>
      </c>
      <c r="R10" s="202">
        <v>-33359</v>
      </c>
      <c r="S10" s="202">
        <v>-35678</v>
      </c>
      <c r="T10" s="202">
        <v>-31723</v>
      </c>
      <c r="U10" s="202">
        <v>-32271</v>
      </c>
      <c r="V10" s="202">
        <v>-35910</v>
      </c>
      <c r="W10" s="202">
        <v>-34021.773478642281</v>
      </c>
      <c r="X10" s="202">
        <v>-32942.008999999998</v>
      </c>
      <c r="Y10" s="202">
        <v>-37676.508000000002</v>
      </c>
      <c r="Z10" s="202">
        <v>-38789.920521357737</v>
      </c>
      <c r="AA10" s="202">
        <v>-40810.6</v>
      </c>
      <c r="AB10" s="202">
        <v>-42997</v>
      </c>
      <c r="AC10" s="202">
        <v>-46809</v>
      </c>
      <c r="AD10" s="202">
        <v>-51585.399999999994</v>
      </c>
      <c r="AE10" s="202">
        <v>-45739</v>
      </c>
      <c r="AF10" s="202"/>
      <c r="AG10" s="326">
        <f>AE10/AD10-1</f>
        <v>-0.11333439306470428</v>
      </c>
      <c r="AH10" s="326">
        <f>AE10/AA10-1</f>
        <v>0.12076274301284484</v>
      </c>
    </row>
    <row r="11" spans="1:1022 1035:2036 2049:3063 3076:4090 4103:5117 5130:6144 6157:7158 7171:8185 8198:9212 9225:10239 10252:11253 11266:12280 12293:13307 13320:14334 14347:15348 15361:16375" ht="13" customHeight="1">
      <c r="A11" s="198"/>
      <c r="B11" s="21" t="str">
        <f>IF('Summary | Sumário'!D$6=Names!B$3,Names!M10,Names!N10)</f>
        <v>Other revenues</v>
      </c>
      <c r="C11" s="201">
        <v>46867</v>
      </c>
      <c r="D11" s="201">
        <v>92564</v>
      </c>
      <c r="E11" s="201">
        <v>165415</v>
      </c>
      <c r="F11" s="201">
        <v>288682</v>
      </c>
      <c r="G11" s="201">
        <v>286980</v>
      </c>
      <c r="H11" s="201">
        <v>333570.52926939999</v>
      </c>
      <c r="I11" s="201">
        <v>301226</v>
      </c>
      <c r="J11" s="202"/>
      <c r="K11" s="201">
        <v>41623</v>
      </c>
      <c r="L11" s="201">
        <v>69359</v>
      </c>
      <c r="M11" s="201">
        <v>30496</v>
      </c>
      <c r="N11" s="201">
        <v>23937</v>
      </c>
      <c r="O11" s="201">
        <v>95374</v>
      </c>
      <c r="P11" s="201">
        <v>85809</v>
      </c>
      <c r="Q11" s="201">
        <v>46550</v>
      </c>
      <c r="R11" s="201">
        <v>60949</v>
      </c>
      <c r="S11" s="201">
        <v>50958</v>
      </c>
      <c r="T11" s="201">
        <v>54967</v>
      </c>
      <c r="U11" s="201">
        <v>104770.50028000001</v>
      </c>
      <c r="V11" s="201">
        <v>76284.499719999993</v>
      </c>
      <c r="W11" s="201">
        <v>68201</v>
      </c>
      <c r="X11" s="201">
        <v>72531.218238679983</v>
      </c>
      <c r="Y11" s="201">
        <v>81802.620979938802</v>
      </c>
      <c r="Z11" s="201">
        <v>111035.69005078121</v>
      </c>
      <c r="AA11" s="201">
        <v>56093.4</v>
      </c>
      <c r="AB11" s="201">
        <v>81444.399999999994</v>
      </c>
      <c r="AC11" s="201">
        <v>72103</v>
      </c>
      <c r="AD11" s="201">
        <v>91585.2</v>
      </c>
      <c r="AE11" s="201">
        <v>108943</v>
      </c>
      <c r="AF11" s="202"/>
      <c r="AG11" s="327">
        <f>AE11/AD11-1</f>
        <v>0.18952625533383127</v>
      </c>
      <c r="AH11" s="327">
        <f>AE11/AA11-1</f>
        <v>0.94217144976057776</v>
      </c>
    </row>
    <row r="12" spans="1:1022 1035:2036 2049:3063 3076:4090 4103:5117 5130:6144 6157:7158 7171:8185 8198:9212 9225:10239 10252:11253 11266:12280 12293:13307 13320:14334 14347:15348 15361:16375" s="155" customFormat="1" ht="13" customHeight="1">
      <c r="A12" s="225"/>
      <c r="B12" s="271" t="str">
        <f>IF('Summary | Sumário'!D$6=Names!B$3,Names!M26,Names!N26)</f>
        <v>Revenues</v>
      </c>
      <c r="C12" s="272">
        <v>712223.66099999996</v>
      </c>
      <c r="D12" s="272">
        <v>1011378.89518</v>
      </c>
      <c r="E12" s="272">
        <v>2221823.2459999998</v>
      </c>
      <c r="F12" s="272">
        <v>3562697.1849999996</v>
      </c>
      <c r="G12" s="272">
        <v>4752577</v>
      </c>
      <c r="H12" s="272">
        <v>6400165.1972113997</v>
      </c>
      <c r="I12" s="272">
        <v>8400938</v>
      </c>
      <c r="J12" s="214"/>
      <c r="K12" s="272">
        <v>416766.33899999998</v>
      </c>
      <c r="L12" s="272">
        <v>467413.34700000007</v>
      </c>
      <c r="M12" s="272">
        <v>606509.88</v>
      </c>
      <c r="N12" s="272">
        <v>731132.34600000002</v>
      </c>
      <c r="O12" s="272">
        <v>833521.0149999999</v>
      </c>
      <c r="P12" s="272">
        <v>877020.3110000001</v>
      </c>
      <c r="Q12" s="272">
        <v>850303.46699999995</v>
      </c>
      <c r="R12" s="272">
        <v>1001852.392</v>
      </c>
      <c r="S12" s="272">
        <v>1024114.1240000001</v>
      </c>
      <c r="T12" s="272">
        <v>1150034</v>
      </c>
      <c r="U12" s="272">
        <v>1265495.60824</v>
      </c>
      <c r="V12" s="272">
        <v>1312933.8627599999</v>
      </c>
      <c r="W12" s="272">
        <v>1400940.115371532</v>
      </c>
      <c r="X12" s="272">
        <v>1478597.8110425298</v>
      </c>
      <c r="Y12" s="272">
        <v>1676142.244553572</v>
      </c>
      <c r="Z12" s="272">
        <v>1844485.0262437663</v>
      </c>
      <c r="AA12" s="272">
        <v>1837801.1</v>
      </c>
      <c r="AB12" s="272">
        <v>2003082.4</v>
      </c>
      <c r="AC12" s="272">
        <v>2162164</v>
      </c>
      <c r="AD12" s="272">
        <v>2397890.5</v>
      </c>
      <c r="AE12" s="272">
        <v>2440987</v>
      </c>
      <c r="AF12" s="214"/>
      <c r="AG12" s="328">
        <f>AE12/AD12-1</f>
        <v>1.7972672230028852E-2</v>
      </c>
      <c r="AH12" s="328">
        <f>AE12/AA12-1</f>
        <v>0.32821065348148926</v>
      </c>
    </row>
    <row r="13" spans="1:1022 1035:2036 2049:3063 3076:4090 4103:5117 5130:6144 6157:7158 7171:8185 8198:9212 9225:10239 10252:11253 11266:12280 12293:13307 13320:14334 14347:15348 15361:16375" s="155" customFormat="1" ht="13" customHeight="1">
      <c r="A13" s="225"/>
      <c r="B13" s="51"/>
      <c r="C13" s="226"/>
      <c r="D13" s="226"/>
      <c r="E13" s="226"/>
      <c r="F13" s="226"/>
      <c r="G13" s="226"/>
      <c r="H13" s="226"/>
      <c r="I13" s="226"/>
      <c r="J13" s="214"/>
      <c r="K13" s="226"/>
      <c r="L13" s="226"/>
      <c r="M13" s="226"/>
      <c r="N13" s="226"/>
      <c r="O13" s="226"/>
      <c r="P13" s="226"/>
      <c r="Q13" s="226"/>
      <c r="R13" s="226"/>
      <c r="S13" s="226"/>
      <c r="T13" s="226"/>
      <c r="U13" s="226"/>
      <c r="V13" s="226"/>
      <c r="W13" s="226"/>
      <c r="X13" s="226"/>
      <c r="Y13" s="226"/>
      <c r="Z13" s="226"/>
      <c r="AA13" s="226"/>
      <c r="AB13" s="226"/>
      <c r="AC13" s="226"/>
      <c r="AD13" s="226"/>
      <c r="AE13" s="226"/>
      <c r="AF13" s="214"/>
      <c r="AG13" s="319"/>
      <c r="AH13" s="319"/>
    </row>
    <row r="14" spans="1:1022 1035:2036 2049:3063 3076:4090 4103:5117 5130:6144 6157:7158 7171:8185 8198:9212 9225:10239 10252:11253 11266:12280 12293:13307 13320:14334 14347:15348 15361:16375" ht="13" customHeight="1">
      <c r="A14" s="198"/>
      <c r="B14" s="15" t="str">
        <f>IF('Summary | Sumário'!D$6=Names!B$3,Names!M13,Names!N13)</f>
        <v>Impairment losses on financial assets</v>
      </c>
      <c r="C14" s="147">
        <v>-138570</v>
      </c>
      <c r="D14" s="147">
        <v>-213688</v>
      </c>
      <c r="E14" s="147">
        <v>-595581</v>
      </c>
      <c r="F14" s="147">
        <v>-1083237</v>
      </c>
      <c r="G14" s="147">
        <v>-1541584</v>
      </c>
      <c r="H14" s="147">
        <v>-1799452.3359999999</v>
      </c>
      <c r="I14" s="147">
        <v>-2416353</v>
      </c>
      <c r="J14" s="202"/>
      <c r="K14" s="147">
        <v>-106669</v>
      </c>
      <c r="L14" s="147">
        <v>-167441</v>
      </c>
      <c r="M14" s="147">
        <v>-138005</v>
      </c>
      <c r="N14" s="147">
        <v>-183466</v>
      </c>
      <c r="O14" s="147">
        <v>-312946</v>
      </c>
      <c r="P14" s="147">
        <v>-242464</v>
      </c>
      <c r="Q14" s="147">
        <v>-263113</v>
      </c>
      <c r="R14" s="147">
        <v>-264714</v>
      </c>
      <c r="S14" s="147">
        <v>-350681</v>
      </c>
      <c r="T14" s="147">
        <v>-398560</v>
      </c>
      <c r="U14" s="147">
        <v>-407899</v>
      </c>
      <c r="V14" s="147">
        <v>-384444</v>
      </c>
      <c r="W14" s="147">
        <v>-411048</v>
      </c>
      <c r="X14" s="147">
        <v>-421247.66100000002</v>
      </c>
      <c r="Y14" s="147">
        <v>-471426.65</v>
      </c>
      <c r="Z14" s="147">
        <v>-495730.02499999967</v>
      </c>
      <c r="AA14" s="147">
        <v>-513681.4</v>
      </c>
      <c r="AB14" s="147">
        <v>-569249</v>
      </c>
      <c r="AC14" s="147">
        <v>-640796</v>
      </c>
      <c r="AD14" s="147">
        <v>-692626.60000000009</v>
      </c>
      <c r="AE14" s="147">
        <v>-781268</v>
      </c>
      <c r="AF14" s="147"/>
      <c r="AG14" s="314">
        <f>AE14/AD14-1</f>
        <v>0.12797862513510161</v>
      </c>
      <c r="AH14" s="314">
        <f>AE14/AA14-1</f>
        <v>0.52091938699746576</v>
      </c>
    </row>
    <row r="15" spans="1:1022 1035:2036 2049:3063 3076:4090 4103:5117 5130:6144 6157:7158 7171:8185 8198:9212 9225:10239 10252:11253 11266:12280 12293:13307 13320:14334 14347:15348 15361:16375" s="155" customFormat="1" ht="13" customHeight="1">
      <c r="A15" s="225"/>
      <c r="B15" s="273" t="str">
        <f>IF('Summary | Sumário'!D$6=Names!B$3,Names!M25,Names!N25)</f>
        <v>Net result of losses</v>
      </c>
      <c r="C15" s="270">
        <v>573653.66099999996</v>
      </c>
      <c r="D15" s="270">
        <v>797690.89517999999</v>
      </c>
      <c r="E15" s="270">
        <v>1626242.2459999998</v>
      </c>
      <c r="F15" s="270">
        <v>2479460.1849999996</v>
      </c>
      <c r="G15" s="270">
        <v>3210993</v>
      </c>
      <c r="H15" s="270">
        <v>4600712.8612114005</v>
      </c>
      <c r="I15" s="270">
        <v>5984585</v>
      </c>
      <c r="J15" s="214"/>
      <c r="K15" s="270">
        <v>310096.935</v>
      </c>
      <c r="L15" s="270">
        <v>299972.75100000005</v>
      </c>
      <c r="M15" s="270">
        <v>468504.88</v>
      </c>
      <c r="N15" s="270">
        <v>547666.67999999993</v>
      </c>
      <c r="O15" s="270">
        <v>520575.0149999999</v>
      </c>
      <c r="P15" s="270">
        <v>634556.3110000001</v>
      </c>
      <c r="Q15" s="270">
        <v>587190.46699999995</v>
      </c>
      <c r="R15" s="270">
        <v>737138.39199999999</v>
      </c>
      <c r="S15" s="270">
        <v>673433.12400000007</v>
      </c>
      <c r="T15" s="270">
        <v>751474</v>
      </c>
      <c r="U15" s="270">
        <v>857596.60823999997</v>
      </c>
      <c r="V15" s="270">
        <v>928489.86275999993</v>
      </c>
      <c r="W15" s="270">
        <v>989892.11537153204</v>
      </c>
      <c r="X15" s="270">
        <v>1057350.1500425297</v>
      </c>
      <c r="Y15" s="270">
        <v>1204715.5945535721</v>
      </c>
      <c r="Z15" s="270">
        <v>1348755.0012437666</v>
      </c>
      <c r="AA15" s="270">
        <v>1324119.7000000002</v>
      </c>
      <c r="AB15" s="270">
        <v>1433833.4</v>
      </c>
      <c r="AC15" s="270">
        <v>1521368</v>
      </c>
      <c r="AD15" s="270">
        <v>1705263.9</v>
      </c>
      <c r="AE15" s="270">
        <v>1659719</v>
      </c>
      <c r="AF15" s="214"/>
      <c r="AG15" s="311">
        <f>AE15/AD15-1</f>
        <v>-2.6708417389238015E-2</v>
      </c>
      <c r="AH15" s="311">
        <f>AE15/AA15-1</f>
        <v>0.25345087759059837</v>
      </c>
      <c r="AJ15" s="200"/>
    </row>
    <row r="16" spans="1:1022 1035:2036 2049:3063 3076:4090 4103:5117 5130:6144 6157:7158 7171:8185 8198:9212 9225:10239 10252:11253 11266:12280 12293:13307 13320:14334 14347:15348 15361:16375" ht="13" customHeight="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97"/>
      <c r="AH16" s="197"/>
    </row>
    <row r="17" spans="1:34" ht="13" customHeight="1">
      <c r="A17" s="198"/>
      <c r="B17" s="21" t="str">
        <f>IF('Summary | Sumário'!D$6=Names!B$3,Names!M12,Names!N12)</f>
        <v>Other income</v>
      </c>
      <c r="C17" s="227">
        <v>0</v>
      </c>
      <c r="D17" s="227">
        <v>109216</v>
      </c>
      <c r="E17" s="227">
        <v>0</v>
      </c>
      <c r="F17" s="227">
        <v>0</v>
      </c>
      <c r="G17" s="227">
        <v>0</v>
      </c>
      <c r="H17" s="227">
        <v>0</v>
      </c>
      <c r="I17" s="227">
        <v>0</v>
      </c>
      <c r="J17" s="202"/>
      <c r="K17" s="227">
        <v>0</v>
      </c>
      <c r="L17" s="227">
        <v>0</v>
      </c>
      <c r="M17" s="227">
        <v>0</v>
      </c>
      <c r="N17" s="227">
        <v>0</v>
      </c>
      <c r="O17" s="227">
        <v>0</v>
      </c>
      <c r="P17" s="227">
        <v>0</v>
      </c>
      <c r="Q17" s="227">
        <v>0</v>
      </c>
      <c r="R17" s="227">
        <v>0</v>
      </c>
      <c r="S17" s="227" t="s">
        <v>1182</v>
      </c>
      <c r="T17" s="227">
        <v>0</v>
      </c>
      <c r="U17" s="227">
        <v>0</v>
      </c>
      <c r="V17" s="227">
        <v>0</v>
      </c>
      <c r="W17" s="227">
        <v>0</v>
      </c>
      <c r="X17" s="227">
        <v>0</v>
      </c>
      <c r="Y17" s="227">
        <v>0</v>
      </c>
      <c r="Z17" s="227">
        <v>0</v>
      </c>
      <c r="AA17" s="227">
        <v>0</v>
      </c>
      <c r="AB17" s="227">
        <v>0</v>
      </c>
      <c r="AC17" s="227">
        <v>0</v>
      </c>
      <c r="AD17" s="227">
        <v>0</v>
      </c>
      <c r="AE17" s="227">
        <v>0</v>
      </c>
      <c r="AF17" s="147"/>
      <c r="AG17" s="201">
        <v>0</v>
      </c>
      <c r="AH17" s="201">
        <v>0</v>
      </c>
    </row>
    <row r="18" spans="1:34" ht="13" customHeight="1">
      <c r="A18" s="198"/>
      <c r="B18" s="15" t="str">
        <f>IF('Summary | Sumário'!D$6=Names!B$3,Names!M14,Names!N14)</f>
        <v>Personnel expenses</v>
      </c>
      <c r="C18" s="147">
        <v>-169198</v>
      </c>
      <c r="D18" s="147">
        <v>-229096</v>
      </c>
      <c r="E18" s="147">
        <v>-443328</v>
      </c>
      <c r="F18" s="147">
        <v>-733605</v>
      </c>
      <c r="G18" s="147">
        <v>-790739</v>
      </c>
      <c r="H18" s="147">
        <v>-937761.13</v>
      </c>
      <c r="I18" s="147">
        <v>-1090333</v>
      </c>
      <c r="J18" s="202"/>
      <c r="K18" s="147">
        <v>-81861</v>
      </c>
      <c r="L18" s="147">
        <v>-93046</v>
      </c>
      <c r="M18" s="147">
        <v>-121250</v>
      </c>
      <c r="N18" s="147">
        <v>-147171</v>
      </c>
      <c r="O18" s="147">
        <v>-145120</v>
      </c>
      <c r="P18" s="147">
        <v>-172466</v>
      </c>
      <c r="Q18" s="147">
        <v>-176232</v>
      </c>
      <c r="R18" s="147">
        <v>-239787</v>
      </c>
      <c r="S18" s="147">
        <v>-172412</v>
      </c>
      <c r="T18" s="147">
        <v>-186249</v>
      </c>
      <c r="U18" s="147">
        <v>-210661</v>
      </c>
      <c r="V18" s="147">
        <v>-221417</v>
      </c>
      <c r="W18" s="147">
        <v>-190463</v>
      </c>
      <c r="X18" s="147">
        <v>-204206.56551999997</v>
      </c>
      <c r="Y18" s="147">
        <v>-258954.60447999998</v>
      </c>
      <c r="Z18" s="147">
        <v>-284136.96000000008</v>
      </c>
      <c r="AA18" s="147">
        <v>-234873.2</v>
      </c>
      <c r="AB18" s="147">
        <v>-256765</v>
      </c>
      <c r="AC18" s="147">
        <v>-285248</v>
      </c>
      <c r="AD18" s="147">
        <v>-313446.80000000005</v>
      </c>
      <c r="AE18" s="147">
        <v>-284777</v>
      </c>
      <c r="AF18" s="147"/>
      <c r="AG18" s="314">
        <f>AE18/AD18-1</f>
        <v>-9.1466239246979164E-2</v>
      </c>
      <c r="AH18" s="314">
        <f>AE18/AA18-1</f>
        <v>0.21247123980087967</v>
      </c>
    </row>
    <row r="19" spans="1:34" ht="13" customHeight="1">
      <c r="A19" s="198"/>
      <c r="B19" s="21" t="str">
        <f>IF('Summary | Sumário'!D$6=Names!B$3,Names!M15,Names!N15)</f>
        <v>Depreciation and amortization</v>
      </c>
      <c r="C19" s="227">
        <v>-17463</v>
      </c>
      <c r="D19" s="227">
        <v>-43659</v>
      </c>
      <c r="E19" s="227">
        <v>-94250.52</v>
      </c>
      <c r="F19" s="227">
        <v>-163972</v>
      </c>
      <c r="G19" s="227">
        <v>-160440</v>
      </c>
      <c r="H19" s="227">
        <v>-208829.429</v>
      </c>
      <c r="I19" s="227">
        <v>-340727</v>
      </c>
      <c r="J19" s="202"/>
      <c r="K19" s="227">
        <v>-19166</v>
      </c>
      <c r="L19" s="227">
        <v>-25338</v>
      </c>
      <c r="M19" s="227">
        <v>-30883</v>
      </c>
      <c r="N19" s="227">
        <v>-18863.520000000004</v>
      </c>
      <c r="O19" s="227">
        <v>-36478</v>
      </c>
      <c r="P19" s="227">
        <v>-35511</v>
      </c>
      <c r="Q19" s="227">
        <v>-35620</v>
      </c>
      <c r="R19" s="227">
        <v>-56363</v>
      </c>
      <c r="S19" s="227">
        <v>-37577</v>
      </c>
      <c r="T19" s="227">
        <v>-41130</v>
      </c>
      <c r="U19" s="227">
        <v>-40591</v>
      </c>
      <c r="V19" s="227">
        <v>-41142</v>
      </c>
      <c r="W19" s="227">
        <v>-41900</v>
      </c>
      <c r="X19" s="227">
        <v>-53034.879000000001</v>
      </c>
      <c r="Y19" s="227">
        <v>-53349</v>
      </c>
      <c r="Z19" s="227">
        <v>-60545.549999999988</v>
      </c>
      <c r="AA19" s="227">
        <v>-67445</v>
      </c>
      <c r="AB19" s="227">
        <v>-76631</v>
      </c>
      <c r="AC19" s="227">
        <v>-84524</v>
      </c>
      <c r="AD19" s="227">
        <v>-112127</v>
      </c>
      <c r="AE19" s="227">
        <v>-93367</v>
      </c>
      <c r="AF19" s="147"/>
      <c r="AG19" s="504">
        <f>AE19/AD19-1</f>
        <v>-0.16731028209084342</v>
      </c>
      <c r="AH19" s="504">
        <f>AE19/AA19-1</f>
        <v>0.38434279783527314</v>
      </c>
    </row>
    <row r="20" spans="1:34" ht="13" customHeight="1">
      <c r="A20" s="198"/>
      <c r="B20" s="15" t="str">
        <f>IF('Summary | Sumário'!D$6=Names!B$3,Names!M16,Names!N16)</f>
        <v>Tax expenses</v>
      </c>
      <c r="C20" s="202">
        <v>0</v>
      </c>
      <c r="D20" s="202">
        <v>0</v>
      </c>
      <c r="E20" s="202">
        <v>-146721.22500000001</v>
      </c>
      <c r="F20" s="202">
        <v>-248588</v>
      </c>
      <c r="G20" s="202">
        <v>-326584</v>
      </c>
      <c r="H20" s="202">
        <v>-477037.39600000001</v>
      </c>
      <c r="I20" s="202">
        <v>-728734</v>
      </c>
      <c r="J20" s="202"/>
      <c r="K20" s="202">
        <v>-27534.687000000002</v>
      </c>
      <c r="L20" s="202">
        <v>-30373</v>
      </c>
      <c r="M20" s="202">
        <v>-40645.811999999998</v>
      </c>
      <c r="N20" s="202">
        <v>-48167.726000000002</v>
      </c>
      <c r="O20" s="202">
        <v>-56693</v>
      </c>
      <c r="P20" s="202">
        <v>-61600</v>
      </c>
      <c r="Q20" s="202">
        <v>-61544</v>
      </c>
      <c r="R20" s="202">
        <v>-68751</v>
      </c>
      <c r="S20" s="202">
        <v>-68871</v>
      </c>
      <c r="T20" s="202">
        <v>-72463</v>
      </c>
      <c r="U20" s="202">
        <v>-94072</v>
      </c>
      <c r="V20" s="202">
        <v>-91178</v>
      </c>
      <c r="W20" s="202">
        <v>-86331</v>
      </c>
      <c r="X20" s="202">
        <v>-99417.270999999993</v>
      </c>
      <c r="Y20" s="202">
        <v>-123632.909</v>
      </c>
      <c r="Z20" s="202">
        <v>-167656.21600000001</v>
      </c>
      <c r="AA20" s="202">
        <v>-136055</v>
      </c>
      <c r="AB20" s="202">
        <v>-176879.6</v>
      </c>
      <c r="AC20" s="202">
        <v>-190327.6</v>
      </c>
      <c r="AD20" s="202">
        <v>-225471.80000000005</v>
      </c>
      <c r="AE20" s="202">
        <v>-186559</v>
      </c>
      <c r="AF20" s="202"/>
      <c r="AG20" s="314">
        <f>AE20/AD20-1</f>
        <v>-0.17258388853949824</v>
      </c>
      <c r="AH20" s="314">
        <f>AE20/AA20-1</f>
        <v>0.37120282238800484</v>
      </c>
    </row>
    <row r="21" spans="1:34" ht="13" customHeight="1">
      <c r="A21" s="198"/>
      <c r="B21" s="21" t="str">
        <f>IF('Summary | Sumário'!D$6=Names!B$3,Names!M17,Names!N17)</f>
        <v>Administrative expenses</v>
      </c>
      <c r="C21" s="201">
        <v>-386309</v>
      </c>
      <c r="D21" s="201">
        <v>-641327</v>
      </c>
      <c r="E21" s="201">
        <v>-1164239.7749999999</v>
      </c>
      <c r="F21" s="201">
        <v>-1494484</v>
      </c>
      <c r="G21" s="201">
        <v>-1461348</v>
      </c>
      <c r="H21" s="201">
        <v>-1769055.128</v>
      </c>
      <c r="I21" s="201">
        <v>-2200604</v>
      </c>
      <c r="J21" s="202"/>
      <c r="K21" s="201">
        <v>-219095.31299999999</v>
      </c>
      <c r="L21" s="201">
        <v>-272761</v>
      </c>
      <c r="M21" s="201">
        <v>-235355.18799999999</v>
      </c>
      <c r="N21" s="201">
        <v>-437028.27399999998</v>
      </c>
      <c r="O21" s="201">
        <v>-376806</v>
      </c>
      <c r="P21" s="201">
        <v>-348618</v>
      </c>
      <c r="Q21" s="201">
        <v>-379946</v>
      </c>
      <c r="R21" s="201">
        <v>-389114</v>
      </c>
      <c r="S21" s="201">
        <v>-385615</v>
      </c>
      <c r="T21" s="201">
        <v>-347868</v>
      </c>
      <c r="U21" s="201">
        <v>-362877</v>
      </c>
      <c r="V21" s="201">
        <v>-364988</v>
      </c>
      <c r="W21" s="201">
        <v>-395244</v>
      </c>
      <c r="X21" s="201">
        <v>-402827.25400000002</v>
      </c>
      <c r="Y21" s="201">
        <v>-474826</v>
      </c>
      <c r="Z21" s="201">
        <v>-496157.87400000007</v>
      </c>
      <c r="AA21" s="201">
        <v>-528199.6</v>
      </c>
      <c r="AB21" s="201">
        <v>-540029.6</v>
      </c>
      <c r="AC21" s="201">
        <v>-543343</v>
      </c>
      <c r="AD21" s="201">
        <v>-589031.80000000005</v>
      </c>
      <c r="AE21" s="201">
        <v>-617898</v>
      </c>
      <c r="AF21" s="202"/>
      <c r="AG21" s="504">
        <f>AE21/AD21-1</f>
        <v>4.9006182688269062E-2</v>
      </c>
      <c r="AH21" s="504">
        <f>AE21/AA21-1</f>
        <v>0.16981913655368164</v>
      </c>
    </row>
    <row r="22" spans="1:34" ht="13" customHeight="1">
      <c r="A22" s="198"/>
      <c r="B22" s="50" t="str">
        <f>IF('Summary | Sumário'!D$6=Names!B$3,Names!M19,Names!N19)</f>
        <v>Income from equity interests in associates</v>
      </c>
      <c r="C22" s="202">
        <v>0</v>
      </c>
      <c r="D22" s="202">
        <v>0</v>
      </c>
      <c r="E22" s="202">
        <v>-8764</v>
      </c>
      <c r="F22" s="202">
        <v>-17384</v>
      </c>
      <c r="G22" s="202">
        <v>-32040</v>
      </c>
      <c r="H22" s="202">
        <v>-2480</v>
      </c>
      <c r="I22" s="202">
        <v>0</v>
      </c>
      <c r="J22" s="202"/>
      <c r="K22" s="202">
        <v>0</v>
      </c>
      <c r="L22" s="202">
        <v>3893</v>
      </c>
      <c r="M22" s="202">
        <v>-5454</v>
      </c>
      <c r="N22" s="202">
        <v>-7203</v>
      </c>
      <c r="O22" s="202">
        <v>-5572</v>
      </c>
      <c r="P22" s="202">
        <v>-4490</v>
      </c>
      <c r="Q22" s="202">
        <v>-3892</v>
      </c>
      <c r="R22" s="202">
        <v>-3430</v>
      </c>
      <c r="S22" s="202">
        <v>-3061</v>
      </c>
      <c r="T22" s="202">
        <v>-23465</v>
      </c>
      <c r="U22" s="202">
        <v>-4070.8986899999982</v>
      </c>
      <c r="V22" s="202">
        <v>-1443.1013100000018</v>
      </c>
      <c r="W22" s="202">
        <v>-2223</v>
      </c>
      <c r="X22" s="202">
        <v>-257.02199999999999</v>
      </c>
      <c r="Y22" s="202">
        <v>0</v>
      </c>
      <c r="Z22" s="202">
        <v>0</v>
      </c>
      <c r="AA22" s="202">
        <v>0</v>
      </c>
      <c r="AB22" s="202">
        <v>0</v>
      </c>
      <c r="AC22" s="202">
        <v>0</v>
      </c>
      <c r="AD22" s="202">
        <v>0</v>
      </c>
      <c r="AE22" s="202">
        <v>0</v>
      </c>
      <c r="AF22" s="202"/>
      <c r="AG22" s="202">
        <v>0</v>
      </c>
      <c r="AH22" s="202">
        <v>0</v>
      </c>
    </row>
    <row r="23" spans="1:34" ht="13" customHeight="1">
      <c r="A23" s="198"/>
      <c r="B23" s="274" t="str">
        <f>IF('Summary | Sumário'!D$6=Names!B$3,Names!M20,Names!N20)</f>
        <v>Profit / (loss) before income tax</v>
      </c>
      <c r="C23" s="270">
        <v>683.66099999996368</v>
      </c>
      <c r="D23" s="270">
        <v>-7175.1048200000077</v>
      </c>
      <c r="E23" s="270">
        <v>-231061.27400000021</v>
      </c>
      <c r="F23" s="270">
        <v>-178572.81500000041</v>
      </c>
      <c r="G23" s="270">
        <v>439842</v>
      </c>
      <c r="H23" s="270">
        <v>1205549.5823173386</v>
      </c>
      <c r="I23" s="270">
        <v>1624186.9999999998</v>
      </c>
      <c r="J23" s="214"/>
      <c r="K23" s="270">
        <v>-37560.065000000002</v>
      </c>
      <c r="L23" s="270">
        <v>-117652.24899999995</v>
      </c>
      <c r="M23" s="270">
        <v>34916.880000000005</v>
      </c>
      <c r="N23" s="270">
        <v>-110766.84000000008</v>
      </c>
      <c r="O23" s="270">
        <v>-100093.9850000001</v>
      </c>
      <c r="P23" s="270">
        <v>11871.311000000103</v>
      </c>
      <c r="Q23" s="270">
        <v>-70043.533000000054</v>
      </c>
      <c r="R23" s="270">
        <v>-20306.608000000007</v>
      </c>
      <c r="S23" s="270">
        <v>5897.1240000000689</v>
      </c>
      <c r="T23" s="270">
        <v>80299</v>
      </c>
      <c r="U23" s="270">
        <v>145354</v>
      </c>
      <c r="V23" s="270">
        <v>208291.87599999993</v>
      </c>
      <c r="W23" s="270">
        <v>273732</v>
      </c>
      <c r="X23" s="270">
        <v>297607</v>
      </c>
      <c r="Y23" s="270">
        <v>293952.08107357216</v>
      </c>
      <c r="Z23" s="270">
        <v>340258.50124376646</v>
      </c>
      <c r="AA23" s="270">
        <v>357546.90000000014</v>
      </c>
      <c r="AB23" s="270">
        <v>383528.19999999995</v>
      </c>
      <c r="AC23" s="270">
        <v>417925.4</v>
      </c>
      <c r="AD23" s="270">
        <v>465186.49999999977</v>
      </c>
      <c r="AE23" s="270">
        <v>477118</v>
      </c>
      <c r="AF23" s="214"/>
      <c r="AG23" s="311">
        <f>AE23/AD23-1</f>
        <v>2.564885266446959E-2</v>
      </c>
      <c r="AH23" s="311">
        <f>AE23/AA23-1</f>
        <v>0.33442074312488734</v>
      </c>
    </row>
    <row r="24" spans="1:34" ht="13" customHeight="1">
      <c r="A24" s="198"/>
      <c r="AG24" s="217"/>
      <c r="AH24" s="217"/>
    </row>
    <row r="25" spans="1:34" ht="13" customHeight="1">
      <c r="A25" s="198"/>
      <c r="B25" s="52" t="str">
        <f>IF('Summary | Sumário'!D$6=Names!B$3,Names!M27,Names!N27)</f>
        <v>Income tax</v>
      </c>
      <c r="C25" s="224">
        <v>29686</v>
      </c>
      <c r="D25" s="224">
        <v>37709</v>
      </c>
      <c r="E25" s="224">
        <v>175993</v>
      </c>
      <c r="F25" s="224">
        <v>164494</v>
      </c>
      <c r="G25" s="224">
        <v>-87581</v>
      </c>
      <c r="H25" s="224">
        <v>-232708.78587989899</v>
      </c>
      <c r="I25" s="224">
        <v>-226866</v>
      </c>
      <c r="J25" s="164"/>
      <c r="K25" s="224">
        <v>34867</v>
      </c>
      <c r="L25" s="224">
        <v>87154</v>
      </c>
      <c r="M25" s="224">
        <v>-568.73549999999886</v>
      </c>
      <c r="N25" s="224">
        <v>54540.735499999995</v>
      </c>
      <c r="O25" s="224">
        <v>71272</v>
      </c>
      <c r="P25" s="224">
        <v>3654</v>
      </c>
      <c r="Q25" s="224">
        <v>40448</v>
      </c>
      <c r="R25" s="224">
        <v>49120</v>
      </c>
      <c r="S25" s="224">
        <v>18319</v>
      </c>
      <c r="T25" s="224">
        <v>-16127</v>
      </c>
      <c r="U25" s="224">
        <v>-41194</v>
      </c>
      <c r="V25" s="224">
        <v>-48579</v>
      </c>
      <c r="W25" s="224">
        <v>-78512</v>
      </c>
      <c r="X25" s="224">
        <v>-74943.733999999997</v>
      </c>
      <c r="Y25" s="224">
        <v>-33942</v>
      </c>
      <c r="Z25" s="224">
        <v>-45311.051879898987</v>
      </c>
      <c r="AA25" s="224">
        <v>-50759</v>
      </c>
      <c r="AB25" s="224">
        <v>-51361</v>
      </c>
      <c r="AC25" s="224">
        <v>-61920</v>
      </c>
      <c r="AD25" s="224">
        <v>-62826</v>
      </c>
      <c r="AE25" s="224">
        <v>-59571</v>
      </c>
      <c r="AF25" s="173"/>
      <c r="AG25" s="327">
        <f>AE25/AD25-1</f>
        <v>-5.180976029032569E-2</v>
      </c>
      <c r="AH25" s="327">
        <f>AE25/AA25-1</f>
        <v>0.17360468094328096</v>
      </c>
    </row>
    <row r="26" spans="1:34" ht="13" customHeight="1">
      <c r="A26" s="198"/>
      <c r="B26" s="275" t="str">
        <f>IF('Summary | Sumário'!D$6=Names!B$3,Names!M46,Names!N46)</f>
        <v>Net income from controlling and non-controlling interests</v>
      </c>
      <c r="C26" s="272">
        <f t="shared" ref="C26:AB26" si="0">C23+C25</f>
        <v>30369.660999999964</v>
      </c>
      <c r="D26" s="272">
        <f t="shared" si="0"/>
        <v>30533.895179999992</v>
      </c>
      <c r="E26" s="272">
        <f t="shared" si="0"/>
        <v>-55068.274000000209</v>
      </c>
      <c r="F26" s="272">
        <f t="shared" si="0"/>
        <v>-14078.81500000041</v>
      </c>
      <c r="G26" s="272">
        <f t="shared" si="0"/>
        <v>352261</v>
      </c>
      <c r="H26" s="272">
        <f t="shared" si="0"/>
        <v>972840.79643743951</v>
      </c>
      <c r="I26" s="272">
        <f t="shared" ref="I26" si="1">I23+I25</f>
        <v>1397320.9999999998</v>
      </c>
      <c r="J26" s="214"/>
      <c r="K26" s="272">
        <f t="shared" si="0"/>
        <v>-2693.0650000000023</v>
      </c>
      <c r="L26" s="272">
        <f t="shared" si="0"/>
        <v>-30498.248999999953</v>
      </c>
      <c r="M26" s="272">
        <f t="shared" si="0"/>
        <v>34348.144500000009</v>
      </c>
      <c r="N26" s="272">
        <f t="shared" si="0"/>
        <v>-56226.104500000089</v>
      </c>
      <c r="O26" s="272">
        <f t="shared" si="0"/>
        <v>-28821.985000000102</v>
      </c>
      <c r="P26" s="272">
        <f t="shared" si="0"/>
        <v>15525.311000000103</v>
      </c>
      <c r="Q26" s="272">
        <f t="shared" si="0"/>
        <v>-29595.533000000054</v>
      </c>
      <c r="R26" s="272">
        <f t="shared" si="0"/>
        <v>28813.391999999993</v>
      </c>
      <c r="S26" s="272">
        <f t="shared" si="0"/>
        <v>24216.124000000069</v>
      </c>
      <c r="T26" s="272">
        <f t="shared" si="0"/>
        <v>64172</v>
      </c>
      <c r="U26" s="272">
        <f t="shared" si="0"/>
        <v>104160</v>
      </c>
      <c r="V26" s="272">
        <f t="shared" si="0"/>
        <v>159712.87599999993</v>
      </c>
      <c r="W26" s="272">
        <f t="shared" si="0"/>
        <v>195220</v>
      </c>
      <c r="X26" s="272">
        <f t="shared" si="0"/>
        <v>222663.266</v>
      </c>
      <c r="Y26" s="272">
        <f t="shared" si="0"/>
        <v>260010.08107357216</v>
      </c>
      <c r="Z26" s="272">
        <f t="shared" si="0"/>
        <v>294947.44936386746</v>
      </c>
      <c r="AA26" s="272">
        <f t="shared" si="0"/>
        <v>306787.90000000014</v>
      </c>
      <c r="AB26" s="272">
        <f t="shared" si="0"/>
        <v>332167.19999999995</v>
      </c>
      <c r="AC26" s="272">
        <f>AC23+AC25</f>
        <v>356005.4</v>
      </c>
      <c r="AD26" s="272">
        <f>AD23+AD25</f>
        <v>402360.49999999977</v>
      </c>
      <c r="AE26" s="272">
        <f>AE23+AE25</f>
        <v>417547</v>
      </c>
      <c r="AF26" s="214"/>
      <c r="AG26" s="328">
        <f>AE26/AD26-1</f>
        <v>3.7743516075758432E-2</v>
      </c>
      <c r="AH26" s="328">
        <f>AE26/AA26-1</f>
        <v>0.36102825437378661</v>
      </c>
    </row>
    <row r="27" spans="1:34" ht="13" customHeight="1">
      <c r="A27" s="198"/>
      <c r="B27" s="52"/>
      <c r="C27" s="224"/>
      <c r="D27" s="224"/>
      <c r="E27" s="224"/>
      <c r="F27" s="224"/>
      <c r="G27" s="224"/>
      <c r="H27" s="224"/>
      <c r="I27" s="224"/>
      <c r="J27" s="164"/>
      <c r="K27" s="224"/>
      <c r="L27" s="224"/>
      <c r="M27" s="224"/>
      <c r="N27" s="224"/>
      <c r="O27" s="224"/>
      <c r="P27" s="224"/>
      <c r="Q27" s="224"/>
      <c r="R27" s="224"/>
      <c r="S27" s="224"/>
      <c r="T27" s="224"/>
      <c r="U27" s="224"/>
      <c r="V27" s="224"/>
      <c r="W27" s="224"/>
      <c r="X27" s="224"/>
      <c r="Y27" s="224"/>
      <c r="Z27" s="224"/>
      <c r="AA27" s="224"/>
      <c r="AB27" s="224"/>
      <c r="AC27" s="224"/>
      <c r="AD27" s="224"/>
      <c r="AE27" s="224"/>
      <c r="AF27" s="173"/>
      <c r="AG27" s="327"/>
      <c r="AH27" s="327"/>
    </row>
    <row r="28" spans="1:34" ht="13" customHeight="1">
      <c r="A28" s="198"/>
      <c r="B28" s="50" t="str">
        <f>IF('Summary | Sumário'!D$6=Names!B$3,Names!M45,Names!N45)</f>
        <v>Non-controlling interest</v>
      </c>
      <c r="C28" s="173">
        <v>-2687</v>
      </c>
      <c r="D28" s="173">
        <v>-12775</v>
      </c>
      <c r="E28" s="173">
        <v>-17597</v>
      </c>
      <c r="F28" s="173">
        <v>2989</v>
      </c>
      <c r="G28" s="173">
        <v>-49917</v>
      </c>
      <c r="H28" s="173">
        <v>-65709</v>
      </c>
      <c r="I28" s="173">
        <v>-84930.999999999884</v>
      </c>
      <c r="J28" s="173"/>
      <c r="K28" s="173">
        <v>-5966</v>
      </c>
      <c r="L28" s="173">
        <v>18469</v>
      </c>
      <c r="M28" s="173">
        <v>-31198.785119999917</v>
      </c>
      <c r="N28" s="173">
        <v>1098.7851199999168</v>
      </c>
      <c r="O28" s="173">
        <v>32094</v>
      </c>
      <c r="P28" s="173">
        <v>-32115</v>
      </c>
      <c r="Q28" s="173">
        <v>-413</v>
      </c>
      <c r="R28" s="173">
        <v>3423</v>
      </c>
      <c r="S28" s="173">
        <v>-12810</v>
      </c>
      <c r="T28" s="173">
        <v>-15426</v>
      </c>
      <c r="U28" s="173">
        <v>-12870</v>
      </c>
      <c r="V28" s="173">
        <v>-8811</v>
      </c>
      <c r="W28" s="173">
        <v>-12427</v>
      </c>
      <c r="X28" s="173">
        <v>-16186</v>
      </c>
      <c r="Y28" s="173">
        <v>-17340</v>
      </c>
      <c r="Z28" s="173">
        <v>-19756</v>
      </c>
      <c r="AA28" s="173">
        <v>-20265.90000000014</v>
      </c>
      <c r="AB28" s="173">
        <v>-17036.399999999965</v>
      </c>
      <c r="AC28" s="173">
        <v>-19660.200000000012</v>
      </c>
      <c r="AD28" s="173">
        <v>-27968.499999999767</v>
      </c>
      <c r="AE28" s="173">
        <v>-22759</v>
      </c>
      <c r="AF28" s="173"/>
      <c r="AG28" s="326">
        <f>AE28/AD28-1</f>
        <v>-0.1862631174356798</v>
      </c>
      <c r="AH28" s="326">
        <f>AE28/AA28-1</f>
        <v>0.12301945632810996</v>
      </c>
    </row>
    <row r="29" spans="1:34" ht="13" customHeight="1">
      <c r="A29" s="198"/>
      <c r="B29" s="274" t="str">
        <f>IF('Summary | Sumário'!D$6=Names!B$3,Names!M24,Names!N24)</f>
        <v>Net income</v>
      </c>
      <c r="C29" s="270">
        <v>27683</v>
      </c>
      <c r="D29" s="270">
        <v>17911</v>
      </c>
      <c r="E29" s="270">
        <v>-72664</v>
      </c>
      <c r="F29" s="270">
        <v>-11090</v>
      </c>
      <c r="G29" s="270">
        <v>302343</v>
      </c>
      <c r="H29" s="270">
        <v>907132</v>
      </c>
      <c r="I29" s="270">
        <v>1312390</v>
      </c>
      <c r="J29" s="214"/>
      <c r="K29" s="270">
        <v>-8659</v>
      </c>
      <c r="L29" s="270">
        <v>-12029</v>
      </c>
      <c r="M29" s="270">
        <v>3148.9583099999968</v>
      </c>
      <c r="N29" s="270">
        <v>-55124.958310000002</v>
      </c>
      <c r="O29" s="270">
        <v>3272</v>
      </c>
      <c r="P29" s="270">
        <v>-16590</v>
      </c>
      <c r="Q29" s="270">
        <v>-30008</v>
      </c>
      <c r="R29" s="270">
        <v>32236</v>
      </c>
      <c r="S29" s="270">
        <v>11405</v>
      </c>
      <c r="T29" s="270">
        <v>48746</v>
      </c>
      <c r="U29" s="270">
        <v>91291</v>
      </c>
      <c r="V29" s="270">
        <v>150901</v>
      </c>
      <c r="W29" s="270">
        <v>182793</v>
      </c>
      <c r="X29" s="270">
        <v>206479</v>
      </c>
      <c r="Y29" s="270">
        <v>242671</v>
      </c>
      <c r="Z29" s="270">
        <v>275189</v>
      </c>
      <c r="AA29" s="270">
        <v>286522</v>
      </c>
      <c r="AB29" s="270">
        <v>315130.8</v>
      </c>
      <c r="AC29" s="270">
        <v>336345.2</v>
      </c>
      <c r="AD29" s="270">
        <v>374392</v>
      </c>
      <c r="AE29" s="270">
        <v>394788</v>
      </c>
      <c r="AF29" s="214"/>
      <c r="AG29" s="311">
        <f>AE29/AD29-1</f>
        <v>5.4477659779055054E-2</v>
      </c>
      <c r="AH29" s="311">
        <f>AE29/AA29-1</f>
        <v>0.37786278191552491</v>
      </c>
    </row>
    <row r="30" spans="1:34" ht="13" customHeight="1">
      <c r="A30" s="198"/>
      <c r="B30" s="3"/>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324"/>
      <c r="AH30" s="324"/>
    </row>
    <row r="31" spans="1:34" ht="13" customHeight="1">
      <c r="C31" s="695"/>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695"/>
      <c r="AH31" s="695"/>
    </row>
    <row r="32" spans="1:34" ht="13" customHeight="1">
      <c r="B32" s="25"/>
    </row>
    <row r="33" spans="2:37" ht="13" customHeight="1">
      <c r="C33" s="173"/>
      <c r="D33" s="173"/>
      <c r="E33" s="173"/>
      <c r="F33" s="173"/>
      <c r="G33" s="173"/>
      <c r="H33" s="173"/>
      <c r="I33" s="173"/>
      <c r="J33" s="164"/>
      <c r="K33" s="173"/>
      <c r="L33" s="173"/>
      <c r="M33" s="173"/>
      <c r="N33" s="173"/>
      <c r="O33" s="173"/>
      <c r="P33" s="173"/>
      <c r="Q33" s="173"/>
      <c r="R33" s="173"/>
      <c r="S33" s="173"/>
      <c r="T33" s="173"/>
      <c r="U33" s="173"/>
      <c r="V33" s="173"/>
      <c r="W33" s="173"/>
      <c r="X33" s="173"/>
      <c r="Y33" s="173"/>
      <c r="Z33" s="173"/>
      <c r="AA33" s="173"/>
      <c r="AB33" s="173"/>
      <c r="AC33" s="173"/>
      <c r="AD33" s="173"/>
      <c r="AE33" s="173"/>
      <c r="AG33" s="326"/>
      <c r="AH33" s="326"/>
    </row>
    <row r="34" spans="2:37" ht="13" customHeight="1">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G34" s="314"/>
      <c r="AH34" s="314"/>
    </row>
    <row r="36" spans="2:37" ht="13" customHeight="1">
      <c r="B36" s="772"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36" s="120" t="s">
        <v>1180</v>
      </c>
      <c r="AB36" s="175"/>
      <c r="AC36" s="175"/>
      <c r="AD36" s="175"/>
      <c r="AE36" s="175"/>
    </row>
    <row r="37" spans="2:37" ht="13" customHeight="1">
      <c r="B37" s="772"/>
    </row>
    <row r="38" spans="2:37" ht="13" customHeight="1">
      <c r="B38" s="772"/>
      <c r="AK38" s="175"/>
    </row>
    <row r="39" spans="2:37" ht="13" customHeight="1">
      <c r="B39" s="772"/>
    </row>
    <row r="40" spans="2:37" ht="13" customHeight="1">
      <c r="B40" s="772"/>
    </row>
  </sheetData>
  <sheetProtection algorithmName="SHA-512" hashValue="KvPsZQcbfNLqRXHsBjkDyXzA8pCcYPCZTBiGlPr6je/H7/0rs73aFBuI1QrAVQazTEAibg0ZAY9XoUuvlkQFpA==" saltValue="E34sOgpkVwxfTfb09qlC9w==" spinCount="100000" sheet="1" formatCells="0" formatColumns="0" formatRows="0" insertColumns="0" insertRows="0" insertHyperlinks="0" deleteColumns="0" deleteRows="0" sort="0" autoFilter="0" pivotTables="0"/>
  <mergeCells count="1">
    <mergeCell ref="B36:B40"/>
  </mergeCells>
  <phoneticPr fontId="6" type="noConversion"/>
  <pageMargins left="0.511811024" right="0.511811024" top="0.78740157499999996" bottom="0.78740157499999996" header="0.31496062000000002" footer="0.31496062000000002"/>
  <pageSetup paperSize="9" orientation="portrait" horizontalDpi="0" verticalDpi="0"/>
  <ignoredErrors>
    <ignoredError sqref="B9 B25 J18 AF22:AH22 J22 AF2:AH3 J17 AF17 J21 J24:AC24 J2:AC3 B2:H3 B13:H13 B26:H27 B16:H16 AF8:AH8 AF4 AF5 AF6 AF7 AF13:AH13 AF9 AF10 AF11 AF12 AF16:AH16 AF14 AF15 AF18 AF19 AF20 AF21 AF24:AH24 AF23 AF27:AH27 AF25 AF26 AF29 AF28 B8:H8 B4 J8:AC8 J4 B5 J5 B6 J6 B7 J7 J13:AC13 J9 B10 J10 B11 J11 B12 J12 J16:AC16 J14 B15 J15 B24:H24 B17 B18 B19 J19 B20 J20 B21 B22 B23 J23 J26:AC27 J25 B29 B28 J29 J28"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157B1-884C-F34F-85BA-2CF138B0AC39}">
  <sheetPr codeName="Sheet7">
    <tabColor rgb="FFEC7100"/>
  </sheetPr>
  <dimension ref="A1:AL26"/>
  <sheetViews>
    <sheetView showGridLines="0" zoomScaleNormal="100" zoomScaleSheetLayoutView="5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ustomWidth="1"/>
    <col min="10" max="10" width="2.83203125" style="120" customWidth="1"/>
    <col min="11" max="31" width="10.83203125" style="120" customWidth="1"/>
    <col min="32" max="32" width="5.83203125" style="120" customWidth="1"/>
    <col min="33" max="34" width="10.83203125" style="120" customWidth="1"/>
    <col min="35" max="16384" width="10.83203125" style="120"/>
  </cols>
  <sheetData>
    <row r="1" spans="1:38" ht="13" customHeight="1">
      <c r="C1" s="121"/>
      <c r="D1" s="121"/>
      <c r="E1" s="121"/>
      <c r="F1" s="121"/>
      <c r="G1" s="121"/>
      <c r="H1" s="121"/>
      <c r="I1" s="121"/>
      <c r="K1" s="121"/>
      <c r="L1" s="121"/>
      <c r="M1" s="121"/>
      <c r="N1" s="121"/>
      <c r="O1" s="121"/>
      <c r="P1" s="121"/>
      <c r="Q1" s="121"/>
      <c r="R1" s="121"/>
      <c r="S1" s="121"/>
    </row>
    <row r="2" spans="1:38" s="9" customFormat="1" ht="13" customHeight="1">
      <c r="B2" s="255" t="str">
        <f>IF('Summary | Sumário'!D$6=Names!B$3,Names!AA1,Names!AB1)</f>
        <v>Funding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1:38" ht="13" customHeight="1">
      <c r="B3" s="13"/>
      <c r="C3" s="130"/>
      <c r="D3" s="130"/>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row>
    <row r="4" spans="1:38" s="143" customFormat="1" ht="13" customHeight="1">
      <c r="A4" s="142"/>
      <c r="B4" s="3" t="str">
        <f>IF('Summary | Sumário'!D$6=Names!B$3,Names!AA2,Names!AB2)</f>
        <v>Funding - including other interest bearing liabilities</v>
      </c>
      <c r="C4" s="164"/>
      <c r="AI4" s="204"/>
    </row>
    <row r="5" spans="1:38" ht="13" customHeight="1">
      <c r="A5" s="198"/>
      <c r="B5" s="259" t="str">
        <f>IF('Summary | Sumário'!D$6=Names!B$3,Names!AA3,Names!AB3)</f>
        <v>Deposits from customers</v>
      </c>
      <c r="C5" s="277">
        <v>4714439</v>
      </c>
      <c r="D5" s="277">
        <v>12436632</v>
      </c>
      <c r="E5" s="277">
        <f>N5</f>
        <v>18333543</v>
      </c>
      <c r="F5" s="277">
        <f>R5</f>
        <v>23642804</v>
      </c>
      <c r="G5" s="277">
        <f>V5</f>
        <v>32651620</v>
      </c>
      <c r="H5" s="277">
        <f>Z5</f>
        <v>42803229</v>
      </c>
      <c r="I5" s="277">
        <f t="shared" ref="I5:I15" si="0">AD5</f>
        <v>54883084</v>
      </c>
      <c r="J5" s="164"/>
      <c r="K5" s="277">
        <v>13392679</v>
      </c>
      <c r="L5" s="277">
        <v>15629130.619999999</v>
      </c>
      <c r="M5" s="277">
        <v>17093473.298</v>
      </c>
      <c r="N5" s="277">
        <v>18333543</v>
      </c>
      <c r="O5" s="277">
        <v>18958118</v>
      </c>
      <c r="P5" s="277">
        <v>19746409</v>
      </c>
      <c r="Q5" s="277">
        <v>21452026</v>
      </c>
      <c r="R5" s="277">
        <v>23642804</v>
      </c>
      <c r="S5" s="277">
        <v>24182006</v>
      </c>
      <c r="T5" s="277">
        <v>26299326</v>
      </c>
      <c r="U5" s="277">
        <v>29063988</v>
      </c>
      <c r="V5" s="277">
        <v>32651620</v>
      </c>
      <c r="W5" s="277">
        <v>32643444.086135942</v>
      </c>
      <c r="X5" s="277">
        <v>35978318.071000002</v>
      </c>
      <c r="Y5" s="277">
        <v>39129759</v>
      </c>
      <c r="Z5" s="277">
        <v>42803229</v>
      </c>
      <c r="AA5" s="277">
        <v>43647768</v>
      </c>
      <c r="AB5" s="277">
        <v>46667343</v>
      </c>
      <c r="AC5" s="277">
        <v>51496386</v>
      </c>
      <c r="AD5" s="277">
        <v>54883084</v>
      </c>
      <c r="AE5" s="277">
        <v>54150905</v>
      </c>
      <c r="AF5" s="164"/>
      <c r="AG5" s="344">
        <f t="shared" ref="AG5:AG15" si="1">AE5/AD5-1</f>
        <v>-1.3340704396276326E-2</v>
      </c>
      <c r="AH5" s="344">
        <f t="shared" ref="AH5:AH15" si="2">AE5/AA5-1</f>
        <v>0.2406339998874627</v>
      </c>
    </row>
    <row r="6" spans="1:38" ht="13" customHeight="1">
      <c r="A6" s="198"/>
      <c r="B6" s="16" t="str">
        <f>IF('Summary | Sumário'!D$6=Names!B$3,Names!AA4,Names!AB4)</f>
        <v>Demand deposits</v>
      </c>
      <c r="C6" s="164">
        <v>2094127</v>
      </c>
      <c r="D6" s="164">
        <v>6713351</v>
      </c>
      <c r="E6" s="164">
        <f t="shared" ref="E6:E15" si="3">N6</f>
        <v>9932809</v>
      </c>
      <c r="F6" s="164">
        <f t="shared" ref="F6:F15" si="4">R6</f>
        <v>11566826</v>
      </c>
      <c r="G6" s="164">
        <f t="shared" ref="G6:G15" si="5">V6</f>
        <v>2572536</v>
      </c>
      <c r="H6" s="164">
        <f t="shared" ref="H6:H15" si="6">Z6</f>
        <v>1415426.8934948002</v>
      </c>
      <c r="I6" s="164">
        <f t="shared" si="0"/>
        <v>1376606</v>
      </c>
      <c r="J6" s="164"/>
      <c r="K6" s="164">
        <v>6984899</v>
      </c>
      <c r="L6" s="164">
        <v>8299742</v>
      </c>
      <c r="M6" s="164">
        <v>9163029</v>
      </c>
      <c r="N6" s="164">
        <v>9932809</v>
      </c>
      <c r="O6" s="164">
        <v>9620809</v>
      </c>
      <c r="P6" s="164">
        <v>9784611</v>
      </c>
      <c r="Q6" s="164">
        <v>10418989</v>
      </c>
      <c r="R6" s="164">
        <v>11566826</v>
      </c>
      <c r="S6" s="164">
        <v>11005662</v>
      </c>
      <c r="T6" s="164">
        <v>3109793</v>
      </c>
      <c r="U6" s="164">
        <v>1813779</v>
      </c>
      <c r="V6" s="164">
        <v>2572536</v>
      </c>
      <c r="W6" s="164">
        <v>1593427.4698459422</v>
      </c>
      <c r="X6" s="164">
        <v>1431720.5060000001</v>
      </c>
      <c r="Y6" s="164">
        <v>1457541.7699500001</v>
      </c>
      <c r="Z6" s="164">
        <v>1415426.8934948002</v>
      </c>
      <c r="AA6" s="164">
        <v>1411097</v>
      </c>
      <c r="AB6" s="164">
        <v>1037178</v>
      </c>
      <c r="AC6" s="164">
        <v>1530135</v>
      </c>
      <c r="AD6" s="164">
        <v>1376606</v>
      </c>
      <c r="AE6" s="164">
        <v>1409744</v>
      </c>
      <c r="AF6" s="164"/>
      <c r="AG6" s="345">
        <f t="shared" si="1"/>
        <v>2.4072247251573753E-2</v>
      </c>
      <c r="AH6" s="345">
        <f t="shared" si="2"/>
        <v>-9.5882848592265812E-4</v>
      </c>
      <c r="AI6" s="205"/>
    </row>
    <row r="7" spans="1:38" ht="13" customHeight="1">
      <c r="A7" s="198"/>
      <c r="B7" s="22" t="str">
        <f>IF('Summary | Sumário'!D$6=Names!B$3,Names!AA5,Names!AB5)</f>
        <v>Time deposits</v>
      </c>
      <c r="C7" s="159">
        <v>2259047</v>
      </c>
      <c r="D7" s="159">
        <v>4771204</v>
      </c>
      <c r="E7" s="159">
        <f t="shared" si="3"/>
        <v>6922061</v>
      </c>
      <c r="F7" s="159">
        <f t="shared" si="4"/>
        <v>10517060</v>
      </c>
      <c r="G7" s="159">
        <f t="shared" si="5"/>
        <v>28158459</v>
      </c>
      <c r="H7" s="159">
        <f t="shared" si="6"/>
        <v>39228574.976070002</v>
      </c>
      <c r="I7" s="159">
        <f t="shared" si="0"/>
        <v>51292542</v>
      </c>
      <c r="J7" s="164"/>
      <c r="K7" s="159">
        <v>5394450</v>
      </c>
      <c r="L7" s="159">
        <v>6119961</v>
      </c>
      <c r="M7" s="159">
        <v>6580559</v>
      </c>
      <c r="N7" s="159">
        <v>6922061</v>
      </c>
      <c r="O7" s="159">
        <v>7894003</v>
      </c>
      <c r="P7" s="159">
        <v>8579727</v>
      </c>
      <c r="Q7" s="159">
        <v>9558462</v>
      </c>
      <c r="R7" s="159">
        <v>10517060</v>
      </c>
      <c r="S7" s="159">
        <v>11687031</v>
      </c>
      <c r="T7" s="159">
        <v>21616586</v>
      </c>
      <c r="U7" s="159">
        <v>25572336</v>
      </c>
      <c r="V7" s="159">
        <v>28158459</v>
      </c>
      <c r="W7" s="159">
        <v>29169018.986099999</v>
      </c>
      <c r="X7" s="159">
        <v>32531468.234000001</v>
      </c>
      <c r="Y7" s="159">
        <v>35665570.401489995</v>
      </c>
      <c r="Z7" s="159">
        <v>39228574.976070002</v>
      </c>
      <c r="AA7" s="159">
        <v>40140843</v>
      </c>
      <c r="AB7" s="159">
        <v>43392647</v>
      </c>
      <c r="AC7" s="159">
        <v>47753948</v>
      </c>
      <c r="AD7" s="159">
        <v>51292542</v>
      </c>
      <c r="AE7" s="159">
        <v>50791001</v>
      </c>
      <c r="AF7" s="164"/>
      <c r="AG7" s="346">
        <f t="shared" si="1"/>
        <v>-9.7780492142502951E-3</v>
      </c>
      <c r="AH7" s="346">
        <f t="shared" si="2"/>
        <v>0.26531973929894792</v>
      </c>
      <c r="AI7" s="206"/>
    </row>
    <row r="8" spans="1:38" ht="13" customHeight="1">
      <c r="A8" s="198"/>
      <c r="B8" s="16" t="str">
        <f>IF('Summary | Sumário'!D$6=Names!B$3,Names!AA6,Names!AB6)</f>
        <v>Savings deposits</v>
      </c>
      <c r="C8" s="164">
        <v>307098</v>
      </c>
      <c r="D8" s="164">
        <v>887666</v>
      </c>
      <c r="E8" s="164">
        <f t="shared" si="3"/>
        <v>1230039</v>
      </c>
      <c r="F8" s="164">
        <f t="shared" si="4"/>
        <v>1307055</v>
      </c>
      <c r="G8" s="164">
        <f t="shared" si="5"/>
        <v>1540604</v>
      </c>
      <c r="H8" s="164">
        <f t="shared" si="6"/>
        <v>1883431.889</v>
      </c>
      <c r="I8" s="164">
        <f t="shared" si="0"/>
        <v>1599609</v>
      </c>
      <c r="J8" s="164"/>
      <c r="K8" s="164">
        <v>935359</v>
      </c>
      <c r="L8" s="164">
        <v>1049178</v>
      </c>
      <c r="M8" s="164">
        <v>1138085</v>
      </c>
      <c r="N8" s="164">
        <v>1230039</v>
      </c>
      <c r="O8" s="164">
        <v>1215061</v>
      </c>
      <c r="P8" s="164">
        <v>1182012</v>
      </c>
      <c r="Q8" s="164">
        <v>1216043</v>
      </c>
      <c r="R8" s="164">
        <v>1307055</v>
      </c>
      <c r="S8" s="164">
        <v>1274938</v>
      </c>
      <c r="T8" s="164">
        <v>1305803</v>
      </c>
      <c r="U8" s="164">
        <v>1350713</v>
      </c>
      <c r="V8" s="164">
        <v>1540604</v>
      </c>
      <c r="W8" s="164">
        <v>1549652.25122</v>
      </c>
      <c r="X8" s="164">
        <v>1715785.118</v>
      </c>
      <c r="Y8" s="164">
        <v>1777366.3865499999</v>
      </c>
      <c r="Z8" s="164">
        <v>1883431.889</v>
      </c>
      <c r="AA8" s="164">
        <v>1727777</v>
      </c>
      <c r="AB8" s="164">
        <v>1705232</v>
      </c>
      <c r="AC8" s="164">
        <v>1618140</v>
      </c>
      <c r="AD8" s="164">
        <v>1599609</v>
      </c>
      <c r="AE8" s="164">
        <v>1423499</v>
      </c>
      <c r="AF8" s="164"/>
      <c r="AG8" s="345">
        <f t="shared" si="1"/>
        <v>-0.11009565462559912</v>
      </c>
      <c r="AH8" s="345">
        <f t="shared" si="2"/>
        <v>-0.17610953265380891</v>
      </c>
      <c r="AI8" s="206"/>
    </row>
    <row r="9" spans="1:38" ht="13" customHeight="1">
      <c r="A9" s="198"/>
      <c r="B9" s="22" t="str">
        <f>IF('Summary | Sumário'!D$6=Names!B$3,Names!AA7,Names!AB7)</f>
        <v>Creditors by resources to release</v>
      </c>
      <c r="C9" s="159">
        <v>54167</v>
      </c>
      <c r="D9" s="159">
        <v>64410</v>
      </c>
      <c r="E9" s="159">
        <f t="shared" si="3"/>
        <v>248633</v>
      </c>
      <c r="F9" s="159">
        <f t="shared" si="4"/>
        <v>251863</v>
      </c>
      <c r="G9" s="159">
        <f t="shared" si="5"/>
        <v>380021</v>
      </c>
      <c r="H9" s="159">
        <f t="shared" si="6"/>
        <v>275795.36</v>
      </c>
      <c r="I9" s="159">
        <f t="shared" si="0"/>
        <v>614327</v>
      </c>
      <c r="J9" s="164"/>
      <c r="K9" s="159">
        <v>77971</v>
      </c>
      <c r="L9" s="159">
        <v>160250</v>
      </c>
      <c r="M9" s="159">
        <v>211800</v>
      </c>
      <c r="N9" s="159">
        <v>248633</v>
      </c>
      <c r="O9" s="159">
        <v>228245</v>
      </c>
      <c r="P9" s="159">
        <v>200059</v>
      </c>
      <c r="Q9" s="159">
        <v>258532</v>
      </c>
      <c r="R9" s="159">
        <v>251863</v>
      </c>
      <c r="S9" s="159">
        <v>214375</v>
      </c>
      <c r="T9" s="159">
        <v>267144</v>
      </c>
      <c r="U9" s="159">
        <v>327160</v>
      </c>
      <c r="V9" s="159">
        <v>380021</v>
      </c>
      <c r="W9" s="159">
        <v>331346</v>
      </c>
      <c r="X9" s="159">
        <v>299344.21299999999</v>
      </c>
      <c r="Y9" s="159">
        <v>229281.05566999997</v>
      </c>
      <c r="Z9" s="159">
        <v>275795.36</v>
      </c>
      <c r="AA9" s="159">
        <v>368051</v>
      </c>
      <c r="AB9" s="159">
        <v>532286</v>
      </c>
      <c r="AC9" s="159">
        <v>594163</v>
      </c>
      <c r="AD9" s="159">
        <v>614327</v>
      </c>
      <c r="AE9" s="159">
        <v>526661</v>
      </c>
      <c r="AF9" s="164"/>
      <c r="AG9" s="346">
        <f t="shared" si="1"/>
        <v>-0.14270250208765034</v>
      </c>
      <c r="AH9" s="346">
        <f t="shared" si="2"/>
        <v>0.43094571132804971</v>
      </c>
      <c r="AI9" s="206"/>
    </row>
    <row r="10" spans="1:38" ht="13" customHeight="1">
      <c r="A10" s="198"/>
      <c r="B10" s="15" t="str">
        <f>IF('Summary | Sumário'!D$6=Names!B$3,Names!AA8,Names!AB8)</f>
        <v>Securities issued</v>
      </c>
      <c r="C10" s="164">
        <v>1719580</v>
      </c>
      <c r="D10" s="164">
        <v>1729436</v>
      </c>
      <c r="E10" s="164">
        <f t="shared" si="3"/>
        <v>3572093</v>
      </c>
      <c r="F10" s="164">
        <f t="shared" si="4"/>
        <v>6202165</v>
      </c>
      <c r="G10" s="164">
        <f t="shared" si="5"/>
        <v>8095042</v>
      </c>
      <c r="H10" s="164">
        <f t="shared" si="6"/>
        <v>9890219</v>
      </c>
      <c r="I10" s="164">
        <f t="shared" si="0"/>
        <v>14127144</v>
      </c>
      <c r="J10" s="164"/>
      <c r="K10" s="164">
        <v>1704892</v>
      </c>
      <c r="L10" s="164">
        <v>2081723</v>
      </c>
      <c r="M10" s="164">
        <v>3093320</v>
      </c>
      <c r="N10" s="164">
        <v>3572093</v>
      </c>
      <c r="O10" s="164">
        <v>4280956</v>
      </c>
      <c r="P10" s="164">
        <v>6104223</v>
      </c>
      <c r="Q10" s="164">
        <v>6916919</v>
      </c>
      <c r="R10" s="164">
        <v>6202165</v>
      </c>
      <c r="S10" s="164">
        <v>6640557</v>
      </c>
      <c r="T10" s="164">
        <v>7006191.0407400001</v>
      </c>
      <c r="U10" s="164">
        <v>7462564.5372699993</v>
      </c>
      <c r="V10" s="164">
        <v>8095042</v>
      </c>
      <c r="W10" s="164">
        <v>8249142.2142699994</v>
      </c>
      <c r="X10" s="164">
        <v>8543248.1730000004</v>
      </c>
      <c r="Y10" s="164">
        <v>9047656</v>
      </c>
      <c r="Z10" s="164">
        <v>9890219</v>
      </c>
      <c r="AA10" s="164">
        <v>10697969</v>
      </c>
      <c r="AB10" s="164">
        <v>11378259</v>
      </c>
      <c r="AC10" s="164">
        <v>12242366</v>
      </c>
      <c r="AD10" s="164">
        <v>14127144</v>
      </c>
      <c r="AE10" s="164">
        <v>14998709</v>
      </c>
      <c r="AF10" s="164"/>
      <c r="AG10" s="345">
        <f t="shared" si="1"/>
        <v>6.1694352375823547E-2</v>
      </c>
      <c r="AH10" s="345">
        <f t="shared" si="2"/>
        <v>0.40201462539291333</v>
      </c>
      <c r="AI10" s="206"/>
    </row>
    <row r="11" spans="1:38" ht="13" customHeight="1">
      <c r="A11" s="198"/>
      <c r="B11" s="21" t="str">
        <f>IF('Summary | Sumário'!D$6=Names!B$3,Names!AA24,Names!AB24)</f>
        <v>Interest bearing deposits from banks</v>
      </c>
      <c r="C11" s="159">
        <f>SUM(C12:C13)</f>
        <v>510733</v>
      </c>
      <c r="D11" s="159">
        <f t="shared" ref="D11:AA11" si="7">SUM(D12:D13)</f>
        <v>102874</v>
      </c>
      <c r="E11" s="159">
        <f t="shared" si="3"/>
        <v>1113010</v>
      </c>
      <c r="F11" s="159">
        <f t="shared" si="4"/>
        <v>2635401</v>
      </c>
      <c r="G11" s="159">
        <f t="shared" si="5"/>
        <v>2658958</v>
      </c>
      <c r="H11" s="159">
        <f t="shared" si="6"/>
        <v>2242924.3964400003</v>
      </c>
      <c r="I11" s="159">
        <f t="shared" si="0"/>
        <v>3091883</v>
      </c>
      <c r="J11" s="164"/>
      <c r="K11" s="159">
        <f t="shared" si="7"/>
        <v>215077.01337999999</v>
      </c>
      <c r="L11" s="159">
        <f t="shared" si="7"/>
        <v>385394.85464999999</v>
      </c>
      <c r="M11" s="159">
        <f t="shared" si="7"/>
        <v>947510.22100000002</v>
      </c>
      <c r="N11" s="159">
        <f t="shared" si="7"/>
        <v>1113010</v>
      </c>
      <c r="O11" s="159">
        <f t="shared" si="7"/>
        <v>1473583</v>
      </c>
      <c r="P11" s="159">
        <f t="shared" si="7"/>
        <v>1795650</v>
      </c>
      <c r="Q11" s="159">
        <f t="shared" si="7"/>
        <v>2286525</v>
      </c>
      <c r="R11" s="159">
        <f t="shared" si="7"/>
        <v>2635401</v>
      </c>
      <c r="S11" s="159">
        <f t="shared" si="7"/>
        <v>2673490</v>
      </c>
      <c r="T11" s="159">
        <f t="shared" si="7"/>
        <v>2320817</v>
      </c>
      <c r="U11" s="159">
        <f t="shared" si="7"/>
        <v>2957425.0232100002</v>
      </c>
      <c r="V11" s="159">
        <f t="shared" si="7"/>
        <v>2658958</v>
      </c>
      <c r="W11" s="159">
        <f t="shared" si="7"/>
        <v>2788975.0564099997</v>
      </c>
      <c r="X11" s="159">
        <f t="shared" si="7"/>
        <v>3136404.7650000001</v>
      </c>
      <c r="Y11" s="159">
        <f t="shared" si="7"/>
        <v>1975608.0917399998</v>
      </c>
      <c r="Z11" s="159">
        <f t="shared" si="7"/>
        <v>2242924.3964400003</v>
      </c>
      <c r="AA11" s="159">
        <f t="shared" si="7"/>
        <v>4330418</v>
      </c>
      <c r="AB11" s="159">
        <f t="shared" ref="AB11:AC11" si="8">SUM(AB12:AB13)</f>
        <v>3623551</v>
      </c>
      <c r="AC11" s="159">
        <f t="shared" si="8"/>
        <v>3533488</v>
      </c>
      <c r="AD11" s="159">
        <f t="shared" ref="AD11:AE11" si="9">SUM(AD12:AD13)</f>
        <v>3091883</v>
      </c>
      <c r="AE11" s="159">
        <f t="shared" si="9"/>
        <v>4180136</v>
      </c>
      <c r="AF11" s="164"/>
      <c r="AG11" s="346">
        <f t="shared" si="1"/>
        <v>0.35197095103533993</v>
      </c>
      <c r="AH11" s="346">
        <f t="shared" si="2"/>
        <v>-3.4703809193477375E-2</v>
      </c>
      <c r="AI11" s="206"/>
    </row>
    <row r="12" spans="1:38" ht="13" customHeight="1">
      <c r="A12" s="198"/>
      <c r="B12" s="16" t="str">
        <f>IF('Summary | Sumário'!D$6=Names!B$3,Names!AA20,Names!AB20)</f>
        <v>Securities sold under agreements to repurchase</v>
      </c>
      <c r="C12" s="164">
        <v>178491</v>
      </c>
      <c r="D12" s="164">
        <v>102874</v>
      </c>
      <c r="E12" s="164">
        <f t="shared" si="3"/>
        <v>973533</v>
      </c>
      <c r="F12" s="164">
        <f t="shared" si="4"/>
        <v>1902873</v>
      </c>
      <c r="G12" s="164">
        <f t="shared" si="5"/>
        <v>1011092</v>
      </c>
      <c r="H12" s="164">
        <f t="shared" si="6"/>
        <v>1725851.9284400002</v>
      </c>
      <c r="I12" s="164">
        <f t="shared" si="0"/>
        <v>3023399</v>
      </c>
      <c r="J12" s="164"/>
      <c r="K12" s="164">
        <v>164878.20288</v>
      </c>
      <c r="L12" s="164">
        <v>209582.78599999999</v>
      </c>
      <c r="M12" s="164">
        <v>656030.402</v>
      </c>
      <c r="N12" s="164">
        <v>973533</v>
      </c>
      <c r="O12" s="164">
        <v>976192</v>
      </c>
      <c r="P12" s="164">
        <v>1480935</v>
      </c>
      <c r="Q12" s="164">
        <v>1354877</v>
      </c>
      <c r="R12" s="164">
        <v>1902873</v>
      </c>
      <c r="S12" s="164">
        <v>1882289</v>
      </c>
      <c r="T12" s="164">
        <v>1727567</v>
      </c>
      <c r="U12" s="164">
        <v>1600987.9855800001</v>
      </c>
      <c r="V12" s="164">
        <v>1011092</v>
      </c>
      <c r="W12" s="164">
        <v>1107832.7549099999</v>
      </c>
      <c r="X12" s="164">
        <v>1372709.743</v>
      </c>
      <c r="Y12" s="164">
        <v>1776578.1025399999</v>
      </c>
      <c r="Z12" s="164">
        <v>1725851.9284400002</v>
      </c>
      <c r="AA12" s="164">
        <v>3798106</v>
      </c>
      <c r="AB12" s="164">
        <v>3088200</v>
      </c>
      <c r="AC12" s="164">
        <v>3479847</v>
      </c>
      <c r="AD12" s="164">
        <v>3023399</v>
      </c>
      <c r="AE12" s="164">
        <v>3909496</v>
      </c>
      <c r="AF12" s="164"/>
      <c r="AG12" s="345">
        <f t="shared" si="1"/>
        <v>0.29307974236943246</v>
      </c>
      <c r="AH12" s="345">
        <f t="shared" si="2"/>
        <v>2.9327775475460616E-2</v>
      </c>
      <c r="AI12" s="206"/>
    </row>
    <row r="13" spans="1:38" ht="13" customHeight="1">
      <c r="A13" s="198"/>
      <c r="B13" s="22" t="str">
        <f>IF('Summary | Sumário'!D$6=Names!B$3,Names!AA21,Names!AB21)</f>
        <v>Interbank deposits</v>
      </c>
      <c r="C13" s="159">
        <v>332242</v>
      </c>
      <c r="D13" s="159">
        <v>0</v>
      </c>
      <c r="E13" s="159">
        <f t="shared" si="3"/>
        <v>139477</v>
      </c>
      <c r="F13" s="159">
        <f t="shared" si="4"/>
        <v>732528</v>
      </c>
      <c r="G13" s="159">
        <f t="shared" si="5"/>
        <v>1647866</v>
      </c>
      <c r="H13" s="159">
        <f t="shared" si="6"/>
        <v>517072.46799999999</v>
      </c>
      <c r="I13" s="159">
        <f t="shared" si="0"/>
        <v>68484</v>
      </c>
      <c r="J13" s="164"/>
      <c r="K13" s="159">
        <v>50198.8105</v>
      </c>
      <c r="L13" s="159">
        <v>175812.06864999997</v>
      </c>
      <c r="M13" s="159">
        <v>291479.81900000002</v>
      </c>
      <c r="N13" s="159">
        <v>139477</v>
      </c>
      <c r="O13" s="159">
        <v>497391</v>
      </c>
      <c r="P13" s="159">
        <v>314715</v>
      </c>
      <c r="Q13" s="159">
        <v>931648</v>
      </c>
      <c r="R13" s="159">
        <v>732528</v>
      </c>
      <c r="S13" s="159">
        <v>791201</v>
      </c>
      <c r="T13" s="159">
        <v>593250</v>
      </c>
      <c r="U13" s="159">
        <v>1356437.0376300002</v>
      </c>
      <c r="V13" s="159">
        <v>1647866</v>
      </c>
      <c r="W13" s="159">
        <v>1681142.3015000001</v>
      </c>
      <c r="X13" s="159">
        <v>1763695.0220000001</v>
      </c>
      <c r="Y13" s="159">
        <v>199029.98919999998</v>
      </c>
      <c r="Z13" s="159">
        <v>517072.46799999999</v>
      </c>
      <c r="AA13" s="159">
        <v>532312</v>
      </c>
      <c r="AB13" s="159">
        <v>535351</v>
      </c>
      <c r="AC13" s="159">
        <v>53641</v>
      </c>
      <c r="AD13" s="159">
        <v>68484</v>
      </c>
      <c r="AE13" s="159">
        <v>270640</v>
      </c>
      <c r="AF13" s="164"/>
      <c r="AG13" s="346">
        <f t="shared" si="1"/>
        <v>2.9518719700952047</v>
      </c>
      <c r="AH13" s="346">
        <f t="shared" si="2"/>
        <v>-0.49157636874614885</v>
      </c>
      <c r="AI13" s="206"/>
    </row>
    <row r="14" spans="1:38" ht="13" customHeight="1">
      <c r="A14" s="198"/>
      <c r="B14" s="15" t="str">
        <f>IF('Summary | Sumário'!D$6=Names!B$3,Names!AA22,Names!AB22)</f>
        <v>Borrowings and on-lending</v>
      </c>
      <c r="C14" s="164">
        <v>29800</v>
      </c>
      <c r="D14" s="164">
        <v>27405</v>
      </c>
      <c r="E14" s="164">
        <f t="shared" si="3"/>
        <v>25071</v>
      </c>
      <c r="F14" s="164">
        <f t="shared" si="4"/>
        <v>36448</v>
      </c>
      <c r="G14" s="164">
        <f t="shared" si="5"/>
        <v>107412</v>
      </c>
      <c r="H14" s="164">
        <f t="shared" si="6"/>
        <v>128924</v>
      </c>
      <c r="I14" s="164">
        <f t="shared" si="0"/>
        <v>817495</v>
      </c>
      <c r="J14" s="164"/>
      <c r="K14" s="164">
        <v>27179</v>
      </c>
      <c r="L14" s="164">
        <v>26325</v>
      </c>
      <c r="M14" s="164">
        <v>25580</v>
      </c>
      <c r="N14" s="164">
        <v>25071</v>
      </c>
      <c r="O14" s="164">
        <v>33002</v>
      </c>
      <c r="P14" s="164">
        <v>31855</v>
      </c>
      <c r="Q14" s="164">
        <v>33119</v>
      </c>
      <c r="R14" s="164">
        <v>36448</v>
      </c>
      <c r="S14" s="164">
        <v>36632</v>
      </c>
      <c r="T14" s="164">
        <v>38753</v>
      </c>
      <c r="U14" s="164">
        <v>87649</v>
      </c>
      <c r="V14" s="164">
        <v>107412</v>
      </c>
      <c r="W14" s="164">
        <v>102019.6489</v>
      </c>
      <c r="X14" s="164">
        <v>101630.08100000001</v>
      </c>
      <c r="Y14" s="164">
        <v>114824</v>
      </c>
      <c r="Z14" s="164">
        <v>128924</v>
      </c>
      <c r="AA14" s="164">
        <v>397953</v>
      </c>
      <c r="AB14" s="164">
        <v>572557</v>
      </c>
      <c r="AC14" s="164">
        <v>676424</v>
      </c>
      <c r="AD14" s="164">
        <v>817495</v>
      </c>
      <c r="AE14" s="164">
        <v>736183</v>
      </c>
      <c r="AF14" s="164"/>
      <c r="AG14" s="345">
        <f t="shared" si="1"/>
        <v>-9.9464828531061311E-2</v>
      </c>
      <c r="AH14" s="345">
        <f t="shared" si="2"/>
        <v>0.84992448857025837</v>
      </c>
      <c r="AI14" s="206"/>
    </row>
    <row r="15" spans="1:38" ht="13" customHeight="1">
      <c r="A15" s="198"/>
      <c r="B15" s="282" t="str">
        <f>IF('Summary | Sumário'!D$6=Names!B$3,Names!AA9,Names!AB9)</f>
        <v>Total funding</v>
      </c>
      <c r="C15" s="283">
        <f>C5+C10+C11+C14</f>
        <v>6974552</v>
      </c>
      <c r="D15" s="283">
        <f t="shared" ref="D15:AA15" si="10">D5+D10+D11+D14</f>
        <v>14296347</v>
      </c>
      <c r="E15" s="283">
        <f t="shared" si="3"/>
        <v>23043717</v>
      </c>
      <c r="F15" s="283">
        <f t="shared" si="4"/>
        <v>32516818</v>
      </c>
      <c r="G15" s="283">
        <f t="shared" si="5"/>
        <v>43513032</v>
      </c>
      <c r="H15" s="283">
        <f t="shared" si="6"/>
        <v>55065296.396439999</v>
      </c>
      <c r="I15" s="283">
        <f t="shared" si="0"/>
        <v>72919606</v>
      </c>
      <c r="J15" s="330"/>
      <c r="K15" s="283">
        <f t="shared" si="10"/>
        <v>15339827.01338</v>
      </c>
      <c r="L15" s="283">
        <f t="shared" si="10"/>
        <v>18122573.474649996</v>
      </c>
      <c r="M15" s="283">
        <f t="shared" si="10"/>
        <v>21159883.519000001</v>
      </c>
      <c r="N15" s="283">
        <f t="shared" si="10"/>
        <v>23043717</v>
      </c>
      <c r="O15" s="283">
        <f t="shared" si="10"/>
        <v>24745659</v>
      </c>
      <c r="P15" s="283">
        <f t="shared" si="10"/>
        <v>27678137</v>
      </c>
      <c r="Q15" s="283">
        <f t="shared" si="10"/>
        <v>30688589</v>
      </c>
      <c r="R15" s="283">
        <f t="shared" si="10"/>
        <v>32516818</v>
      </c>
      <c r="S15" s="283">
        <f t="shared" si="10"/>
        <v>33532685</v>
      </c>
      <c r="T15" s="283">
        <f t="shared" si="10"/>
        <v>35665087.040739998</v>
      </c>
      <c r="U15" s="283">
        <f t="shared" si="10"/>
        <v>39571626.560479999</v>
      </c>
      <c r="V15" s="283">
        <f t="shared" si="10"/>
        <v>43513032</v>
      </c>
      <c r="W15" s="283">
        <f t="shared" si="10"/>
        <v>43783581.005715944</v>
      </c>
      <c r="X15" s="283">
        <f t="shared" si="10"/>
        <v>47759601.090000004</v>
      </c>
      <c r="Y15" s="283">
        <f t="shared" si="10"/>
        <v>50267847.091739997</v>
      </c>
      <c r="Z15" s="283">
        <f t="shared" si="10"/>
        <v>55065296.396439999</v>
      </c>
      <c r="AA15" s="283">
        <f t="shared" si="10"/>
        <v>59074108</v>
      </c>
      <c r="AB15" s="283">
        <f t="shared" ref="AB15" si="11">AB5+AB10+AB11+AB14</f>
        <v>62241710</v>
      </c>
      <c r="AC15" s="283">
        <f>AC5+AC10+AC11+AC14</f>
        <v>67948664</v>
      </c>
      <c r="AD15" s="283">
        <f>AD5+AD10+AD11+AD14</f>
        <v>72919606</v>
      </c>
      <c r="AE15" s="283">
        <f>AE5+AE10+AE11+AE14</f>
        <v>74065933</v>
      </c>
      <c r="AF15" s="330"/>
      <c r="AG15" s="347">
        <f t="shared" si="1"/>
        <v>1.572042229630255E-2</v>
      </c>
      <c r="AH15" s="347">
        <f t="shared" si="2"/>
        <v>0.25377996397338753</v>
      </c>
      <c r="AI15" s="206"/>
    </row>
    <row r="16" spans="1:38" ht="13" customHeight="1">
      <c r="B16" s="56"/>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J16" s="147"/>
    </row>
    <row r="17" spans="1:37" ht="13" customHeight="1">
      <c r="A17" s="198"/>
      <c r="B17" s="56"/>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718"/>
      <c r="AE17" s="718"/>
      <c r="AF17" s="213"/>
      <c r="AG17" s="213"/>
      <c r="AH17" s="213"/>
      <c r="AI17" s="147"/>
      <c r="AJ17" s="147"/>
      <c r="AK17" s="195"/>
    </row>
    <row r="18" spans="1:37" ht="13" customHeight="1">
      <c r="A18" s="198"/>
      <c r="B18" s="48"/>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47"/>
      <c r="AJ18" s="147"/>
      <c r="AK18" s="195"/>
    </row>
    <row r="19" spans="1:37" ht="13" customHeight="1">
      <c r="A19" s="198"/>
      <c r="B19" s="48"/>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147"/>
      <c r="AJ19" s="147"/>
    </row>
    <row r="20" spans="1:37" ht="13" customHeight="1">
      <c r="A20" s="198"/>
      <c r="B20" s="49"/>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147"/>
      <c r="AJ20" s="147"/>
    </row>
    <row r="21" spans="1:37" ht="13" customHeight="1">
      <c r="A21" s="198"/>
      <c r="AI21" s="147"/>
      <c r="AJ21" s="147"/>
    </row>
    <row r="22" spans="1:37" ht="13" customHeight="1">
      <c r="A22" s="198"/>
      <c r="B22" s="50"/>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row>
    <row r="23" spans="1:37" ht="13" customHeight="1">
      <c r="A23" s="198"/>
      <c r="B23" s="50"/>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c r="AD23" s="209"/>
      <c r="AE23" s="209"/>
      <c r="AF23" s="209"/>
      <c r="AG23" s="209"/>
      <c r="AH23" s="209"/>
    </row>
    <row r="24" spans="1:37" ht="13" customHeight="1">
      <c r="A24" s="198"/>
      <c r="B24" s="50"/>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row>
    <row r="25" spans="1:37" ht="13" customHeight="1">
      <c r="A25" s="198"/>
      <c r="AI25" s="170"/>
    </row>
    <row r="26" spans="1:37" ht="13" customHeight="1">
      <c r="AI26" s="170"/>
    </row>
  </sheetData>
  <sheetProtection algorithmName="SHA-512" hashValue="qCtISGZ822+l29WXj1nwdHEo/K/UYe6uAbq03qMkkNE8kEQK3x3xy4rnMVKpaGcci2hvJ9/aB5dT0vTS4b9M+w==" saltValue="ssWUusd98FQPma1qygEEH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F2:AH4 AF15 J10 AF10 J11 AF11 C11:H11 E10:H10 C15:H15 C2:H4 J15:AC15 J3:AC4 AF9 AF5 AF6 AF7 AF8 AF12 AF13 AF14 J2:AB2 E9:H9 E5:H5 E6:H6 E7:H7 E8:H8 E12:H12 E13:H13 E14:H14 J9 J5 J6 J7 J8 J12 J13 J14" unlockedFormula="1"/>
    <ignoredError sqref="K11:AC11" formula="1" unlocked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E781-4025-2040-B493-11733DB11A31}">
  <sheetPr codeName="Sheet8">
    <tabColor rgb="FFEB7100"/>
  </sheetPr>
  <dimension ref="A1:AN126"/>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8" width="10.83203125" style="120" customWidth="1"/>
    <col min="9" max="9" width="11.5" style="120" bestFit="1" customWidth="1"/>
    <col min="10" max="10" width="2.83203125" style="120" customWidth="1"/>
    <col min="11" max="19" width="10.83203125" style="120" customWidth="1"/>
    <col min="20" max="26" width="10.83203125" style="120"/>
    <col min="27" max="27" width="10.83203125" style="120" customWidth="1"/>
    <col min="28" max="28" width="11.5" style="120" bestFit="1" customWidth="1"/>
    <col min="29" max="31" width="11.5" style="120" customWidth="1"/>
    <col min="32" max="32" width="5.83203125" style="120" customWidth="1"/>
    <col min="33" max="16384" width="10.83203125" style="120"/>
  </cols>
  <sheetData>
    <row r="1" spans="1:40"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1:40" s="9" customFormat="1" ht="13" customHeight="1">
      <c r="B2" s="255" t="str">
        <f>IF('Summary | Sumário'!D$6=Names!B$3,Names!V1,Names!W1)</f>
        <v>IEP (IFRS, R$ Thousands)</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118">
        <f>IF('Summary | Sumário'!E6=Names!C3,Names!D23,Names!E23)</f>
        <v>2025</v>
      </c>
      <c r="J2" s="316"/>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57"/>
      <c r="AJ2" s="57"/>
      <c r="AK2" s="10"/>
      <c r="AM2" s="11"/>
      <c r="AN2" s="12"/>
    </row>
    <row r="3" spans="1:40" ht="13" customHeight="1">
      <c r="B3" s="13"/>
      <c r="C3" s="130"/>
      <c r="D3" s="130"/>
      <c r="E3" s="130"/>
      <c r="F3" s="130"/>
      <c r="G3" s="130"/>
      <c r="H3" s="130"/>
      <c r="I3" s="130"/>
      <c r="J3" s="315"/>
      <c r="K3" s="131"/>
      <c r="L3" s="131"/>
      <c r="M3" s="131"/>
      <c r="N3" s="131"/>
      <c r="O3" s="131"/>
      <c r="P3" s="131"/>
      <c r="Q3" s="131"/>
      <c r="R3" s="131"/>
      <c r="S3" s="131"/>
      <c r="T3" s="131"/>
      <c r="U3" s="131"/>
      <c r="V3" s="131"/>
      <c r="W3" s="131"/>
      <c r="X3" s="131"/>
      <c r="Y3" s="131"/>
      <c r="Z3" s="131"/>
      <c r="AA3" s="131"/>
      <c r="AB3" s="125"/>
      <c r="AC3" s="125"/>
      <c r="AD3" s="125"/>
      <c r="AE3" s="125"/>
      <c r="AF3" s="125"/>
      <c r="AG3" s="125"/>
      <c r="AH3" s="125"/>
    </row>
    <row r="4" spans="1:40" s="143" customFormat="1" ht="13" customHeight="1">
      <c r="A4" s="142"/>
      <c r="B4" s="3" t="str">
        <f>IF('Summary | Sumário'!D$6=Names!B$3,Names!V4,Names!W4)</f>
        <v>Total Interest Earning Assets</v>
      </c>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7"/>
      <c r="AH4" s="167"/>
    </row>
    <row r="5" spans="1:40" ht="13" customHeight="1">
      <c r="A5" s="198"/>
      <c r="B5" s="276" t="str">
        <f>IF('Summary | Sumário'!D6=Names!B3,Names!K3,Names!L3)</f>
        <v>Cash and equivalents</v>
      </c>
      <c r="C5" s="277">
        <f>'2. BS | BP'!C5</f>
        <v>3114789</v>
      </c>
      <c r="D5" s="277">
        <f>'2. BS | BP'!D5</f>
        <v>2154687</v>
      </c>
      <c r="E5" s="277">
        <f>'2. BS | BP'!E5</f>
        <v>500446</v>
      </c>
      <c r="F5" s="277">
        <f>'2. BS | BP'!F5</f>
        <v>1331648</v>
      </c>
      <c r="G5" s="277">
        <f>'2. BS | BP'!G5</f>
        <v>4259379</v>
      </c>
      <c r="H5" s="277">
        <f>'2. BS | BP'!H5</f>
        <v>1108393.9463064999</v>
      </c>
      <c r="I5" s="277">
        <f>'2. BS | BP'!I5</f>
        <v>3801513</v>
      </c>
      <c r="J5" s="164"/>
      <c r="K5" s="277">
        <f>'2. BS | BP'!K5</f>
        <v>906123</v>
      </c>
      <c r="L5" s="277">
        <f>'2. BS | BP'!L5</f>
        <v>5731007.0010000002</v>
      </c>
      <c r="M5" s="277">
        <f>'2. BS | BP'!M5</f>
        <v>451774.29800000001</v>
      </c>
      <c r="N5" s="277">
        <f>'2. BS | BP'!N5</f>
        <v>500446</v>
      </c>
      <c r="O5" s="277">
        <f>'2. BS | BP'!O5</f>
        <v>1171654</v>
      </c>
      <c r="P5" s="277">
        <f>'2. BS | BP'!P5</f>
        <v>1549158</v>
      </c>
      <c r="Q5" s="277">
        <f>'2. BS | BP'!Q5</f>
        <v>838310</v>
      </c>
      <c r="R5" s="277">
        <f>'2. BS | BP'!R5</f>
        <v>1331648</v>
      </c>
      <c r="S5" s="277">
        <f>'2. BS | BP'!S5</f>
        <v>1791707</v>
      </c>
      <c r="T5" s="277">
        <f>'2. BS | BP'!T5</f>
        <v>3672219</v>
      </c>
      <c r="U5" s="277">
        <f>'2. BS | BP'!U5</f>
        <v>4297077.8057988677</v>
      </c>
      <c r="V5" s="277">
        <f>'2. BS | BP'!V5</f>
        <v>4259379</v>
      </c>
      <c r="W5" s="277">
        <f>'2. BS | BP'!W5</f>
        <v>2830309.989293688</v>
      </c>
      <c r="X5" s="277">
        <f>'2. BS | BP'!X5</f>
        <v>2797339.324</v>
      </c>
      <c r="Y5" s="277">
        <f>'2. BS | BP'!Y5</f>
        <v>2273564.7124805599</v>
      </c>
      <c r="Z5" s="277">
        <f>'2. BS | BP'!Z5</f>
        <v>1108393.9463064999</v>
      </c>
      <c r="AA5" s="277">
        <f>'2. BS | BP'!AA5</f>
        <v>1458588</v>
      </c>
      <c r="AB5" s="277">
        <f>'2. BS | BP'!AB5</f>
        <v>4834125</v>
      </c>
      <c r="AC5" s="277">
        <f>'2. BS | BP'!AC5</f>
        <v>5695320</v>
      </c>
      <c r="AD5" s="277">
        <f>'2. BS | BP'!AD5</f>
        <v>3801513</v>
      </c>
      <c r="AE5" s="277">
        <f>'2. BS | BP'!AE5</f>
        <v>4296629</v>
      </c>
      <c r="AF5" s="164"/>
      <c r="AG5" s="331">
        <f t="shared" ref="AG5:AG23" si="0">AE5/AD5-1</f>
        <v>0.13024182739872248</v>
      </c>
      <c r="AH5" s="331">
        <f t="shared" ref="AH5:AH23" si="1">AE5/AA5-1</f>
        <v>1.9457454743903009</v>
      </c>
      <c r="AJ5" s="175"/>
    </row>
    <row r="6" spans="1:40" ht="13" customHeight="1">
      <c r="A6" s="198"/>
      <c r="B6" s="50" t="str">
        <f>IF('Summary | Sumário'!D7=Names!B4,Names!V2,Names!W2)</f>
        <v>Amounts due from financial institutions excl. interbank onlending</v>
      </c>
      <c r="C6" s="207">
        <f>'2. BS | BP'!C6+C8</f>
        <v>229088</v>
      </c>
      <c r="D6" s="207">
        <f>'2. BS | BP'!D6+D8</f>
        <v>502391</v>
      </c>
      <c r="E6" s="207">
        <f>'2. BS | BP'!E6+E8</f>
        <v>2026303</v>
      </c>
      <c r="F6" s="207">
        <f>'2. BS | BP'!F6+F8</f>
        <v>4227051</v>
      </c>
      <c r="G6" s="207">
        <f>'2. BS | BP'!G6+G8</f>
        <v>3687019</v>
      </c>
      <c r="H6" s="207">
        <f>'2. BS | BP'!H6+H8</f>
        <v>6161040.6410200009</v>
      </c>
      <c r="I6" s="207">
        <f>'2. BS | BP'!I6+I8</f>
        <v>4579665</v>
      </c>
      <c r="J6" s="207"/>
      <c r="K6" s="207">
        <f>'2. BS | BP'!K6+K8</f>
        <v>578499</v>
      </c>
      <c r="L6" s="207">
        <f>'2. BS | BP'!L6+L8</f>
        <v>646905</v>
      </c>
      <c r="M6" s="207">
        <f>'2. BS | BP'!M6+M8</f>
        <v>1408183</v>
      </c>
      <c r="N6" s="207">
        <f>'2. BS | BP'!N6+N8</f>
        <v>2026303</v>
      </c>
      <c r="O6" s="207">
        <f>'2. BS | BP'!O6+O8</f>
        <v>1439464</v>
      </c>
      <c r="P6" s="207">
        <f>'2. BS | BP'!P6+P8</f>
        <v>1418548</v>
      </c>
      <c r="Q6" s="207">
        <f>'2. BS | BP'!Q6+Q8</f>
        <v>3402731</v>
      </c>
      <c r="R6" s="207">
        <f>'2. BS | BP'!R6+R8</f>
        <v>4227051</v>
      </c>
      <c r="S6" s="207">
        <f>'2. BS | BP'!S6+S8</f>
        <v>3740726</v>
      </c>
      <c r="T6" s="207">
        <f>'2. BS | BP'!T6+T8</f>
        <v>2539972</v>
      </c>
      <c r="U6" s="207">
        <f>'2. BS | BP'!U6+U8</f>
        <v>3339757.8523399998</v>
      </c>
      <c r="V6" s="207">
        <f>'2. BS | BP'!V6+V8</f>
        <v>3687019</v>
      </c>
      <c r="W6" s="207">
        <f>'2. BS | BP'!W6+W8</f>
        <v>3892684.4775399994</v>
      </c>
      <c r="X6" s="207">
        <f>'2. BS | BP'!X6+X8</f>
        <v>5102987.9583599996</v>
      </c>
      <c r="Y6" s="207">
        <f>'2. BS | BP'!Y6+Y8</f>
        <v>4914229.53804</v>
      </c>
      <c r="Z6" s="207">
        <f>'2. BS | BP'!Z6+Z8</f>
        <v>6161040.6410200009</v>
      </c>
      <c r="AA6" s="207">
        <f>'2. BS | BP'!AA6+AA8</f>
        <v>5748078</v>
      </c>
      <c r="AB6" s="207">
        <f>'2. BS | BP'!AB6+AB8</f>
        <v>4066035</v>
      </c>
      <c r="AC6" s="207">
        <f>'2. BS | BP'!AC6+AC8</f>
        <v>3068027</v>
      </c>
      <c r="AD6" s="207">
        <f>'2. BS | BP'!AD6+AD8</f>
        <v>4579665</v>
      </c>
      <c r="AE6" s="207">
        <f>'2. BS | BP'!AE6+AE8</f>
        <v>4589879</v>
      </c>
      <c r="AF6" s="207"/>
      <c r="AG6" s="191">
        <f t="shared" si="0"/>
        <v>2.2302941372349672E-3</v>
      </c>
      <c r="AH6" s="191">
        <f t="shared" si="1"/>
        <v>-0.2014932643572338</v>
      </c>
      <c r="AI6" s="329"/>
      <c r="AJ6" s="175"/>
      <c r="AK6" s="329"/>
    </row>
    <row r="7" spans="1:40" ht="13" customHeight="1">
      <c r="B7" s="58" t="str">
        <f>IF('Summary | Sumário'!D7=Names!B4,Names!V10,Names!W10)</f>
        <v>Amounts due from financial institutions</v>
      </c>
      <c r="C7" s="203">
        <f t="shared" ref="C7:Z7" si="2">C6-C8</f>
        <v>256097</v>
      </c>
      <c r="D7" s="203">
        <f t="shared" si="2"/>
        <v>502369</v>
      </c>
      <c r="E7" s="203">
        <f t="shared" si="2"/>
        <v>2051862</v>
      </c>
      <c r="F7" s="203">
        <f t="shared" si="2"/>
        <v>4258856</v>
      </c>
      <c r="G7" s="203">
        <f t="shared" si="2"/>
        <v>3718505.7949100002</v>
      </c>
      <c r="H7" s="203">
        <f t="shared" si="2"/>
        <v>6194960.1520200009</v>
      </c>
      <c r="I7" s="203">
        <f t="shared" ref="I7" si="3">I6-I8</f>
        <v>4600218</v>
      </c>
      <c r="J7" s="175"/>
      <c r="K7" s="203">
        <f t="shared" si="2"/>
        <v>578499</v>
      </c>
      <c r="L7" s="203">
        <f t="shared" si="2"/>
        <v>646905</v>
      </c>
      <c r="M7" s="203">
        <f t="shared" si="2"/>
        <v>1408183</v>
      </c>
      <c r="N7" s="203">
        <f t="shared" si="2"/>
        <v>2051862</v>
      </c>
      <c r="O7" s="203">
        <f t="shared" si="2"/>
        <v>1807258</v>
      </c>
      <c r="P7" s="203">
        <f t="shared" si="2"/>
        <v>1825289</v>
      </c>
      <c r="Q7" s="203">
        <f t="shared" si="2"/>
        <v>3417500</v>
      </c>
      <c r="R7" s="203">
        <f t="shared" si="2"/>
        <v>4258856</v>
      </c>
      <c r="S7" s="203">
        <f t="shared" si="2"/>
        <v>3770074</v>
      </c>
      <c r="T7" s="203">
        <f t="shared" si="2"/>
        <v>2556811</v>
      </c>
      <c r="U7" s="203">
        <f t="shared" si="2"/>
        <v>3474243.8523399998</v>
      </c>
      <c r="V7" s="203">
        <f t="shared" si="2"/>
        <v>3718505.7949100002</v>
      </c>
      <c r="W7" s="203">
        <f t="shared" si="2"/>
        <v>4051287.3041199995</v>
      </c>
      <c r="X7" s="203">
        <f t="shared" si="2"/>
        <v>5280321.6449999996</v>
      </c>
      <c r="Y7" s="203">
        <f t="shared" si="2"/>
        <v>5225481.9997899998</v>
      </c>
      <c r="Z7" s="203">
        <f t="shared" si="2"/>
        <v>6194960.1520200009</v>
      </c>
      <c r="AA7" s="203">
        <f>AA6-AA8</f>
        <v>6595073</v>
      </c>
      <c r="AB7" s="203">
        <f>AB6-AB8</f>
        <v>4952995</v>
      </c>
      <c r="AC7" s="203">
        <f>AC6-AC8</f>
        <v>3275871</v>
      </c>
      <c r="AD7" s="203">
        <f>AD6-AD8</f>
        <v>4600218</v>
      </c>
      <c r="AE7" s="203">
        <f>AE6-AE8</f>
        <v>4757076</v>
      </c>
      <c r="AG7" s="190">
        <f t="shared" si="0"/>
        <v>3.409794927109977E-2</v>
      </c>
      <c r="AH7" s="190">
        <f t="shared" si="1"/>
        <v>-0.27869244207001198</v>
      </c>
      <c r="AJ7" s="175"/>
    </row>
    <row r="8" spans="1:40" ht="13" customHeight="1">
      <c r="A8" s="198"/>
      <c r="B8" s="53" t="str">
        <f>IF('Summary | Sumário'!D7=Names!B4,Names!V3,Names!W3)</f>
        <v>(-) Interbank on-lending</v>
      </c>
      <c r="C8" s="207">
        <v>-27009</v>
      </c>
      <c r="D8" s="207">
        <v>22</v>
      </c>
      <c r="E8" s="207">
        <f>N8</f>
        <v>-25559</v>
      </c>
      <c r="F8" s="207">
        <f>R8</f>
        <v>-31805</v>
      </c>
      <c r="G8" s="207">
        <f>V8</f>
        <v>-31486.794910000001</v>
      </c>
      <c r="H8" s="207">
        <f>Z8</f>
        <v>-33919.510999999999</v>
      </c>
      <c r="I8" s="207">
        <f>AD8</f>
        <v>-20553</v>
      </c>
      <c r="J8" s="207"/>
      <c r="K8" s="207">
        <v>0</v>
      </c>
      <c r="L8" s="207">
        <v>0</v>
      </c>
      <c r="M8" s="207">
        <v>0</v>
      </c>
      <c r="N8" s="207">
        <v>-25559</v>
      </c>
      <c r="O8" s="207">
        <v>-367794</v>
      </c>
      <c r="P8" s="207">
        <v>-406741</v>
      </c>
      <c r="Q8" s="207">
        <v>-14769</v>
      </c>
      <c r="R8" s="207">
        <v>-31805</v>
      </c>
      <c r="S8" s="207">
        <v>-29348</v>
      </c>
      <c r="T8" s="207">
        <v>-16839</v>
      </c>
      <c r="U8" s="207">
        <v>-134486</v>
      </c>
      <c r="V8" s="207">
        <v>-31486.794910000001</v>
      </c>
      <c r="W8" s="207">
        <v>-158602.82658000002</v>
      </c>
      <c r="X8" s="207">
        <v>-177333.68664000003</v>
      </c>
      <c r="Y8" s="207">
        <v>-311252.46175000002</v>
      </c>
      <c r="Z8" s="207">
        <v>-33919.510999999999</v>
      </c>
      <c r="AA8" s="207">
        <v>-846995</v>
      </c>
      <c r="AB8" s="207">
        <v>-886960</v>
      </c>
      <c r="AC8" s="207">
        <v>-207844</v>
      </c>
      <c r="AD8" s="207">
        <v>-20553</v>
      </c>
      <c r="AE8" s="207">
        <v>-167197</v>
      </c>
      <c r="AF8" s="207"/>
      <c r="AG8" s="191">
        <f t="shared" si="0"/>
        <v>7.1349194764754529</v>
      </c>
      <c r="AH8" s="191">
        <f t="shared" si="1"/>
        <v>-0.8025997792194759</v>
      </c>
      <c r="AI8" s="329"/>
      <c r="AJ8" s="175"/>
      <c r="AK8" s="329"/>
    </row>
    <row r="9" spans="1:40" ht="13" customHeight="1">
      <c r="A9" s="198"/>
      <c r="B9" s="162" t="str">
        <f>IF('Summary | Sumário'!D6=Names!B3,Names!K5,Names!L5)</f>
        <v>Deposits at Central Bank of Brazil</v>
      </c>
      <c r="C9" s="208">
        <f>'2. BS | BP'!C7</f>
        <v>392280</v>
      </c>
      <c r="D9" s="208">
        <f>'2. BS | BP'!D7</f>
        <v>1709729</v>
      </c>
      <c r="E9" s="208">
        <f>'2. BS | BP'!E7</f>
        <v>2399488</v>
      </c>
      <c r="F9" s="208">
        <f>'2. BS | BP'!F7</f>
        <v>2854778</v>
      </c>
      <c r="G9" s="208">
        <f>'2. BS | BP'!G7</f>
        <v>2664415</v>
      </c>
      <c r="H9" s="208">
        <f>'2. BS | BP'!H7</f>
        <v>5285401.7280000001</v>
      </c>
      <c r="I9" s="208">
        <f>'2. BS | BP'!I7</f>
        <v>7867658</v>
      </c>
      <c r="J9" s="207"/>
      <c r="K9" s="208">
        <f>'2. BS | BP'!K7</f>
        <v>1644359</v>
      </c>
      <c r="L9" s="208">
        <f>'2. BS | BP'!L7</f>
        <v>1593298</v>
      </c>
      <c r="M9" s="208">
        <f>'2. BS | BP'!M7</f>
        <v>2331697</v>
      </c>
      <c r="N9" s="208">
        <f>'2. BS | BP'!N7</f>
        <v>2399488</v>
      </c>
      <c r="O9" s="208">
        <f>'2. BS | BP'!O7</f>
        <v>2361774</v>
      </c>
      <c r="P9" s="208">
        <f>'2. BS | BP'!P7</f>
        <v>2580989</v>
      </c>
      <c r="Q9" s="208">
        <f>'2. BS | BP'!Q7</f>
        <v>2686243</v>
      </c>
      <c r="R9" s="208">
        <f>'2. BS | BP'!R7</f>
        <v>2854778</v>
      </c>
      <c r="S9" s="208">
        <f>'2. BS | BP'!S7</f>
        <v>2993616</v>
      </c>
      <c r="T9" s="208">
        <f>'2. BS | BP'!T7</f>
        <v>1703869</v>
      </c>
      <c r="U9" s="208">
        <f>'2. BS | BP'!U7</f>
        <v>2190872.3033499997</v>
      </c>
      <c r="V9" s="208">
        <f>'2. BS | BP'!V7</f>
        <v>2664415</v>
      </c>
      <c r="W9" s="208">
        <f>'2. BS | BP'!W7</f>
        <v>2925658.3690599999</v>
      </c>
      <c r="X9" s="208">
        <f>'2. BS | BP'!X7</f>
        <v>3725774.7710000002</v>
      </c>
      <c r="Y9" s="208">
        <f>'2. BS | BP'!Y7</f>
        <v>4185155.9511100003</v>
      </c>
      <c r="Z9" s="208">
        <f>'2. BS | BP'!Z7</f>
        <v>5285401.7280000001</v>
      </c>
      <c r="AA9" s="208">
        <f>'2. BS | BP'!AA7</f>
        <v>5648238</v>
      </c>
      <c r="AB9" s="208">
        <f>'2. BS | BP'!AB7</f>
        <v>6179662</v>
      </c>
      <c r="AC9" s="208">
        <f>'2. BS | BP'!AC7</f>
        <v>7072746</v>
      </c>
      <c r="AD9" s="208">
        <f>'2. BS | BP'!AD7</f>
        <v>7867658</v>
      </c>
      <c r="AE9" s="208">
        <f>'2. BS | BP'!AE7</f>
        <v>7887762</v>
      </c>
      <c r="AF9" s="207"/>
      <c r="AG9" s="190">
        <f t="shared" si="0"/>
        <v>2.5552712128564803E-3</v>
      </c>
      <c r="AH9" s="190">
        <f t="shared" si="1"/>
        <v>0.39649958093125681</v>
      </c>
      <c r="AI9" s="317"/>
      <c r="AJ9" s="175"/>
      <c r="AK9" s="317"/>
    </row>
    <row r="10" spans="1:40" ht="13" customHeight="1">
      <c r="A10" s="198"/>
      <c r="B10" s="120" t="str">
        <f>IF('Summary | Sumário'!D6=Names!B3,Names!K6,Names!L6)</f>
        <v>Securities, net of provisions for expected credit losses</v>
      </c>
      <c r="C10" s="207">
        <f>'2. BS | BP'!C8</f>
        <v>1155094</v>
      </c>
      <c r="D10" s="207">
        <f>'2. BS | BP'!D8</f>
        <v>5812622</v>
      </c>
      <c r="E10" s="207">
        <f>'2. BS | BP'!E8</f>
        <v>12757687</v>
      </c>
      <c r="F10" s="207">
        <f>'2. BS | BP'!F8</f>
        <v>12448565</v>
      </c>
      <c r="G10" s="207">
        <f>'2. BS | BP'!G8</f>
        <v>16868112</v>
      </c>
      <c r="H10" s="207">
        <f>'2. BS | BP'!H8</f>
        <v>23899551.020405103</v>
      </c>
      <c r="I10" s="207">
        <f>'2. BS | BP'!I8</f>
        <v>29010323</v>
      </c>
      <c r="J10" s="207"/>
      <c r="K10" s="207">
        <f>'2. BS | BP'!K8</f>
        <v>6619726</v>
      </c>
      <c r="L10" s="207">
        <f>'2. BS | BP'!L8</f>
        <v>8230481</v>
      </c>
      <c r="M10" s="207">
        <f>'2. BS | BP'!M8</f>
        <v>13241180</v>
      </c>
      <c r="N10" s="207">
        <f>'2. BS | BP'!N8</f>
        <v>12757687</v>
      </c>
      <c r="O10" s="207">
        <f>'2. BS | BP'!O8</f>
        <v>12335401</v>
      </c>
      <c r="P10" s="207">
        <f>'2. BS | BP'!P8</f>
        <v>12710051</v>
      </c>
      <c r="Q10" s="207">
        <f>'2. BS | BP'!Q8</f>
        <v>13373465</v>
      </c>
      <c r="R10" s="207">
        <f>'2. BS | BP'!R8</f>
        <v>12448565</v>
      </c>
      <c r="S10" s="207">
        <f>'2. BS | BP'!S8</f>
        <v>12535351</v>
      </c>
      <c r="T10" s="207">
        <f>'2. BS | BP'!T8</f>
        <v>14169684</v>
      </c>
      <c r="U10" s="207">
        <f>'2. BS | BP'!U8</f>
        <v>14908297</v>
      </c>
      <c r="V10" s="207">
        <f>'2. BS | BP'!V8</f>
        <v>16868112</v>
      </c>
      <c r="W10" s="207">
        <f>'2. BS | BP'!W8</f>
        <v>18167251</v>
      </c>
      <c r="X10" s="207">
        <f>'2. BS | BP'!X8</f>
        <v>18276425.519000001</v>
      </c>
      <c r="Y10" s="207">
        <f>'2. BS | BP'!Y8</f>
        <v>20586354.700983003</v>
      </c>
      <c r="Z10" s="207">
        <f>'2. BS | BP'!Z8</f>
        <v>23899551.020405103</v>
      </c>
      <c r="AA10" s="207">
        <f>'2. BS | BP'!AA8</f>
        <v>24703003</v>
      </c>
      <c r="AB10" s="207">
        <f>'2. BS | BP'!AB8</f>
        <v>23860348</v>
      </c>
      <c r="AC10" s="207">
        <f>'2. BS | BP'!AC8</f>
        <v>27078010</v>
      </c>
      <c r="AD10" s="207">
        <f>'2. BS | BP'!AD8</f>
        <v>29010323</v>
      </c>
      <c r="AE10" s="207">
        <f>'2. BS | BP'!AE8</f>
        <v>27340856</v>
      </c>
      <c r="AF10" s="207"/>
      <c r="AG10" s="191">
        <f t="shared" si="0"/>
        <v>-5.7547342716590899E-2</v>
      </c>
      <c r="AH10" s="191">
        <f t="shared" si="1"/>
        <v>0.10678268548969538</v>
      </c>
      <c r="AI10" s="329"/>
      <c r="AJ10" s="175"/>
      <c r="AK10" s="329"/>
    </row>
    <row r="11" spans="1:40" ht="13" customHeight="1">
      <c r="A11" s="198"/>
      <c r="B11" s="58" t="str">
        <f>IF('Summary | Sumário'!D6=Names!B3,Names!V5,Names!W5)</f>
        <v>Sovereign securities</v>
      </c>
      <c r="C11" s="208">
        <f t="shared" ref="C11:Z11" si="4">C10-C12</f>
        <v>1155094</v>
      </c>
      <c r="D11" s="208">
        <f t="shared" si="4"/>
        <v>5812622</v>
      </c>
      <c r="E11" s="208">
        <f t="shared" si="4"/>
        <v>11017596</v>
      </c>
      <c r="F11" s="208">
        <f t="shared" si="4"/>
        <v>9472380</v>
      </c>
      <c r="G11" s="208">
        <f t="shared" si="4"/>
        <v>14673397</v>
      </c>
      <c r="H11" s="208">
        <f t="shared" si="4"/>
        <v>21683797.085405104</v>
      </c>
      <c r="I11" s="208">
        <f t="shared" ref="I11" si="5">I10-I12</f>
        <v>26253905</v>
      </c>
      <c r="J11" s="207"/>
      <c r="K11" s="208">
        <f t="shared" si="4"/>
        <v>5192563</v>
      </c>
      <c r="L11" s="208">
        <f t="shared" si="4"/>
        <v>6670192</v>
      </c>
      <c r="M11" s="208">
        <f t="shared" si="4"/>
        <v>11680891</v>
      </c>
      <c r="N11" s="208">
        <f t="shared" si="4"/>
        <v>11017596</v>
      </c>
      <c r="O11" s="208">
        <f t="shared" si="4"/>
        <v>10381954</v>
      </c>
      <c r="P11" s="208">
        <f t="shared" si="4"/>
        <v>10193311</v>
      </c>
      <c r="Q11" s="208">
        <f t="shared" si="4"/>
        <v>10289474</v>
      </c>
      <c r="R11" s="208">
        <f t="shared" si="4"/>
        <v>9472380</v>
      </c>
      <c r="S11" s="208">
        <f t="shared" si="4"/>
        <v>9679378</v>
      </c>
      <c r="T11" s="208">
        <f t="shared" si="4"/>
        <v>11599504</v>
      </c>
      <c r="U11" s="208">
        <f t="shared" si="4"/>
        <v>12881004</v>
      </c>
      <c r="V11" s="208">
        <f t="shared" si="4"/>
        <v>14673397</v>
      </c>
      <c r="W11" s="208">
        <f t="shared" si="4"/>
        <v>15821272.2217</v>
      </c>
      <c r="X11" s="208">
        <f t="shared" si="4"/>
        <v>16318997.450960001</v>
      </c>
      <c r="Y11" s="208">
        <f t="shared" si="4"/>
        <v>18635484.757983003</v>
      </c>
      <c r="Z11" s="208">
        <f t="shared" si="4"/>
        <v>21683797.085405104</v>
      </c>
      <c r="AA11" s="208">
        <f>AA10-AA12</f>
        <v>22271883</v>
      </c>
      <c r="AB11" s="208">
        <f>AB10-AB12</f>
        <v>21235954.901999999</v>
      </c>
      <c r="AC11" s="208">
        <f>AC10-AC12</f>
        <v>24461612</v>
      </c>
      <c r="AD11" s="208">
        <f>AD10-AD12</f>
        <v>26253905</v>
      </c>
      <c r="AE11" s="208">
        <f>AE10-AE12</f>
        <v>24260053</v>
      </c>
      <c r="AF11" s="207"/>
      <c r="AG11" s="190">
        <f t="shared" si="0"/>
        <v>-7.5944968948428837E-2</v>
      </c>
      <c r="AH11" s="190">
        <f t="shared" si="1"/>
        <v>8.9268159319981999E-2</v>
      </c>
      <c r="AI11" s="329"/>
      <c r="AJ11" s="175"/>
      <c r="AK11" s="329"/>
    </row>
    <row r="12" spans="1:40" ht="13" customHeight="1">
      <c r="A12" s="198"/>
      <c r="B12" s="53" t="str">
        <f>IF('Summary | Sumário'!D6=Names!B3,Names!V6,Names!W6)</f>
        <v>Private securities</v>
      </c>
      <c r="C12" s="562">
        <v>0</v>
      </c>
      <c r="D12" s="562">
        <v>0</v>
      </c>
      <c r="E12" s="562">
        <f>N12</f>
        <v>1740091</v>
      </c>
      <c r="F12" s="562">
        <f>R12</f>
        <v>2976185</v>
      </c>
      <c r="G12" s="562">
        <f>V12</f>
        <v>2194715</v>
      </c>
      <c r="H12" s="562">
        <f>Z12</f>
        <v>2215753.9350000001</v>
      </c>
      <c r="I12" s="562">
        <f>AD12</f>
        <v>2756418</v>
      </c>
      <c r="J12" s="562"/>
      <c r="K12" s="562">
        <v>1427163</v>
      </c>
      <c r="L12" s="562">
        <v>1560289</v>
      </c>
      <c r="M12" s="562">
        <v>1560289</v>
      </c>
      <c r="N12" s="562">
        <v>1740091</v>
      </c>
      <c r="O12" s="562">
        <v>1953447</v>
      </c>
      <c r="P12" s="562">
        <v>2516740</v>
      </c>
      <c r="Q12" s="562">
        <v>3083991</v>
      </c>
      <c r="R12" s="562">
        <v>2976185</v>
      </c>
      <c r="S12" s="562">
        <v>2855973</v>
      </c>
      <c r="T12" s="562">
        <v>2570180</v>
      </c>
      <c r="U12" s="562">
        <v>2027293</v>
      </c>
      <c r="V12" s="562">
        <v>2194715</v>
      </c>
      <c r="W12" s="562">
        <v>2345978.7782999999</v>
      </c>
      <c r="X12" s="562">
        <v>1957428.06804</v>
      </c>
      <c r="Y12" s="562">
        <v>1950869.943</v>
      </c>
      <c r="Z12" s="562">
        <v>2215753.9350000001</v>
      </c>
      <c r="AA12" s="562">
        <v>2431120</v>
      </c>
      <c r="AB12" s="562">
        <v>2624393.0980000002</v>
      </c>
      <c r="AC12" s="562">
        <v>2616398</v>
      </c>
      <c r="AD12" s="562">
        <v>2756418</v>
      </c>
      <c r="AE12" s="562">
        <v>3080803</v>
      </c>
      <c r="AF12" s="145"/>
      <c r="AG12" s="191">
        <f t="shared" si="0"/>
        <v>0.11768352985650221</v>
      </c>
      <c r="AH12" s="191">
        <f t="shared" si="1"/>
        <v>0.26723608871631188</v>
      </c>
      <c r="AJ12" s="175"/>
      <c r="AK12" s="329"/>
    </row>
    <row r="13" spans="1:40" ht="13" customHeight="1">
      <c r="A13" s="198"/>
      <c r="B13" s="162" t="str">
        <f>IF('Summary | Sumário'!D6=Names!B3,Names!K7,Names!L7)</f>
        <v>Derivative financial assets</v>
      </c>
      <c r="C13" s="208">
        <f>'2. BS | BP'!C9</f>
        <v>0</v>
      </c>
      <c r="D13" s="208">
        <f>'2. BS | BP'!D9</f>
        <v>27513</v>
      </c>
      <c r="E13" s="208">
        <f>'2. BS | BP'!E9</f>
        <v>86948</v>
      </c>
      <c r="F13" s="208">
        <f>'2. BS | BP'!F9</f>
        <v>0</v>
      </c>
      <c r="G13" s="208">
        <f>'2. BS | BP'!G9</f>
        <v>4238</v>
      </c>
      <c r="H13" s="208">
        <f>'2. BS | BP'!H9</f>
        <v>562.80100000000004</v>
      </c>
      <c r="I13" s="208">
        <f>'2. BS | BP'!I9</f>
        <v>58915</v>
      </c>
      <c r="J13" s="207"/>
      <c r="K13" s="208">
        <f>'2. BS | BP'!K9</f>
        <v>18603</v>
      </c>
      <c r="L13" s="208">
        <f>'2. BS | BP'!L9</f>
        <v>11684</v>
      </c>
      <c r="M13" s="208">
        <f>'2. BS | BP'!M9</f>
        <v>7643</v>
      </c>
      <c r="N13" s="208">
        <f>'2. BS | BP'!N9</f>
        <v>86948</v>
      </c>
      <c r="O13" s="208">
        <f>'2. BS | BP'!O9</f>
        <v>10410</v>
      </c>
      <c r="P13" s="208">
        <f>'2. BS | BP'!P9</f>
        <v>3212</v>
      </c>
      <c r="Q13" s="208">
        <f>'2. BS | BP'!Q9</f>
        <v>581</v>
      </c>
      <c r="R13" s="208">
        <f>'2. BS | BP'!R9</f>
        <v>0</v>
      </c>
      <c r="S13" s="208">
        <f>'2. BS | BP'!S9</f>
        <v>1122</v>
      </c>
      <c r="T13" s="208">
        <f>'2. BS | BP'!T9</f>
        <v>3625</v>
      </c>
      <c r="U13" s="208">
        <f>'2. BS | BP'!U9</f>
        <v>9388.5369900000005</v>
      </c>
      <c r="V13" s="208">
        <f>'2. BS | BP'!V9</f>
        <v>4238</v>
      </c>
      <c r="W13" s="208">
        <f>'2. BS | BP'!W9</f>
        <v>7392.1129600000004</v>
      </c>
      <c r="X13" s="208">
        <f>'2. BS | BP'!X9</f>
        <v>7177.4260000000004</v>
      </c>
      <c r="Y13" s="208">
        <f>'2. BS | BP'!Y9</f>
        <v>18488.90812</v>
      </c>
      <c r="Z13" s="208">
        <f>'2. BS | BP'!Z9</f>
        <v>562.80100000000004</v>
      </c>
      <c r="AA13" s="208">
        <f>'2. BS | BP'!AA9</f>
        <v>8163</v>
      </c>
      <c r="AB13" s="208">
        <f>'2. BS | BP'!AB9</f>
        <v>690</v>
      </c>
      <c r="AC13" s="208">
        <f>'2. BS | BP'!AC9</f>
        <v>2493</v>
      </c>
      <c r="AD13" s="208">
        <f>'2. BS | BP'!AD9</f>
        <v>58915</v>
      </c>
      <c r="AE13" s="208">
        <f>'2. BS | BP'!AE9</f>
        <v>31548</v>
      </c>
      <c r="AF13" s="207"/>
      <c r="AG13" s="190">
        <f t="shared" si="0"/>
        <v>-0.46451667656793683</v>
      </c>
      <c r="AH13" s="190">
        <f t="shared" si="1"/>
        <v>2.8647556045571481</v>
      </c>
      <c r="AJ13" s="175"/>
    </row>
    <row r="14" spans="1:40" ht="13" customHeight="1">
      <c r="A14" s="198"/>
      <c r="B14" s="120" t="str">
        <f>IF('Summary | Sumário'!D$6=Names!B$3,Names!V8,Names!V8)</f>
        <v>Loans and advances to customers excl. transactor credit card portfolio</v>
      </c>
      <c r="C14" s="207">
        <f>C15+C16+C17+C18+C21+C22</f>
        <v>4494985.3870000001</v>
      </c>
      <c r="D14" s="207">
        <f t="shared" ref="D14:AA14" si="6">D15+D16+D17+D18+D21+D22</f>
        <v>6833272.8250000002</v>
      </c>
      <c r="E14" s="207">
        <f t="shared" si="6"/>
        <v>12413116.721729999</v>
      </c>
      <c r="F14" s="207">
        <f t="shared" si="6"/>
        <v>15968118</v>
      </c>
      <c r="G14" s="207">
        <f t="shared" si="6"/>
        <v>20410532.397</v>
      </c>
      <c r="H14" s="207">
        <f t="shared" si="6"/>
        <v>23777319.18454</v>
      </c>
      <c r="I14" s="207">
        <f t="shared" ref="I14" si="7">I15+I16+I17+I18+I21+I22</f>
        <v>33509046.74887</v>
      </c>
      <c r="J14" s="207"/>
      <c r="K14" s="207">
        <f t="shared" si="6"/>
        <v>7813905.3442999991</v>
      </c>
      <c r="L14" s="207">
        <f t="shared" si="6"/>
        <v>9390278</v>
      </c>
      <c r="M14" s="207">
        <f t="shared" si="6"/>
        <v>11020582</v>
      </c>
      <c r="N14" s="207">
        <f t="shared" si="6"/>
        <v>12413116.721729999</v>
      </c>
      <c r="O14" s="207">
        <f t="shared" si="6"/>
        <v>12895346</v>
      </c>
      <c r="P14" s="207">
        <f t="shared" si="6"/>
        <v>13613068.4</v>
      </c>
      <c r="Q14" s="207">
        <f t="shared" si="6"/>
        <v>14718964</v>
      </c>
      <c r="R14" s="207">
        <f t="shared" si="6"/>
        <v>15968118</v>
      </c>
      <c r="S14" s="207">
        <f t="shared" si="6"/>
        <v>16690898.387827475</v>
      </c>
      <c r="T14" s="207">
        <f t="shared" si="6"/>
        <v>17620021.767574593</v>
      </c>
      <c r="U14" s="207">
        <f t="shared" si="6"/>
        <v>18528686.954999998</v>
      </c>
      <c r="V14" s="207">
        <f t="shared" si="6"/>
        <v>20410532.397</v>
      </c>
      <c r="W14" s="207">
        <f t="shared" si="6"/>
        <v>20891917.665410198</v>
      </c>
      <c r="X14" s="207">
        <f t="shared" si="6"/>
        <v>22562671.745820001</v>
      </c>
      <c r="Y14" s="207">
        <f t="shared" si="6"/>
        <v>22915550.64593</v>
      </c>
      <c r="Z14" s="207">
        <f t="shared" si="6"/>
        <v>23777319.18454</v>
      </c>
      <c r="AA14" s="207">
        <f t="shared" si="6"/>
        <v>25465614.951030001</v>
      </c>
      <c r="AB14" s="207">
        <f t="shared" ref="AB14:AC14" si="8">AB15+AB16+AB17+AB18+AB21+AB22</f>
        <v>27648732.61595</v>
      </c>
      <c r="AC14" s="207">
        <f t="shared" si="8"/>
        <v>30388496.557240002</v>
      </c>
      <c r="AD14" s="207">
        <f t="shared" ref="AD14:AE14" si="9">AD15+AD16+AD17+AD18+AD21+AD22</f>
        <v>33509046.74887</v>
      </c>
      <c r="AE14" s="207">
        <f t="shared" si="9"/>
        <v>34838981.714319997</v>
      </c>
      <c r="AF14" s="168"/>
      <c r="AG14" s="191">
        <f t="shared" si="0"/>
        <v>3.9688833150553382E-2</v>
      </c>
      <c r="AH14" s="191">
        <f t="shared" si="1"/>
        <v>0.36807934076262594</v>
      </c>
      <c r="AJ14" s="175"/>
    </row>
    <row r="15" spans="1:40" ht="13" customHeight="1">
      <c r="A15" s="198"/>
      <c r="B15" s="58" t="str">
        <f>IF('Summary | Sumário'!D$6=Names!B$3,Names!O4,Names!Z4)</f>
        <v>Real estate</v>
      </c>
      <c r="C15" s="208">
        <v>2519153</v>
      </c>
      <c r="D15" s="208">
        <v>3471356</v>
      </c>
      <c r="E15" s="208">
        <f>N15</f>
        <v>5121411</v>
      </c>
      <c r="F15" s="208">
        <f>R15</f>
        <v>6251813</v>
      </c>
      <c r="G15" s="208">
        <f>V15</f>
        <v>8583568</v>
      </c>
      <c r="H15" s="208">
        <f>Z15</f>
        <v>11250187</v>
      </c>
      <c r="I15" s="208">
        <f>AD15</f>
        <v>16194722</v>
      </c>
      <c r="J15" s="207"/>
      <c r="K15" s="208">
        <v>3925594.9876600001</v>
      </c>
      <c r="L15" s="208">
        <v>4211173</v>
      </c>
      <c r="M15" s="208">
        <v>4703223</v>
      </c>
      <c r="N15" s="208">
        <v>5121411</v>
      </c>
      <c r="O15" s="208">
        <v>5350879</v>
      </c>
      <c r="P15" s="208">
        <v>5647720</v>
      </c>
      <c r="Q15" s="208">
        <v>5930070</v>
      </c>
      <c r="R15" s="208">
        <v>6251813</v>
      </c>
      <c r="S15" s="208">
        <v>6616802</v>
      </c>
      <c r="T15" s="208">
        <v>7020433</v>
      </c>
      <c r="U15" s="208">
        <v>7527810</v>
      </c>
      <c r="V15" s="208">
        <v>8583568</v>
      </c>
      <c r="W15" s="208">
        <v>9124375.4985301998</v>
      </c>
      <c r="X15" s="208">
        <v>9703768</v>
      </c>
      <c r="Y15" s="208">
        <v>10266209</v>
      </c>
      <c r="Z15" s="208">
        <v>11250187</v>
      </c>
      <c r="AA15" s="208">
        <v>12200387</v>
      </c>
      <c r="AB15" s="208">
        <v>13312029</v>
      </c>
      <c r="AC15" s="208">
        <v>14524260</v>
      </c>
      <c r="AD15" s="208">
        <v>16194722</v>
      </c>
      <c r="AE15" s="208">
        <v>17330928</v>
      </c>
      <c r="AF15" s="164"/>
      <c r="AG15" s="190">
        <f t="shared" si="0"/>
        <v>7.0159030824981095E-2</v>
      </c>
      <c r="AH15" s="190">
        <f t="shared" si="1"/>
        <v>0.42052280800600839</v>
      </c>
      <c r="AJ15" s="175"/>
    </row>
    <row r="16" spans="1:40" ht="13" customHeight="1">
      <c r="A16" s="198"/>
      <c r="B16" s="53" t="str">
        <f>IF('Summary | Sumário'!D$6=Names!B$3,Names!O5,Names!Z5)</f>
        <v>Personal</v>
      </c>
      <c r="C16" s="207">
        <v>1002386</v>
      </c>
      <c r="D16" s="207">
        <v>1653554</v>
      </c>
      <c r="E16" s="207">
        <f t="shared" ref="E16:E22" si="10">N16</f>
        <v>3579283</v>
      </c>
      <c r="F16" s="207">
        <f t="shared" ref="F16:F22" si="11">R16</f>
        <v>5463781</v>
      </c>
      <c r="G16" s="207">
        <f t="shared" ref="G16:G22" si="12">V16</f>
        <v>7138744</v>
      </c>
      <c r="H16" s="207">
        <f t="shared" ref="H16:H22" si="13">Z16</f>
        <v>8236791</v>
      </c>
      <c r="I16" s="207">
        <f>AD16</f>
        <v>12113979</v>
      </c>
      <c r="J16" s="207"/>
      <c r="K16" s="207">
        <v>2123654.0038399999</v>
      </c>
      <c r="L16" s="207">
        <v>2620848</v>
      </c>
      <c r="M16" s="207">
        <v>3100640</v>
      </c>
      <c r="N16" s="207">
        <v>3579283</v>
      </c>
      <c r="O16" s="207">
        <v>3936755</v>
      </c>
      <c r="P16" s="207">
        <v>4460508.5</v>
      </c>
      <c r="Q16" s="207">
        <v>5057444</v>
      </c>
      <c r="R16" s="207">
        <v>5463781</v>
      </c>
      <c r="S16" s="207">
        <v>6081266</v>
      </c>
      <c r="T16" s="207">
        <v>6500480</v>
      </c>
      <c r="U16" s="207">
        <v>6663058</v>
      </c>
      <c r="V16" s="207">
        <v>7138744</v>
      </c>
      <c r="W16" s="207">
        <v>7437794.5190500002</v>
      </c>
      <c r="X16" s="207">
        <v>7555457</v>
      </c>
      <c r="Y16" s="207">
        <v>8003536</v>
      </c>
      <c r="Z16" s="207">
        <v>8236791</v>
      </c>
      <c r="AA16" s="207">
        <v>8909592</v>
      </c>
      <c r="AB16" s="207">
        <v>9955975</v>
      </c>
      <c r="AC16" s="207">
        <v>11070559</v>
      </c>
      <c r="AD16" s="207">
        <v>12113979</v>
      </c>
      <c r="AE16" s="207">
        <v>12777050</v>
      </c>
      <c r="AF16" s="207"/>
      <c r="AG16" s="191">
        <f t="shared" si="0"/>
        <v>5.4736020262211138E-2</v>
      </c>
      <c r="AH16" s="191">
        <f t="shared" si="1"/>
        <v>0.43407801389783063</v>
      </c>
      <c r="AJ16" s="175"/>
    </row>
    <row r="17" spans="1:37" ht="13" customHeight="1">
      <c r="A17" s="198"/>
      <c r="B17" s="58" t="str">
        <f>IF('Summary | Sumário'!D$6=Names!B$3,Names!O6,Names!Z6)</f>
        <v>SME</v>
      </c>
      <c r="C17" s="208">
        <v>472304</v>
      </c>
      <c r="D17" s="208">
        <v>1582869</v>
      </c>
      <c r="E17" s="208">
        <f t="shared" si="10"/>
        <v>3017159</v>
      </c>
      <c r="F17" s="208">
        <f t="shared" si="11"/>
        <v>3392500</v>
      </c>
      <c r="G17" s="208">
        <f t="shared" si="12"/>
        <v>3855754</v>
      </c>
      <c r="H17" s="208">
        <f t="shared" si="13"/>
        <v>3968591</v>
      </c>
      <c r="I17" s="208">
        <f>AD17</f>
        <v>4293595</v>
      </c>
      <c r="J17" s="207"/>
      <c r="K17" s="208">
        <v>1572378.93881</v>
      </c>
      <c r="L17" s="208">
        <v>2153921</v>
      </c>
      <c r="M17" s="208">
        <v>2703302</v>
      </c>
      <c r="N17" s="208">
        <v>3017159</v>
      </c>
      <c r="O17" s="208">
        <v>2929546</v>
      </c>
      <c r="P17" s="208">
        <v>2905002.5</v>
      </c>
      <c r="Q17" s="208">
        <v>2978792</v>
      </c>
      <c r="R17" s="208">
        <v>3392500</v>
      </c>
      <c r="S17" s="208">
        <v>3110840</v>
      </c>
      <c r="T17" s="208">
        <v>3215316</v>
      </c>
      <c r="U17" s="208">
        <v>3438526</v>
      </c>
      <c r="V17" s="208">
        <v>3855754</v>
      </c>
      <c r="W17" s="208">
        <v>3376688</v>
      </c>
      <c r="X17" s="208">
        <v>4359140</v>
      </c>
      <c r="Y17" s="208">
        <v>4149476</v>
      </c>
      <c r="Z17" s="208">
        <v>3968591</v>
      </c>
      <c r="AA17" s="208">
        <v>3747963</v>
      </c>
      <c r="AB17" s="208">
        <v>3683260</v>
      </c>
      <c r="AC17" s="208">
        <v>3916890</v>
      </c>
      <c r="AD17" s="208">
        <v>4293595</v>
      </c>
      <c r="AE17" s="208">
        <v>3677790</v>
      </c>
      <c r="AF17" s="145"/>
      <c r="AG17" s="190">
        <f t="shared" si="0"/>
        <v>-0.14342410031686736</v>
      </c>
      <c r="AH17" s="190">
        <f t="shared" si="1"/>
        <v>-1.8722970317476495E-2</v>
      </c>
      <c r="AJ17" s="175"/>
    </row>
    <row r="18" spans="1:37" ht="13" customHeight="1">
      <c r="A18" s="198"/>
      <c r="B18" s="53" t="str">
        <f>IF('Summary | Sumário'!D6=Names!B3,Names!V7,Names!W7)</f>
        <v>Non-transactor credit card portfolio</v>
      </c>
      <c r="C18" s="207">
        <f>C19+C20</f>
        <v>716705.38699999999</v>
      </c>
      <c r="D18" s="207">
        <f t="shared" ref="D18:AA18" si="14">D19+D20</f>
        <v>230211.82499999995</v>
      </c>
      <c r="E18" s="207">
        <f t="shared" si="14"/>
        <v>676005</v>
      </c>
      <c r="F18" s="207">
        <f t="shared" si="14"/>
        <v>1458767</v>
      </c>
      <c r="G18" s="207">
        <f t="shared" si="14"/>
        <v>1971266.3970000008</v>
      </c>
      <c r="H18" s="207">
        <f t="shared" si="14"/>
        <v>2249854.1845399998</v>
      </c>
      <c r="I18" s="207">
        <f t="shared" ref="I18" si="15">I19+I20</f>
        <v>3520120.7488700002</v>
      </c>
      <c r="J18" s="207"/>
      <c r="K18" s="207">
        <f t="shared" si="14"/>
        <v>310705.48867999995</v>
      </c>
      <c r="L18" s="207">
        <f t="shared" si="14"/>
        <v>466529</v>
      </c>
      <c r="M18" s="207">
        <f t="shared" si="14"/>
        <v>526729</v>
      </c>
      <c r="N18" s="207">
        <f t="shared" si="14"/>
        <v>676005</v>
      </c>
      <c r="O18" s="207">
        <f t="shared" si="14"/>
        <v>836644</v>
      </c>
      <c r="P18" s="207">
        <f t="shared" si="14"/>
        <v>1084285.4000000004</v>
      </c>
      <c r="Q18" s="207">
        <f t="shared" si="14"/>
        <v>1309633</v>
      </c>
      <c r="R18" s="207">
        <f t="shared" si="14"/>
        <v>1458767</v>
      </c>
      <c r="S18" s="207">
        <f t="shared" si="14"/>
        <v>1592763.3878274746</v>
      </c>
      <c r="T18" s="207">
        <f t="shared" si="14"/>
        <v>1777050.7675745916</v>
      </c>
      <c r="U18" s="207">
        <f t="shared" si="14"/>
        <v>1882205.9550000001</v>
      </c>
      <c r="V18" s="207">
        <f t="shared" si="14"/>
        <v>1971266.3970000008</v>
      </c>
      <c r="W18" s="207">
        <f t="shared" si="14"/>
        <v>2176763.9201100003</v>
      </c>
      <c r="X18" s="207">
        <f t="shared" si="14"/>
        <v>2264113.5148200002</v>
      </c>
      <c r="Y18" s="207">
        <f t="shared" si="14"/>
        <v>2206943.6459299996</v>
      </c>
      <c r="Z18" s="207">
        <f t="shared" si="14"/>
        <v>2249854.1845399998</v>
      </c>
      <c r="AA18" s="207">
        <f t="shared" si="14"/>
        <v>2629254.9510299992</v>
      </c>
      <c r="AB18" s="207">
        <f t="shared" ref="AB18:AC18" si="16">AB19+AB20</f>
        <v>2865086.6159499995</v>
      </c>
      <c r="AC18" s="207">
        <f t="shared" si="16"/>
        <v>3242380.55724</v>
      </c>
      <c r="AD18" s="207">
        <f t="shared" ref="AD18:AE18" si="17">AD19+AD20</f>
        <v>3520120.7488700002</v>
      </c>
      <c r="AE18" s="207">
        <f t="shared" si="17"/>
        <v>3957298.7143199984</v>
      </c>
      <c r="AF18" s="145"/>
      <c r="AG18" s="191">
        <f t="shared" si="0"/>
        <v>0.12419402533005086</v>
      </c>
      <c r="AH18" s="191">
        <f t="shared" si="1"/>
        <v>0.50510269563997356</v>
      </c>
      <c r="AJ18" s="175"/>
    </row>
    <row r="19" spans="1:37" ht="13" customHeight="1">
      <c r="A19" s="198"/>
      <c r="B19" s="569" t="str">
        <f>IF('Summary | Sumário'!D$6=Names!B$3,Names!O7,Names!Z7)</f>
        <v>Credit cards</v>
      </c>
      <c r="C19" s="208">
        <v>783544</v>
      </c>
      <c r="D19" s="208">
        <v>1904642</v>
      </c>
      <c r="E19" s="208">
        <f t="shared" si="10"/>
        <v>4798318</v>
      </c>
      <c r="F19" s="208">
        <f t="shared" si="11"/>
        <v>6870565</v>
      </c>
      <c r="G19" s="208">
        <f t="shared" si="12"/>
        <v>9461277</v>
      </c>
      <c r="H19" s="208">
        <f t="shared" si="13"/>
        <v>11799890</v>
      </c>
      <c r="I19" s="208">
        <f>AD19</f>
        <v>15262178</v>
      </c>
      <c r="J19" s="207"/>
      <c r="K19" s="208">
        <v>2404920.48868</v>
      </c>
      <c r="L19" s="208">
        <v>3116734</v>
      </c>
      <c r="M19" s="208">
        <v>3807684</v>
      </c>
      <c r="N19" s="208">
        <v>4798318</v>
      </c>
      <c r="O19" s="208">
        <v>5315930</v>
      </c>
      <c r="P19" s="208">
        <v>5981406.4000000004</v>
      </c>
      <c r="Q19" s="208">
        <v>6411572</v>
      </c>
      <c r="R19" s="208">
        <v>6870565</v>
      </c>
      <c r="S19" s="208">
        <v>7273032</v>
      </c>
      <c r="T19" s="208">
        <v>7681011</v>
      </c>
      <c r="U19" s="208">
        <v>8650139</v>
      </c>
      <c r="V19" s="208">
        <v>9461277</v>
      </c>
      <c r="W19" s="208">
        <v>10111845.135790002</v>
      </c>
      <c r="X19" s="208">
        <v>10508082</v>
      </c>
      <c r="Y19" s="208">
        <v>10769815</v>
      </c>
      <c r="Z19" s="208">
        <v>11799890</v>
      </c>
      <c r="AA19" s="208">
        <v>12251920</v>
      </c>
      <c r="AB19" s="208">
        <v>12995860</v>
      </c>
      <c r="AC19" s="208">
        <v>13967468</v>
      </c>
      <c r="AD19" s="208">
        <v>15262178</v>
      </c>
      <c r="AE19" s="208">
        <v>15603682</v>
      </c>
      <c r="AF19" s="207"/>
      <c r="AG19" s="190">
        <f t="shared" si="0"/>
        <v>2.2375836528705229E-2</v>
      </c>
      <c r="AH19" s="190">
        <f t="shared" si="1"/>
        <v>0.27357034652527923</v>
      </c>
      <c r="AJ19" s="175"/>
    </row>
    <row r="20" spans="1:37" ht="13" customHeight="1">
      <c r="A20" s="198"/>
      <c r="B20" s="525" t="str">
        <f>IF('Summary | Sumário'!D$6=Names!B$3,Names!AJ27,Names!AK27)</f>
        <v>(-) Non int. CC receivables</v>
      </c>
      <c r="C20" s="207">
        <v>-66838.612999999998</v>
      </c>
      <c r="D20" s="207">
        <v>-1674430.175</v>
      </c>
      <c r="E20" s="207">
        <v>-4122313</v>
      </c>
      <c r="F20" s="207">
        <v>-5411798</v>
      </c>
      <c r="G20" s="207">
        <v>-7490010.6029999992</v>
      </c>
      <c r="H20" s="207">
        <v>-9550035.8154600002</v>
      </c>
      <c r="I20" s="207">
        <v>-11742057.25113</v>
      </c>
      <c r="J20" s="207"/>
      <c r="K20" s="207">
        <v>-2094215</v>
      </c>
      <c r="L20" s="207">
        <v>-2650205</v>
      </c>
      <c r="M20" s="207">
        <v>-3280955</v>
      </c>
      <c r="N20" s="207">
        <v>-4122313</v>
      </c>
      <c r="O20" s="207">
        <v>-4479286</v>
      </c>
      <c r="P20" s="207">
        <v>-4897121</v>
      </c>
      <c r="Q20" s="207">
        <v>-5101939</v>
      </c>
      <c r="R20" s="207">
        <v>-5411798</v>
      </c>
      <c r="S20" s="207">
        <v>-5680268.6121725254</v>
      </c>
      <c r="T20" s="207">
        <v>-5903960.2324254084</v>
      </c>
      <c r="U20" s="207">
        <v>-6767933.0449999999</v>
      </c>
      <c r="V20" s="207">
        <v>-7490010.6029999992</v>
      </c>
      <c r="W20" s="207">
        <v>-7935081.2156800013</v>
      </c>
      <c r="X20" s="207">
        <v>-8243968.4851799998</v>
      </c>
      <c r="Y20" s="207">
        <v>-8562871.3540700004</v>
      </c>
      <c r="Z20" s="207">
        <v>-9550035.8154600002</v>
      </c>
      <c r="AA20" s="207">
        <v>-9622665.0489700008</v>
      </c>
      <c r="AB20" s="207">
        <v>-10130773.38405</v>
      </c>
      <c r="AC20" s="207">
        <v>-10725087.44276</v>
      </c>
      <c r="AD20" s="207">
        <v>-11742057.25113</v>
      </c>
      <c r="AE20" s="207">
        <v>-11646383.285680002</v>
      </c>
      <c r="AF20" s="207"/>
      <c r="AG20" s="191">
        <f t="shared" si="0"/>
        <v>-8.1479730002841366E-3</v>
      </c>
      <c r="AH20" s="191">
        <f t="shared" si="1"/>
        <v>0.21030745915099858</v>
      </c>
      <c r="AJ20" s="175"/>
    </row>
    <row r="21" spans="1:37" ht="13" customHeight="1">
      <c r="A21" s="198"/>
      <c r="B21" s="58" t="str">
        <f>IF('Summary | Sumário'!D$6=Names!B$3,Names!O8,Names!Z8)</f>
        <v>Agribusiness</v>
      </c>
      <c r="C21" s="208">
        <v>0</v>
      </c>
      <c r="D21" s="208">
        <v>177637</v>
      </c>
      <c r="E21" s="208">
        <f t="shared" si="10"/>
        <v>700191</v>
      </c>
      <c r="F21" s="208">
        <f t="shared" si="11"/>
        <v>719669</v>
      </c>
      <c r="G21" s="208">
        <f t="shared" si="12"/>
        <v>744958</v>
      </c>
      <c r="H21" s="208">
        <f t="shared" si="13"/>
        <v>340834</v>
      </c>
      <c r="I21" s="208">
        <f>AD21</f>
        <v>386706</v>
      </c>
      <c r="J21" s="207"/>
      <c r="K21" s="208">
        <v>216360.92530999999</v>
      </c>
      <c r="L21" s="208">
        <v>424570</v>
      </c>
      <c r="M21" s="208">
        <v>545234</v>
      </c>
      <c r="N21" s="208">
        <v>700191</v>
      </c>
      <c r="O21" s="208">
        <v>643194</v>
      </c>
      <c r="P21" s="208">
        <v>490009</v>
      </c>
      <c r="Q21" s="208">
        <v>627390</v>
      </c>
      <c r="R21" s="208">
        <v>719669</v>
      </c>
      <c r="S21" s="208">
        <v>750934</v>
      </c>
      <c r="T21" s="208">
        <v>724143</v>
      </c>
      <c r="U21" s="208">
        <v>764068</v>
      </c>
      <c r="V21" s="208">
        <v>744958</v>
      </c>
      <c r="W21" s="208">
        <v>807923.72771999997</v>
      </c>
      <c r="X21" s="208">
        <v>845105</v>
      </c>
      <c r="Y21" s="208">
        <v>516852</v>
      </c>
      <c r="Z21" s="208">
        <v>340834</v>
      </c>
      <c r="AA21" s="208">
        <v>285462</v>
      </c>
      <c r="AB21" s="208">
        <v>289642</v>
      </c>
      <c r="AC21" s="208">
        <v>338943</v>
      </c>
      <c r="AD21" s="208">
        <v>386706</v>
      </c>
      <c r="AE21" s="208">
        <v>432625</v>
      </c>
      <c r="AF21" s="168"/>
      <c r="AG21" s="190">
        <f t="shared" si="0"/>
        <v>0.11874395535626547</v>
      </c>
      <c r="AH21" s="190">
        <f t="shared" si="1"/>
        <v>0.51552570920122465</v>
      </c>
      <c r="AJ21" s="175"/>
    </row>
    <row r="22" spans="1:37" ht="13" customHeight="1">
      <c r="A22" s="198"/>
      <c r="B22" s="53" t="str">
        <f>IF('Summary | Sumário'!D$6=Names!B$3,Names!O13,Names!Z13)</f>
        <v>(-) Provision for expected loss</v>
      </c>
      <c r="C22" s="207">
        <v>-215563</v>
      </c>
      <c r="D22" s="207">
        <v>-282355</v>
      </c>
      <c r="E22" s="207">
        <f t="shared" si="10"/>
        <v>-680932.27827000001</v>
      </c>
      <c r="F22" s="207">
        <f t="shared" si="11"/>
        <v>-1318412</v>
      </c>
      <c r="G22" s="207">
        <f t="shared" si="12"/>
        <v>-1883758</v>
      </c>
      <c r="H22" s="207">
        <f t="shared" si="13"/>
        <v>-2268938</v>
      </c>
      <c r="I22" s="207">
        <f>AD22</f>
        <v>-3000076</v>
      </c>
      <c r="J22" s="207"/>
      <c r="K22" s="207">
        <v>-334789</v>
      </c>
      <c r="L22" s="207">
        <v>-486763</v>
      </c>
      <c r="M22" s="207">
        <v>-558546</v>
      </c>
      <c r="N22" s="207">
        <v>-680932.27827000001</v>
      </c>
      <c r="O22" s="207">
        <v>-801672</v>
      </c>
      <c r="P22" s="207">
        <v>-974457</v>
      </c>
      <c r="Q22" s="207">
        <v>-1184365</v>
      </c>
      <c r="R22" s="207">
        <v>-1318412</v>
      </c>
      <c r="S22" s="207">
        <v>-1461707</v>
      </c>
      <c r="T22" s="207">
        <v>-1617401</v>
      </c>
      <c r="U22" s="207">
        <v>-1746981</v>
      </c>
      <c r="V22" s="207">
        <v>-1883758</v>
      </c>
      <c r="W22" s="207">
        <v>-2031628</v>
      </c>
      <c r="X22" s="207">
        <v>-2164911.7689999999</v>
      </c>
      <c r="Y22" s="207">
        <v>-2227466</v>
      </c>
      <c r="Z22" s="207">
        <v>-2268938</v>
      </c>
      <c r="AA22" s="207">
        <v>-2307044</v>
      </c>
      <c r="AB22" s="207">
        <v>-2457260</v>
      </c>
      <c r="AC22" s="207">
        <v>-2704536</v>
      </c>
      <c r="AD22" s="207">
        <v>-3000076</v>
      </c>
      <c r="AE22" s="207">
        <v>-3336710</v>
      </c>
      <c r="AF22" s="202"/>
      <c r="AG22" s="209">
        <f t="shared" si="0"/>
        <v>0.11220849071823524</v>
      </c>
      <c r="AH22" s="209">
        <f t="shared" si="1"/>
        <v>0.44631398447537185</v>
      </c>
      <c r="AI22" s="329"/>
      <c r="AJ22" s="175"/>
    </row>
    <row r="23" spans="1:37" ht="13" customHeight="1">
      <c r="A23" s="198"/>
      <c r="B23" s="515" t="str">
        <f>IF('Summary | Sumário'!D$6=Names!B$3,Names!V9,Names!W9)</f>
        <v>Total interest earning assets</v>
      </c>
      <c r="C23" s="516">
        <f t="shared" ref="C23:G23" si="18">C5+C6+C9+C10+C13+C14</f>
        <v>9386236.3870000001</v>
      </c>
      <c r="D23" s="516">
        <f t="shared" si="18"/>
        <v>17040214.824999999</v>
      </c>
      <c r="E23" s="516">
        <f t="shared" si="18"/>
        <v>30183988.721730001</v>
      </c>
      <c r="F23" s="516">
        <f t="shared" si="18"/>
        <v>36830160</v>
      </c>
      <c r="G23" s="516">
        <f t="shared" si="18"/>
        <v>47893695.397</v>
      </c>
      <c r="H23" s="516">
        <f t="shared" ref="H23:Z23" si="19">H5+H6+H9+H10+H13+H14</f>
        <v>60232269.321271598</v>
      </c>
      <c r="I23" s="516">
        <f>I5+I6+I9+I10+I13+I14</f>
        <v>78827120.74887</v>
      </c>
      <c r="J23" s="505"/>
      <c r="K23" s="516">
        <f t="shared" si="19"/>
        <v>17581215.344299998</v>
      </c>
      <c r="L23" s="516">
        <f t="shared" si="19"/>
        <v>25603653.001000002</v>
      </c>
      <c r="M23" s="516">
        <f>M5+M6+M9+M10+M13+M14</f>
        <v>28461059.298</v>
      </c>
      <c r="N23" s="516">
        <f t="shared" si="19"/>
        <v>30183988.721730001</v>
      </c>
      <c r="O23" s="516">
        <f t="shared" si="19"/>
        <v>30214049</v>
      </c>
      <c r="P23" s="516">
        <f t="shared" si="19"/>
        <v>31875026.399999999</v>
      </c>
      <c r="Q23" s="516">
        <f t="shared" si="19"/>
        <v>35020294</v>
      </c>
      <c r="R23" s="516">
        <f t="shared" si="19"/>
        <v>36830160</v>
      </c>
      <c r="S23" s="516">
        <f t="shared" si="19"/>
        <v>37753420.387827471</v>
      </c>
      <c r="T23" s="516">
        <f t="shared" si="19"/>
        <v>39709390.767574593</v>
      </c>
      <c r="U23" s="516">
        <f t="shared" si="19"/>
        <v>43274080.453478865</v>
      </c>
      <c r="V23" s="516">
        <f t="shared" si="19"/>
        <v>47893695.397</v>
      </c>
      <c r="W23" s="516">
        <f t="shared" si="19"/>
        <v>48715213.614263885</v>
      </c>
      <c r="X23" s="516">
        <f t="shared" si="19"/>
        <v>52472376.744180001</v>
      </c>
      <c r="Y23" s="516">
        <f t="shared" si="19"/>
        <v>54893344.456663564</v>
      </c>
      <c r="Z23" s="516">
        <f t="shared" si="19"/>
        <v>60232269.321271598</v>
      </c>
      <c r="AA23" s="516">
        <f>AA5+AA6+AA9+AA10+AA13+AA14</f>
        <v>63031684.951030001</v>
      </c>
      <c r="AB23" s="516">
        <f>AB5+AB6+AB9+AB10+AB13+AB14</f>
        <v>66589592.615950003</v>
      </c>
      <c r="AC23" s="516">
        <f>AC5+AC6+AC9+AC10+AC13+AC14</f>
        <v>73305092.557240009</v>
      </c>
      <c r="AD23" s="516">
        <f>AD5+AD6+AD9+AD10+AD13+AD14</f>
        <v>78827120.74887</v>
      </c>
      <c r="AE23" s="516">
        <f>AE5+AE6+AE9+AE10+AE13+AE14</f>
        <v>78985655.714320004</v>
      </c>
      <c r="AF23" s="505"/>
      <c r="AG23" s="614">
        <f t="shared" si="0"/>
        <v>2.0111728545189056E-3</v>
      </c>
      <c r="AH23" s="614">
        <f t="shared" si="1"/>
        <v>0.25311033293310836</v>
      </c>
      <c r="AI23" s="147"/>
      <c r="AJ23" s="175"/>
      <c r="AK23" s="195"/>
    </row>
    <row r="24" spans="1:37" ht="13" customHeight="1">
      <c r="A24" s="198"/>
      <c r="B24" s="120"/>
      <c r="C24" s="563"/>
      <c r="D24" s="563"/>
      <c r="E24" s="563"/>
      <c r="F24" s="563"/>
      <c r="G24" s="563"/>
      <c r="H24" s="563"/>
      <c r="I24" s="563"/>
      <c r="J24" s="563"/>
      <c r="K24" s="563"/>
      <c r="L24" s="563"/>
      <c r="M24" s="563"/>
      <c r="N24" s="563"/>
      <c r="O24" s="563"/>
      <c r="P24" s="563"/>
      <c r="Q24" s="563"/>
      <c r="R24" s="563"/>
      <c r="S24" s="563"/>
      <c r="T24" s="563"/>
      <c r="U24" s="563"/>
      <c r="V24" s="563"/>
      <c r="W24" s="563"/>
      <c r="X24" s="563"/>
      <c r="Y24" s="563"/>
      <c r="Z24" s="563"/>
      <c r="AA24" s="563"/>
      <c r="AB24" s="563"/>
      <c r="AC24" s="563"/>
      <c r="AD24" s="563"/>
      <c r="AE24" s="563"/>
      <c r="AF24" s="209"/>
      <c r="AG24" s="342"/>
      <c r="AH24" s="342"/>
      <c r="AJ24" s="175"/>
    </row>
    <row r="25" spans="1:37" ht="13" customHeight="1">
      <c r="B25" s="120"/>
    </row>
    <row r="26" spans="1:37" ht="13" customHeight="1">
      <c r="A26" s="198"/>
      <c r="B26" s="120"/>
      <c r="C26" s="168"/>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7"/>
      <c r="AH26" s="167"/>
    </row>
    <row r="27" spans="1:37" ht="13" customHeight="1">
      <c r="A27" s="198"/>
      <c r="B27" s="120"/>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91"/>
      <c r="AH27" s="191"/>
    </row>
    <row r="28" spans="1:37" ht="13" customHeight="1">
      <c r="A28" s="198"/>
      <c r="B28" s="120"/>
      <c r="C28" s="560"/>
      <c r="D28" s="560"/>
      <c r="E28" s="202"/>
      <c r="F28" s="202"/>
      <c r="G28" s="202"/>
      <c r="H28" s="202"/>
      <c r="I28" s="202"/>
      <c r="J28" s="215"/>
      <c r="K28" s="207"/>
      <c r="L28" s="207"/>
      <c r="M28" s="207"/>
      <c r="N28" s="207"/>
      <c r="O28" s="207"/>
      <c r="P28" s="207"/>
      <c r="Q28" s="207"/>
      <c r="R28" s="207"/>
      <c r="S28" s="207"/>
      <c r="T28" s="207"/>
      <c r="U28" s="207"/>
      <c r="V28" s="207"/>
      <c r="W28" s="207"/>
      <c r="X28" s="207"/>
      <c r="Y28" s="207"/>
      <c r="Z28" s="207"/>
      <c r="AA28" s="207"/>
      <c r="AB28" s="207"/>
      <c r="AC28" s="207"/>
      <c r="AD28" s="207"/>
      <c r="AE28" s="207"/>
      <c r="AF28" s="215"/>
      <c r="AG28" s="209"/>
      <c r="AH28" s="209"/>
    </row>
    <row r="29" spans="1:37" ht="13" customHeight="1">
      <c r="A29" s="198"/>
      <c r="B29" s="120"/>
      <c r="C29" s="202"/>
      <c r="D29" s="202"/>
      <c r="E29" s="202"/>
      <c r="F29" s="202"/>
      <c r="G29" s="202"/>
      <c r="H29" s="202"/>
      <c r="I29" s="202"/>
      <c r="J29" s="215"/>
      <c r="K29" s="202"/>
      <c r="L29" s="202"/>
      <c r="M29" s="202"/>
      <c r="N29" s="202"/>
      <c r="O29" s="202"/>
      <c r="P29" s="202"/>
      <c r="Q29" s="202"/>
      <c r="R29" s="202"/>
      <c r="S29" s="202"/>
      <c r="T29" s="202"/>
      <c r="U29" s="202"/>
      <c r="V29" s="202"/>
      <c r="W29" s="202"/>
      <c r="X29" s="202"/>
      <c r="Y29" s="202"/>
      <c r="Z29" s="202"/>
      <c r="AA29" s="202"/>
      <c r="AB29" s="202"/>
      <c r="AC29" s="202"/>
      <c r="AD29" s="202"/>
      <c r="AE29" s="202"/>
      <c r="AF29" s="215"/>
      <c r="AG29" s="215"/>
      <c r="AH29" s="215"/>
    </row>
    <row r="30" spans="1:37" ht="13" customHeight="1">
      <c r="A30" s="198"/>
      <c r="B30" s="120"/>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15"/>
      <c r="AH30" s="215"/>
      <c r="AI30" s="329"/>
      <c r="AJ30" s="329"/>
    </row>
    <row r="31" spans="1:37" ht="13" customHeight="1">
      <c r="A31" s="198"/>
      <c r="B31" s="120"/>
      <c r="C31" s="318"/>
      <c r="D31" s="318"/>
      <c r="E31" s="318"/>
      <c r="F31" s="318"/>
      <c r="G31" s="318"/>
      <c r="H31" s="318"/>
      <c r="I31" s="318"/>
      <c r="J31" s="145"/>
      <c r="K31" s="318"/>
      <c r="L31" s="318"/>
      <c r="M31" s="318"/>
      <c r="N31" s="318"/>
      <c r="O31" s="318"/>
      <c r="P31" s="318"/>
      <c r="Q31" s="318"/>
      <c r="R31" s="318"/>
      <c r="S31" s="318"/>
      <c r="T31" s="318"/>
      <c r="U31" s="318"/>
      <c r="V31" s="318"/>
      <c r="W31" s="318"/>
      <c r="X31" s="318"/>
      <c r="Y31" s="318"/>
      <c r="Z31" s="318"/>
      <c r="AA31" s="318"/>
      <c r="AB31" s="318"/>
      <c r="AC31" s="318"/>
      <c r="AD31" s="318"/>
      <c r="AE31" s="318"/>
      <c r="AF31" s="145"/>
      <c r="AG31" s="561"/>
      <c r="AH31" s="561"/>
    </row>
    <row r="32" spans="1:37" ht="13" customHeight="1">
      <c r="A32" s="198"/>
      <c r="B32" s="120"/>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09"/>
      <c r="AH32" s="209"/>
    </row>
    <row r="33" spans="1:36" ht="13" customHeight="1">
      <c r="A33" s="198"/>
      <c r="B33" s="120"/>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7"/>
      <c r="AH33" s="167"/>
    </row>
    <row r="34" spans="1:36" ht="13" customHeight="1">
      <c r="A34" s="198"/>
      <c r="B34" s="120"/>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9"/>
      <c r="AH34" s="209"/>
    </row>
    <row r="35" spans="1:36" ht="13" customHeight="1">
      <c r="A35" s="198"/>
      <c r="B35" s="120"/>
      <c r="C35" s="209"/>
      <c r="D35" s="209"/>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495"/>
      <c r="AH35" s="339"/>
    </row>
    <row r="36" spans="1:36" ht="13" customHeight="1">
      <c r="A36" s="198"/>
      <c r="B36" s="120"/>
      <c r="C36" s="209"/>
      <c r="D36" s="209"/>
      <c r="E36" s="209"/>
      <c r="F36" s="209"/>
      <c r="G36" s="209"/>
      <c r="H36" s="209"/>
      <c r="I36" s="209"/>
      <c r="J36" s="209"/>
      <c r="K36" s="209"/>
      <c r="L36" s="209"/>
      <c r="M36" s="209"/>
      <c r="N36" s="209"/>
      <c r="O36" s="209"/>
      <c r="P36" s="209"/>
      <c r="Q36" s="209"/>
      <c r="R36" s="209"/>
      <c r="S36" s="209"/>
      <c r="T36" s="209"/>
      <c r="U36" s="209"/>
      <c r="V36" s="209"/>
      <c r="W36" s="209"/>
      <c r="X36" s="209"/>
      <c r="Y36" s="209"/>
      <c r="Z36" s="209"/>
      <c r="AA36" s="209"/>
      <c r="AB36" s="209"/>
      <c r="AC36" s="209"/>
      <c r="AD36" s="209"/>
      <c r="AE36" s="209"/>
      <c r="AF36" s="209"/>
      <c r="AG36" s="495"/>
      <c r="AH36" s="339"/>
    </row>
    <row r="38" spans="1:36" ht="13" customHeight="1">
      <c r="A38" s="198"/>
      <c r="B38" s="120"/>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7"/>
      <c r="AH38" s="167"/>
    </row>
    <row r="39" spans="1:36" ht="13" customHeight="1">
      <c r="A39" s="198"/>
      <c r="B39" s="120"/>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9"/>
      <c r="AH39" s="209"/>
      <c r="AI39" s="329"/>
      <c r="AJ39" s="329"/>
    </row>
    <row r="40" spans="1:36" s="143" customFormat="1" ht="13" customHeight="1">
      <c r="A40" s="142"/>
      <c r="B40" s="120"/>
      <c r="C40" s="542"/>
      <c r="D40" s="542"/>
      <c r="E40" s="542"/>
      <c r="F40" s="542"/>
      <c r="G40" s="542"/>
      <c r="H40" s="542"/>
      <c r="I40" s="542"/>
      <c r="J40" s="542"/>
      <c r="K40" s="542"/>
      <c r="L40" s="542"/>
      <c r="M40" s="542"/>
      <c r="N40" s="542"/>
      <c r="O40" s="542"/>
      <c r="P40" s="542"/>
      <c r="Q40" s="542"/>
      <c r="R40" s="542"/>
      <c r="S40" s="542"/>
      <c r="T40" s="542"/>
      <c r="U40" s="542"/>
      <c r="V40" s="542"/>
      <c r="W40" s="542"/>
      <c r="X40" s="542"/>
      <c r="Y40" s="542"/>
      <c r="Z40" s="542"/>
      <c r="AA40" s="542"/>
      <c r="AB40" s="542"/>
      <c r="AC40" s="542"/>
      <c r="AD40" s="542"/>
      <c r="AE40" s="542"/>
      <c r="AF40" s="542"/>
      <c r="AG40" s="308"/>
      <c r="AH40" s="308"/>
      <c r="AI40" s="209"/>
    </row>
    <row r="41" spans="1:36" s="156" customFormat="1" ht="13" customHeight="1">
      <c r="A41" s="211"/>
      <c r="B41" s="120"/>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318"/>
      <c r="AH41" s="318"/>
      <c r="AI41" s="209"/>
    </row>
    <row r="42" spans="1:36" ht="13" customHeight="1">
      <c r="B42" s="120"/>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37"/>
      <c r="AH42" s="337"/>
    </row>
    <row r="43" spans="1:36" ht="13" customHeight="1">
      <c r="B43" s="120"/>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37"/>
      <c r="AH43" s="337"/>
    </row>
    <row r="44" spans="1:36" ht="13" customHeight="1">
      <c r="B44" s="120"/>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337"/>
      <c r="AH44" s="337"/>
    </row>
    <row r="45" spans="1:36" ht="13" customHeight="1">
      <c r="B45" s="120"/>
      <c r="C45" s="213"/>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337"/>
      <c r="AH45" s="337"/>
    </row>
    <row r="46" spans="1:36" ht="13" customHeight="1">
      <c r="B46" s="120"/>
      <c r="C46" s="213"/>
      <c r="D46" s="213"/>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337"/>
      <c r="AH46" s="337"/>
    </row>
    <row r="47" spans="1:36" ht="13" customHeight="1">
      <c r="B47" s="120"/>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337"/>
      <c r="AH47" s="337"/>
    </row>
    <row r="48" spans="1:36" ht="13" customHeight="1">
      <c r="B48" s="120"/>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337"/>
      <c r="AH48" s="337"/>
    </row>
    <row r="49" spans="1:37" ht="13" customHeight="1">
      <c r="B49" s="120"/>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337"/>
      <c r="AH49" s="337"/>
    </row>
    <row r="50" spans="1:37" ht="13" customHeight="1">
      <c r="B50" s="120"/>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337"/>
      <c r="AH50" s="337"/>
    </row>
    <row r="51" spans="1:37" ht="13" customHeight="1">
      <c r="B51" s="120"/>
      <c r="C51" s="213"/>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337"/>
      <c r="AH51" s="337"/>
      <c r="AI51" s="202"/>
      <c r="AJ51" s="202"/>
    </row>
    <row r="52" spans="1:37" ht="13" customHeight="1">
      <c r="A52" s="198"/>
      <c r="B52" s="120"/>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337"/>
      <c r="AH52" s="337"/>
      <c r="AI52" s="202"/>
      <c r="AJ52" s="202"/>
      <c r="AK52" s="195"/>
    </row>
    <row r="53" spans="1:37" ht="13" customHeight="1">
      <c r="B53" s="120"/>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337"/>
      <c r="AH53" s="337"/>
      <c r="AI53" s="202"/>
      <c r="AJ53" s="202"/>
    </row>
    <row r="54" spans="1:37" ht="13" customHeight="1">
      <c r="B54" s="120"/>
      <c r="C54" s="213"/>
      <c r="D54" s="213"/>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337"/>
      <c r="AH54" s="337"/>
      <c r="AI54" s="202"/>
      <c r="AJ54" s="202"/>
    </row>
    <row r="55" spans="1:37" ht="13" customHeight="1">
      <c r="B55" s="120"/>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337"/>
      <c r="AH55" s="337"/>
      <c r="AI55" s="202"/>
      <c r="AJ55" s="202"/>
    </row>
    <row r="56" spans="1:37" ht="13" customHeight="1">
      <c r="B56" s="120"/>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337"/>
      <c r="AH56" s="337"/>
      <c r="AI56" s="202"/>
      <c r="AJ56" s="202"/>
    </row>
    <row r="57" spans="1:37" ht="13" customHeight="1">
      <c r="B57" s="120"/>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337"/>
      <c r="AH57" s="337"/>
      <c r="AI57" s="202"/>
      <c r="AJ57" s="202"/>
    </row>
    <row r="58" spans="1:37" ht="13" customHeight="1">
      <c r="B58" s="120"/>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337"/>
      <c r="AH58" s="337"/>
      <c r="AI58" s="202"/>
      <c r="AJ58" s="202"/>
    </row>
    <row r="59" spans="1:37" ht="13" customHeight="1">
      <c r="B59" s="120"/>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337"/>
      <c r="AH59" s="337"/>
      <c r="AI59" s="202"/>
      <c r="AJ59" s="202"/>
    </row>
    <row r="60" spans="1:37" ht="13" customHeight="1">
      <c r="B60" s="120"/>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337"/>
      <c r="AH60" s="337"/>
      <c r="AI60" s="202"/>
      <c r="AJ60" s="202"/>
    </row>
    <row r="61" spans="1:37" ht="13" customHeight="1">
      <c r="B61" s="120"/>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337"/>
      <c r="AH61" s="337"/>
      <c r="AI61" s="202"/>
      <c r="AJ61" s="202"/>
    </row>
    <row r="62" spans="1:37" ht="13" customHeight="1">
      <c r="B62" s="120"/>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337"/>
      <c r="AH62" s="337"/>
      <c r="AI62" s="202"/>
      <c r="AJ62" s="202"/>
    </row>
    <row r="63" spans="1:37" ht="13" customHeight="1">
      <c r="B63" s="120"/>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337"/>
      <c r="AH63" s="337"/>
      <c r="AI63" s="202"/>
      <c r="AJ63" s="202"/>
    </row>
    <row r="64" spans="1:37" ht="13" customHeight="1">
      <c r="B64" s="120"/>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337"/>
      <c r="AH64" s="337"/>
      <c r="AI64" s="202"/>
      <c r="AJ64" s="202"/>
    </row>
    <row r="65" spans="1:37" ht="13" customHeight="1">
      <c r="B65" s="120"/>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337"/>
      <c r="AH65" s="337"/>
      <c r="AI65" s="202"/>
      <c r="AJ65" s="202"/>
    </row>
    <row r="66" spans="1:37" ht="13" customHeight="1">
      <c r="B66" s="120"/>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337"/>
      <c r="AH66" s="337"/>
      <c r="AI66" s="202"/>
      <c r="AJ66" s="202"/>
    </row>
    <row r="67" spans="1:37" ht="13" customHeight="1">
      <c r="B67" s="120"/>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337"/>
      <c r="AH67" s="337"/>
      <c r="AI67" s="202"/>
      <c r="AJ67" s="202"/>
    </row>
    <row r="68" spans="1:37" ht="13" customHeight="1">
      <c r="B68" s="120"/>
      <c r="C68" s="219"/>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337"/>
      <c r="AH68" s="337"/>
      <c r="AI68" s="202"/>
      <c r="AJ68" s="202"/>
    </row>
    <row r="69" spans="1:37" ht="13" customHeight="1">
      <c r="B69" s="120"/>
      <c r="C69" s="219"/>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337"/>
      <c r="AH69" s="337"/>
      <c r="AI69" s="202"/>
      <c r="AJ69" s="202"/>
    </row>
    <row r="70" spans="1:37" ht="13" customHeight="1">
      <c r="B70" s="120"/>
      <c r="C70" s="219"/>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337"/>
      <c r="AH70" s="337"/>
      <c r="AI70" s="202"/>
      <c r="AJ70" s="202"/>
    </row>
    <row r="71" spans="1:37" ht="13" customHeight="1">
      <c r="B71" s="120"/>
      <c r="C71" s="219"/>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337"/>
      <c r="AH71" s="337"/>
      <c r="AI71" s="202"/>
      <c r="AJ71" s="202"/>
    </row>
    <row r="72" spans="1:37" ht="13" customHeight="1">
      <c r="A72" s="198"/>
      <c r="B72" s="120"/>
      <c r="C72" s="505"/>
      <c r="D72" s="505"/>
      <c r="E72" s="505"/>
      <c r="F72" s="505"/>
      <c r="G72" s="505"/>
      <c r="H72" s="505"/>
      <c r="I72" s="505"/>
      <c r="J72" s="505"/>
      <c r="K72" s="505"/>
      <c r="L72" s="505"/>
      <c r="M72" s="505"/>
      <c r="N72" s="505"/>
      <c r="O72" s="505"/>
      <c r="P72" s="505"/>
      <c r="Q72" s="505"/>
      <c r="R72" s="505"/>
      <c r="S72" s="505"/>
      <c r="T72" s="505"/>
      <c r="U72" s="505"/>
      <c r="V72" s="505"/>
      <c r="W72" s="505"/>
      <c r="X72" s="505"/>
      <c r="Y72" s="505"/>
      <c r="Z72" s="505"/>
      <c r="AA72" s="505"/>
      <c r="AB72" s="505"/>
      <c r="AC72" s="505"/>
      <c r="AD72" s="505"/>
      <c r="AE72" s="505"/>
      <c r="AF72" s="505"/>
      <c r="AG72" s="318"/>
      <c r="AH72" s="318"/>
      <c r="AI72" s="202"/>
      <c r="AJ72" s="202"/>
      <c r="AK72" s="195"/>
    </row>
    <row r="73" spans="1:37" ht="13" customHeight="1">
      <c r="A73" s="198"/>
      <c r="B73" s="120"/>
      <c r="C73" s="505"/>
      <c r="D73" s="505"/>
      <c r="E73" s="505"/>
      <c r="F73" s="505"/>
      <c r="G73" s="505"/>
      <c r="H73" s="505"/>
      <c r="I73" s="505"/>
      <c r="J73" s="505"/>
      <c r="K73" s="505"/>
      <c r="L73" s="505"/>
      <c r="M73" s="505"/>
      <c r="N73" s="505"/>
      <c r="O73" s="505"/>
      <c r="P73" s="505"/>
      <c r="Q73" s="505"/>
      <c r="R73" s="505"/>
      <c r="S73" s="505"/>
      <c r="T73" s="505"/>
      <c r="U73" s="505"/>
      <c r="V73" s="505"/>
      <c r="W73" s="505"/>
      <c r="X73" s="505"/>
      <c r="Y73" s="505"/>
      <c r="Z73" s="505"/>
      <c r="AA73" s="505"/>
      <c r="AB73" s="505"/>
      <c r="AC73" s="505"/>
      <c r="AD73" s="505"/>
      <c r="AE73" s="505"/>
      <c r="AF73" s="505"/>
      <c r="AG73" s="318"/>
      <c r="AH73" s="318"/>
      <c r="AI73" s="202"/>
      <c r="AJ73" s="202"/>
      <c r="AK73" s="195"/>
    </row>
    <row r="74" spans="1:37" ht="13" customHeight="1">
      <c r="A74" s="198"/>
      <c r="B74" s="120"/>
      <c r="C74" s="505"/>
      <c r="D74" s="505"/>
      <c r="E74" s="505"/>
      <c r="F74" s="505"/>
      <c r="G74" s="505"/>
      <c r="H74" s="505"/>
      <c r="I74" s="505"/>
      <c r="J74" s="505"/>
      <c r="K74" s="505"/>
      <c r="L74" s="505"/>
      <c r="M74" s="505"/>
      <c r="N74" s="505"/>
      <c r="O74" s="505"/>
      <c r="P74" s="505"/>
      <c r="Q74" s="505"/>
      <c r="R74" s="505"/>
      <c r="S74" s="505"/>
      <c r="T74" s="505"/>
      <c r="U74" s="505"/>
      <c r="V74" s="505"/>
      <c r="W74" s="505"/>
      <c r="X74" s="505"/>
      <c r="Y74" s="505"/>
      <c r="Z74" s="505"/>
      <c r="AA74" s="505"/>
      <c r="AB74" s="505"/>
      <c r="AC74" s="505"/>
      <c r="AD74" s="505"/>
      <c r="AE74" s="505"/>
      <c r="AF74" s="505"/>
      <c r="AG74" s="318"/>
      <c r="AH74" s="318"/>
      <c r="AI74" s="202"/>
      <c r="AJ74" s="202"/>
      <c r="AK74" s="195"/>
    </row>
    <row r="75" spans="1:37" ht="13" customHeight="1">
      <c r="A75" s="198"/>
      <c r="B75" s="120"/>
      <c r="C75" s="522"/>
      <c r="D75" s="522"/>
      <c r="E75" s="522"/>
      <c r="F75" s="522"/>
      <c r="G75" s="522"/>
      <c r="H75" s="522"/>
      <c r="I75" s="522"/>
      <c r="J75" s="505"/>
      <c r="K75" s="522"/>
      <c r="L75" s="522"/>
      <c r="M75" s="522"/>
      <c r="N75" s="522"/>
      <c r="O75" s="522"/>
      <c r="P75" s="522"/>
      <c r="Q75" s="522"/>
      <c r="R75" s="522"/>
      <c r="S75" s="522"/>
      <c r="T75" s="522"/>
      <c r="U75" s="522"/>
      <c r="V75" s="522"/>
      <c r="W75" s="522"/>
      <c r="X75" s="522"/>
      <c r="Y75" s="522"/>
      <c r="Z75" s="522"/>
      <c r="AA75" s="522"/>
      <c r="AB75" s="522"/>
      <c r="AC75" s="522"/>
      <c r="AD75" s="522"/>
      <c r="AE75" s="522"/>
      <c r="AF75" s="505"/>
      <c r="AG75" s="308"/>
      <c r="AH75" s="308"/>
      <c r="AI75" s="202"/>
      <c r="AJ75" s="202"/>
      <c r="AK75" s="195"/>
    </row>
    <row r="76" spans="1:37" ht="13" customHeight="1">
      <c r="A76" s="198"/>
      <c r="B76" s="120"/>
      <c r="C76" s="522"/>
      <c r="D76" s="522"/>
      <c r="E76" s="522"/>
      <c r="F76" s="522"/>
      <c r="G76" s="522"/>
      <c r="H76" s="522"/>
      <c r="I76" s="522"/>
      <c r="J76" s="505"/>
      <c r="K76" s="522"/>
      <c r="L76" s="522"/>
      <c r="M76" s="522"/>
      <c r="N76" s="522"/>
      <c r="O76" s="522"/>
      <c r="P76" s="522"/>
      <c r="Q76" s="522"/>
      <c r="R76" s="522"/>
      <c r="S76" s="522"/>
      <c r="T76" s="522"/>
      <c r="U76" s="522"/>
      <c r="V76" s="522"/>
      <c r="W76" s="522"/>
      <c r="X76" s="522"/>
      <c r="Y76" s="522"/>
      <c r="Z76" s="522"/>
      <c r="AA76" s="522"/>
      <c r="AB76" s="522"/>
      <c r="AC76" s="522"/>
      <c r="AD76" s="522"/>
      <c r="AE76" s="522"/>
      <c r="AF76" s="505"/>
      <c r="AG76" s="308"/>
      <c r="AH76" s="308"/>
      <c r="AI76" s="202"/>
      <c r="AJ76" s="202"/>
      <c r="AK76" s="195"/>
    </row>
    <row r="77" spans="1:37" ht="13" customHeight="1">
      <c r="A77" s="198"/>
      <c r="B77" s="120"/>
      <c r="C77" s="522"/>
      <c r="D77" s="522"/>
      <c r="E77" s="522"/>
      <c r="F77" s="522"/>
      <c r="G77" s="522"/>
      <c r="H77" s="522"/>
      <c r="I77" s="522"/>
      <c r="J77" s="505"/>
      <c r="K77" s="522"/>
      <c r="L77" s="522"/>
      <c r="M77" s="522"/>
      <c r="N77" s="522"/>
      <c r="O77" s="522"/>
      <c r="P77" s="522"/>
      <c r="Q77" s="522"/>
      <c r="R77" s="522"/>
      <c r="S77" s="522"/>
      <c r="T77" s="522"/>
      <c r="U77" s="522"/>
      <c r="V77" s="522"/>
      <c r="W77" s="522"/>
      <c r="X77" s="522"/>
      <c r="Y77" s="522"/>
      <c r="Z77" s="522"/>
      <c r="AA77" s="522"/>
      <c r="AB77" s="522"/>
      <c r="AC77" s="522"/>
      <c r="AD77" s="522"/>
      <c r="AE77" s="522"/>
      <c r="AF77" s="505"/>
      <c r="AG77" s="308"/>
      <c r="AH77" s="308"/>
      <c r="AI77" s="202"/>
      <c r="AJ77" s="202"/>
      <c r="AK77" s="195"/>
    </row>
    <row r="78" spans="1:37" ht="13" customHeight="1">
      <c r="A78" s="198"/>
      <c r="B78" s="120"/>
      <c r="C78" s="522"/>
      <c r="D78" s="522"/>
      <c r="E78" s="522"/>
      <c r="F78" s="522"/>
      <c r="G78" s="522"/>
      <c r="H78" s="522"/>
      <c r="I78" s="522"/>
      <c r="J78" s="505"/>
      <c r="K78" s="522"/>
      <c r="L78" s="522"/>
      <c r="M78" s="522"/>
      <c r="N78" s="522"/>
      <c r="O78" s="522"/>
      <c r="P78" s="522"/>
      <c r="Q78" s="522"/>
      <c r="R78" s="522"/>
      <c r="S78" s="522"/>
      <c r="T78" s="522"/>
      <c r="U78" s="522"/>
      <c r="V78" s="522"/>
      <c r="W78" s="522"/>
      <c r="X78" s="522"/>
      <c r="Y78" s="522"/>
      <c r="Z78" s="522"/>
      <c r="AA78" s="522"/>
      <c r="AB78" s="522"/>
      <c r="AC78" s="522"/>
      <c r="AD78" s="522"/>
      <c r="AE78" s="522"/>
      <c r="AF78" s="505"/>
      <c r="AG78" s="308"/>
      <c r="AH78" s="308"/>
      <c r="AI78" s="202"/>
      <c r="AJ78" s="202"/>
      <c r="AK78" s="195"/>
    </row>
    <row r="79" spans="1:37" ht="13" customHeight="1">
      <c r="A79" s="198"/>
      <c r="B79" s="120"/>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318"/>
      <c r="AH79" s="318"/>
      <c r="AI79" s="202"/>
      <c r="AJ79" s="202"/>
      <c r="AK79" s="195"/>
    </row>
    <row r="80" spans="1:37" s="156" customFormat="1" ht="13" customHeight="1">
      <c r="A80" s="211"/>
      <c r="B80" s="120"/>
      <c r="AG80" s="321"/>
      <c r="AH80" s="321"/>
    </row>
    <row r="81" spans="1:37" s="156" customFormat="1" ht="13" customHeight="1">
      <c r="A81" s="211"/>
      <c r="B81" s="120"/>
      <c r="AG81" s="321"/>
      <c r="AH81" s="321"/>
    </row>
    <row r="82" spans="1:37" s="156" customFormat="1" ht="13" customHeight="1">
      <c r="A82" s="211"/>
      <c r="B82" s="12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21"/>
      <c r="AH82" s="321"/>
    </row>
    <row r="83" spans="1:37" s="156" customFormat="1" ht="13" customHeight="1">
      <c r="A83" s="211"/>
      <c r="B83" s="120"/>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c r="AD83" s="175"/>
      <c r="AE83" s="175"/>
      <c r="AF83" s="175"/>
      <c r="AG83" s="337"/>
      <c r="AH83" s="337"/>
    </row>
    <row r="84" spans="1:37" s="156" customFormat="1" ht="13" customHeight="1">
      <c r="A84" s="211"/>
      <c r="B84" s="120"/>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337"/>
      <c r="AH84" s="337"/>
    </row>
    <row r="85" spans="1:37" s="156" customFormat="1" ht="13" customHeight="1">
      <c r="A85" s="211"/>
      <c r="B85" s="120"/>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c r="AD85" s="175"/>
      <c r="AE85" s="175"/>
      <c r="AF85" s="175"/>
      <c r="AG85" s="337"/>
      <c r="AH85" s="337"/>
    </row>
    <row r="86" spans="1:37" s="156" customFormat="1" ht="13" customHeight="1">
      <c r="A86" s="211"/>
      <c r="B86" s="120"/>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c r="AD86" s="175"/>
      <c r="AE86" s="175"/>
      <c r="AF86" s="175"/>
      <c r="AG86" s="337"/>
      <c r="AH86" s="337"/>
      <c r="AK86" s="558"/>
    </row>
    <row r="87" spans="1:37" s="156" customFormat="1" ht="13" customHeight="1">
      <c r="A87" s="211"/>
      <c r="B87" s="120"/>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c r="AD87" s="175"/>
      <c r="AE87" s="175"/>
      <c r="AF87" s="175"/>
      <c r="AG87" s="337"/>
      <c r="AH87" s="337"/>
    </row>
    <row r="88" spans="1:37" s="156" customFormat="1" ht="13" customHeight="1">
      <c r="A88" s="211"/>
      <c r="B88" s="120"/>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337"/>
      <c r="AH88" s="337"/>
    </row>
    <row r="89" spans="1:37" s="156" customFormat="1" ht="13" customHeight="1">
      <c r="A89" s="211"/>
      <c r="B89" s="120"/>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5"/>
      <c r="AD89" s="175"/>
      <c r="AE89" s="175"/>
      <c r="AF89" s="175"/>
      <c r="AG89" s="337"/>
      <c r="AH89" s="337"/>
    </row>
    <row r="90" spans="1:37" s="156" customFormat="1" ht="13" customHeight="1">
      <c r="A90" s="211"/>
      <c r="B90" s="120"/>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337"/>
      <c r="AH90" s="337"/>
    </row>
    <row r="91" spans="1:37" s="156" customFormat="1" ht="13" customHeight="1">
      <c r="A91" s="211"/>
      <c r="B91" s="120"/>
      <c r="AG91" s="321"/>
      <c r="AH91" s="321"/>
      <c r="AI91" s="559"/>
      <c r="AJ91" s="559"/>
    </row>
    <row r="92" spans="1:37" ht="13" customHeight="1">
      <c r="A92" s="198"/>
      <c r="B92" s="120"/>
      <c r="AG92" s="337"/>
      <c r="AH92" s="337"/>
      <c r="AI92" s="202"/>
      <c r="AJ92" s="202"/>
    </row>
    <row r="93" spans="1:37" ht="13" customHeight="1">
      <c r="B93" s="120"/>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c r="AA93" s="164"/>
      <c r="AB93" s="164"/>
      <c r="AC93" s="164"/>
      <c r="AD93" s="164"/>
      <c r="AE93" s="164"/>
      <c r="AF93" s="164"/>
      <c r="AG93" s="321"/>
      <c r="AH93" s="321"/>
      <c r="AI93" s="329"/>
      <c r="AJ93" s="329"/>
      <c r="AK93" s="175"/>
    </row>
    <row r="94" spans="1:37" s="156" customFormat="1" ht="13" customHeight="1">
      <c r="A94" s="211"/>
      <c r="B94" s="120"/>
      <c r="AG94" s="321"/>
      <c r="AH94" s="321"/>
      <c r="AI94" s="559"/>
      <c r="AJ94" s="559"/>
    </row>
    <row r="95" spans="1:37" ht="13" customHeight="1">
      <c r="A95" s="198"/>
      <c r="B95" s="120"/>
      <c r="AG95" s="337"/>
      <c r="AH95" s="337"/>
      <c r="AI95" s="202"/>
      <c r="AJ95" s="202"/>
    </row>
    <row r="96" spans="1:37" ht="13" customHeight="1">
      <c r="B96" s="120"/>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91"/>
      <c r="AH96" s="191"/>
      <c r="AI96" s="329"/>
      <c r="AJ96" s="329"/>
      <c r="AK96" s="175"/>
    </row>
    <row r="97" spans="3:36" s="120" customFormat="1" ht="13" customHeight="1">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191"/>
      <c r="AH97" s="191"/>
    </row>
    <row r="98" spans="3:36" s="120" customFormat="1" ht="13" customHeight="1">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191"/>
      <c r="AH98" s="191"/>
      <c r="AJ98" s="175"/>
    </row>
    <row r="99" spans="3:36" s="120" customFormat="1" ht="13" customHeight="1">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191"/>
      <c r="AH99" s="191"/>
    </row>
    <row r="100" spans="3:36" s="120" customFormat="1" ht="13" customHeight="1">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191"/>
      <c r="AH100" s="191"/>
    </row>
    <row r="101" spans="3:36" s="120" customFormat="1" ht="13" customHeight="1">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191"/>
      <c r="AH101" s="191"/>
    </row>
    <row r="102" spans="3:36" s="120" customFormat="1" ht="13" customHeight="1">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191"/>
      <c r="AH102" s="191"/>
    </row>
    <row r="103" spans="3:36" s="120" customFormat="1" ht="13" customHeight="1">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191"/>
      <c r="AH103" s="191"/>
    </row>
    <row r="104" spans="3:36" s="120" customFormat="1" ht="13" customHeight="1">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191"/>
      <c r="AH104" s="191"/>
    </row>
    <row r="105" spans="3:36" s="120" customFormat="1" ht="13" customHeight="1">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191"/>
      <c r="AH105" s="191"/>
    </row>
    <row r="106" spans="3:36" s="120" customFormat="1" ht="14" customHeight="1">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191"/>
      <c r="AH106" s="191"/>
    </row>
    <row r="107" spans="3:36" s="120" customFormat="1" ht="14" customHeight="1">
      <c r="C107" s="213"/>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191"/>
      <c r="AH107" s="191"/>
    </row>
    <row r="108" spans="3:36" s="120" customFormat="1" ht="13" customHeight="1">
      <c r="AG108" s="337"/>
      <c r="AH108" s="337"/>
    </row>
    <row r="109" spans="3:36" s="120" customFormat="1" ht="13" customHeight="1">
      <c r="C109" s="213"/>
      <c r="D109" s="317"/>
      <c r="E109" s="317"/>
      <c r="F109" s="317"/>
      <c r="G109" s="317"/>
      <c r="H109" s="317"/>
      <c r="I109" s="317"/>
      <c r="J109" s="317"/>
      <c r="K109" s="317"/>
      <c r="L109" s="317"/>
      <c r="M109" s="317"/>
      <c r="N109" s="317"/>
      <c r="O109" s="317"/>
      <c r="P109" s="317"/>
      <c r="Q109" s="317"/>
      <c r="R109" s="317"/>
      <c r="S109" s="317"/>
      <c r="T109" s="317"/>
      <c r="U109" s="317"/>
      <c r="V109" s="317"/>
      <c r="W109" s="317"/>
      <c r="X109" s="317"/>
      <c r="Y109" s="317"/>
      <c r="Z109" s="317"/>
      <c r="AA109" s="317"/>
      <c r="AB109" s="317"/>
      <c r="AC109" s="317"/>
      <c r="AD109" s="317"/>
      <c r="AE109" s="317"/>
      <c r="AF109" s="317"/>
      <c r="AG109" s="495"/>
      <c r="AH109" s="495"/>
    </row>
    <row r="110" spans="3:36" s="120" customFormat="1" ht="13" customHeight="1">
      <c r="C110" s="213"/>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317"/>
      <c r="Z110" s="317"/>
      <c r="AA110" s="317"/>
      <c r="AB110" s="317"/>
      <c r="AC110" s="317"/>
      <c r="AD110" s="317"/>
      <c r="AE110" s="317"/>
      <c r="AF110" s="317"/>
      <c r="AG110" s="495"/>
      <c r="AH110" s="495"/>
    </row>
    <row r="111" spans="3:36" s="120" customFormat="1" ht="13" customHeight="1">
      <c r="C111" s="213"/>
      <c r="D111" s="317"/>
      <c r="E111" s="317"/>
      <c r="F111" s="317"/>
      <c r="G111" s="317"/>
      <c r="H111" s="317"/>
      <c r="I111" s="317"/>
      <c r="J111" s="317"/>
      <c r="K111" s="317"/>
      <c r="L111" s="317"/>
      <c r="M111" s="317"/>
      <c r="N111" s="317"/>
      <c r="O111" s="317"/>
      <c r="P111" s="317"/>
      <c r="Q111" s="317"/>
      <c r="R111" s="317"/>
      <c r="S111" s="317"/>
      <c r="T111" s="317"/>
      <c r="U111" s="317"/>
      <c r="V111" s="317"/>
      <c r="W111" s="317"/>
      <c r="X111" s="317"/>
      <c r="Y111" s="317"/>
      <c r="Z111" s="317"/>
      <c r="AA111" s="317"/>
      <c r="AB111" s="317"/>
      <c r="AC111" s="317"/>
      <c r="AD111" s="317"/>
      <c r="AE111" s="317"/>
      <c r="AF111" s="317"/>
      <c r="AG111" s="495"/>
      <c r="AH111" s="495"/>
    </row>
    <row r="112" spans="3:36" s="120" customFormat="1" ht="13" customHeight="1">
      <c r="C112" s="213"/>
      <c r="D112" s="317"/>
      <c r="E112" s="317"/>
      <c r="F112" s="317"/>
      <c r="G112" s="317"/>
      <c r="H112" s="317"/>
      <c r="I112" s="317"/>
      <c r="J112" s="317"/>
      <c r="K112" s="317"/>
      <c r="L112" s="317"/>
      <c r="M112" s="317"/>
      <c r="N112" s="317"/>
      <c r="O112" s="317"/>
      <c r="P112" s="317"/>
      <c r="Q112" s="317"/>
      <c r="R112" s="317"/>
      <c r="S112" s="317"/>
      <c r="T112" s="317"/>
      <c r="U112" s="317"/>
      <c r="V112" s="317"/>
      <c r="W112" s="317"/>
      <c r="X112" s="317"/>
      <c r="Y112" s="317"/>
      <c r="Z112" s="317"/>
      <c r="AA112" s="317"/>
      <c r="AB112" s="317"/>
      <c r="AC112" s="317"/>
      <c r="AD112" s="317"/>
      <c r="AE112" s="317"/>
      <c r="AF112" s="317"/>
      <c r="AG112" s="495"/>
      <c r="AH112" s="495"/>
    </row>
    <row r="113" spans="2:34" ht="13" customHeight="1">
      <c r="B113" s="120"/>
      <c r="C113" s="213"/>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317"/>
      <c r="AA113" s="317"/>
      <c r="AB113" s="317"/>
      <c r="AC113" s="317"/>
      <c r="AD113" s="317"/>
      <c r="AE113" s="317"/>
      <c r="AF113" s="317"/>
      <c r="AG113" s="495"/>
      <c r="AH113" s="495"/>
    </row>
    <row r="114" spans="2:34" ht="14" customHeight="1">
      <c r="B114" s="120"/>
      <c r="C114" s="213"/>
      <c r="D114" s="213"/>
      <c r="E114" s="317"/>
      <c r="F114" s="317"/>
      <c r="G114" s="317"/>
      <c r="H114" s="317"/>
      <c r="I114" s="317"/>
      <c r="J114" s="317"/>
      <c r="K114" s="317"/>
      <c r="L114" s="317"/>
      <c r="M114" s="317"/>
      <c r="N114" s="317"/>
      <c r="O114" s="317"/>
      <c r="P114" s="317"/>
      <c r="Q114" s="317"/>
      <c r="R114" s="317"/>
      <c r="S114" s="317"/>
      <c r="T114" s="317"/>
      <c r="U114" s="317"/>
      <c r="V114" s="317"/>
      <c r="W114" s="317"/>
      <c r="X114" s="317"/>
      <c r="Y114" s="317"/>
      <c r="Z114" s="317"/>
      <c r="AA114" s="317"/>
      <c r="AB114" s="317"/>
      <c r="AC114" s="317"/>
      <c r="AD114" s="317"/>
      <c r="AE114" s="317"/>
      <c r="AF114" s="317"/>
      <c r="AG114" s="495"/>
      <c r="AH114" s="495"/>
    </row>
    <row r="115" spans="2:34" ht="13" customHeight="1">
      <c r="B115" s="120"/>
      <c r="C115" s="213"/>
      <c r="D115" s="213"/>
      <c r="E115" s="317"/>
      <c r="F115" s="317"/>
      <c r="G115" s="317"/>
      <c r="H115" s="317"/>
      <c r="I115" s="317"/>
      <c r="J115" s="317"/>
      <c r="K115" s="317"/>
      <c r="L115" s="317"/>
      <c r="M115" s="317"/>
      <c r="N115" s="317"/>
      <c r="O115" s="317"/>
      <c r="P115" s="317"/>
      <c r="Q115" s="317"/>
      <c r="R115" s="317"/>
      <c r="S115" s="317"/>
      <c r="T115" s="317"/>
      <c r="U115" s="317"/>
      <c r="V115" s="317"/>
      <c r="W115" s="317"/>
      <c r="X115" s="317"/>
      <c r="Y115" s="317"/>
      <c r="Z115" s="317"/>
      <c r="AA115" s="317"/>
      <c r="AB115" s="317"/>
      <c r="AC115" s="317"/>
      <c r="AD115" s="317"/>
      <c r="AE115" s="317"/>
      <c r="AF115" s="317"/>
      <c r="AG115" s="495"/>
      <c r="AH115" s="495"/>
    </row>
    <row r="116" spans="2:34" ht="13" customHeight="1">
      <c r="B116" s="120"/>
      <c r="T116" s="317"/>
      <c r="U116" s="317"/>
      <c r="V116" s="317"/>
      <c r="W116" s="317"/>
      <c r="X116" s="317"/>
      <c r="Y116" s="317"/>
      <c r="Z116" s="317"/>
      <c r="AA116" s="317"/>
      <c r="AB116" s="317"/>
      <c r="AC116" s="317"/>
      <c r="AD116" s="317"/>
      <c r="AE116" s="317"/>
      <c r="AF116" s="317"/>
      <c r="AG116" s="337"/>
      <c r="AH116" s="337"/>
    </row>
    <row r="117" spans="2:34" ht="13" customHeight="1">
      <c r="B117" s="49"/>
      <c r="AG117" s="337"/>
      <c r="AH117" s="337"/>
    </row>
    <row r="118" spans="2:34" ht="13" customHeight="1">
      <c r="B118" s="50"/>
      <c r="C118" s="542"/>
      <c r="D118" s="542"/>
      <c r="E118" s="542"/>
      <c r="F118" s="542"/>
      <c r="G118" s="542"/>
      <c r="H118" s="542"/>
      <c r="I118" s="542"/>
      <c r="J118" s="542"/>
      <c r="K118" s="542"/>
      <c r="L118" s="542"/>
      <c r="M118" s="542"/>
      <c r="N118" s="542"/>
      <c r="O118" s="542"/>
      <c r="P118" s="542"/>
      <c r="Q118" s="542"/>
      <c r="R118" s="542"/>
      <c r="S118" s="542"/>
      <c r="T118" s="542"/>
      <c r="U118" s="542"/>
      <c r="V118" s="542"/>
      <c r="W118" s="542"/>
      <c r="X118" s="542"/>
      <c r="Y118" s="542"/>
      <c r="Z118" s="542"/>
      <c r="AA118" s="542"/>
      <c r="AB118" s="542"/>
      <c r="AC118" s="542"/>
      <c r="AD118" s="542"/>
      <c r="AE118" s="542"/>
      <c r="AF118" s="542"/>
      <c r="AG118" s="308"/>
      <c r="AH118" s="308"/>
    </row>
    <row r="119" spans="2:34" ht="13" customHeight="1">
      <c r="B119" s="50"/>
      <c r="C119" s="121"/>
      <c r="D119" s="121"/>
      <c r="E119" s="121"/>
      <c r="F119" s="307"/>
      <c r="G119" s="307"/>
      <c r="H119" s="307"/>
      <c r="I119" s="307"/>
      <c r="J119" s="307"/>
      <c r="K119" s="121"/>
      <c r="L119" s="121"/>
      <c r="M119" s="121"/>
      <c r="N119" s="121"/>
      <c r="O119" s="317"/>
      <c r="P119" s="317"/>
      <c r="Q119" s="317"/>
      <c r="R119" s="317"/>
      <c r="S119" s="317"/>
      <c r="T119" s="317"/>
      <c r="U119" s="317"/>
      <c r="V119" s="317"/>
      <c r="W119" s="317"/>
      <c r="X119" s="317"/>
      <c r="Y119" s="317"/>
      <c r="Z119" s="317"/>
      <c r="AA119" s="317"/>
      <c r="AB119" s="317"/>
      <c r="AC119" s="317"/>
      <c r="AD119" s="317"/>
      <c r="AE119" s="317"/>
      <c r="AF119" s="317"/>
      <c r="AG119" s="495"/>
      <c r="AH119" s="495"/>
    </row>
    <row r="120" spans="2:34" ht="13" customHeight="1">
      <c r="AA120" s="153"/>
      <c r="AB120" s="153"/>
      <c r="AC120" s="153"/>
      <c r="AD120" s="153"/>
      <c r="AE120" s="153"/>
      <c r="AF120" s="153"/>
      <c r="AG120" s="153"/>
      <c r="AH120" s="153"/>
    </row>
    <row r="121" spans="2:34" ht="13" customHeight="1">
      <c r="R121" s="154"/>
      <c r="S121" s="154"/>
      <c r="T121" s="154"/>
      <c r="U121" s="154"/>
      <c r="V121" s="154"/>
      <c r="W121" s="154"/>
      <c r="X121" s="154"/>
      <c r="Y121" s="154"/>
      <c r="Z121" s="154"/>
      <c r="AA121" s="154"/>
      <c r="AB121" s="154"/>
      <c r="AC121" s="154"/>
      <c r="AD121" s="154"/>
      <c r="AE121" s="154"/>
      <c r="AF121" s="154"/>
      <c r="AG121" s="154"/>
      <c r="AH121" s="154"/>
    </row>
    <row r="122" spans="2:34" ht="13" customHeight="1">
      <c r="B122" s="772"/>
      <c r="C122" s="120" t="s">
        <v>1181</v>
      </c>
      <c r="O122" s="154"/>
      <c r="P122" s="154"/>
      <c r="Q122" s="154"/>
      <c r="R122" s="154"/>
      <c r="S122" s="154"/>
      <c r="T122" s="154"/>
      <c r="U122" s="154"/>
      <c r="V122" s="154"/>
      <c r="W122" s="154"/>
      <c r="X122" s="154"/>
      <c r="Y122" s="154"/>
      <c r="Z122" s="154"/>
      <c r="AA122" s="154"/>
      <c r="AB122" s="154"/>
      <c r="AC122" s="154"/>
      <c r="AD122" s="154"/>
      <c r="AE122" s="154"/>
      <c r="AF122" s="154"/>
      <c r="AG122" s="154"/>
      <c r="AH122" s="154"/>
    </row>
    <row r="123" spans="2:34" ht="13" customHeight="1">
      <c r="B123" s="772"/>
      <c r="AA123" s="175"/>
      <c r="AB123" s="175"/>
      <c r="AC123" s="175"/>
      <c r="AD123" s="175"/>
      <c r="AE123" s="175"/>
      <c r="AF123" s="175"/>
      <c r="AG123" s="175"/>
      <c r="AH123" s="175"/>
    </row>
    <row r="124" spans="2:34" ht="13" customHeight="1">
      <c r="B124" s="772"/>
      <c r="U124" s="217"/>
      <c r="V124" s="217"/>
      <c r="W124" s="217"/>
      <c r="X124" s="217"/>
      <c r="Y124" s="217"/>
      <c r="Z124" s="217"/>
      <c r="AA124" s="217"/>
      <c r="AB124" s="217"/>
      <c r="AC124" s="217"/>
      <c r="AD124" s="217"/>
      <c r="AE124" s="217"/>
      <c r="AF124" s="154"/>
      <c r="AG124" s="217"/>
      <c r="AH124" s="217"/>
    </row>
    <row r="125" spans="2:34" ht="13" customHeight="1">
      <c r="B125" s="772"/>
    </row>
    <row r="126" spans="2:34" ht="13" customHeight="1">
      <c r="B126" s="772"/>
    </row>
  </sheetData>
  <sheetProtection algorithmName="SHA-512" hashValue="5ye2Bj+d0bR2ZV5ATKmH0UKW94RtLPRkY1dgh1JdKfh5JrCOILYVgRjsNQXAFaawkdHYduGo4uT04PH5LYOphQ==" saltValue="xhMzijAUu6RsylTdFHwaHQ==" spinCount="100000" sheet="1" formatCells="0" formatColumns="0" formatRows="0" insertColumns="0" insertRows="0" insertHyperlinks="0" deleteColumns="0" deleteRows="0" sort="0" autoFilter="0" pivotTables="0"/>
  <mergeCells count="1">
    <mergeCell ref="B122:B126"/>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BC7C3-4719-D44A-AF55-0E5CA0EECE98}">
  <sheetPr codeName="Sheet9">
    <tabColor rgb="FFEB7100"/>
  </sheetPr>
  <dimension ref="A1:AN47"/>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ustomWidth="1"/>
    <col min="10" max="10" width="2.83203125" style="120" customWidth="1"/>
    <col min="11" max="19" width="10.83203125" style="120" customWidth="1"/>
    <col min="20" max="27" width="10.83203125" style="120"/>
    <col min="28" max="31" width="10.83203125" style="120" customWidth="1"/>
    <col min="32" max="32" width="5.83203125" style="120" customWidth="1"/>
    <col min="33" max="16384" width="10.83203125" style="120"/>
  </cols>
  <sheetData>
    <row r="1" spans="1:40"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1:40" s="9" customFormat="1" ht="13" customHeight="1">
      <c r="B2" s="255" t="str">
        <f>IF('Summary | Sumário'!D$6=Names!B$3,Names!U1,Names!T1)</f>
        <v>NII (IFRS, R$ Mil)</v>
      </c>
      <c r="C2" s="118">
        <f>IF('Summary | Sumário'!D6=Names!B3,Names!C2,Names!D2)</f>
        <v>2019</v>
      </c>
      <c r="D2" s="118">
        <f>IF('Summary | Sumário'!D6=Names!B3,Names!C3,Names!D3)</f>
        <v>2020</v>
      </c>
      <c r="E2" s="118">
        <f>IF('Summary | Sumário'!D6=Names!B3,Names!C4,Names!D4)</f>
        <v>2021</v>
      </c>
      <c r="F2" s="118">
        <f>IF('Summary | Sumário'!D6=Names!B3,Names!C5,Names!D5)</f>
        <v>2022</v>
      </c>
      <c r="G2" s="118">
        <f>IF('Summary | Sumário'!D6=Names!B3,Names!C18,Names!D18)</f>
        <v>2023</v>
      </c>
      <c r="H2" s="118">
        <f>IF('Summary | Sumário'!D6=Names!B3,Names!C23,Names!D23)</f>
        <v>2024</v>
      </c>
      <c r="I2" s="118">
        <f>IF('Summary | Sumário'!E6=Names!C3,Names!D23,Names!E23)</f>
        <v>2025</v>
      </c>
      <c r="J2" s="316"/>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57"/>
      <c r="AJ2" s="57"/>
      <c r="AK2" s="10"/>
      <c r="AM2" s="11"/>
      <c r="AN2" s="12"/>
    </row>
    <row r="3" spans="1:40" ht="13" customHeight="1">
      <c r="B3" s="13"/>
      <c r="C3" s="130"/>
      <c r="D3" s="130"/>
      <c r="E3" s="130"/>
      <c r="F3" s="130"/>
      <c r="G3" s="130"/>
      <c r="H3" s="130"/>
      <c r="I3" s="130"/>
      <c r="J3" s="315"/>
      <c r="K3" s="131"/>
      <c r="L3" s="131"/>
      <c r="M3" s="131"/>
      <c r="N3" s="131"/>
      <c r="O3" s="131"/>
      <c r="P3" s="131"/>
      <c r="Q3" s="131"/>
      <c r="R3" s="131"/>
      <c r="S3" s="131"/>
      <c r="T3" s="131"/>
      <c r="U3" s="131"/>
      <c r="V3" s="131"/>
      <c r="W3" s="131"/>
      <c r="X3" s="131"/>
      <c r="Y3" s="131"/>
      <c r="Z3" s="131"/>
      <c r="AA3" s="131"/>
      <c r="AB3" s="125"/>
      <c r="AC3" s="125"/>
      <c r="AD3" s="125"/>
      <c r="AE3" s="125"/>
      <c r="AF3" s="125"/>
      <c r="AG3" s="125"/>
      <c r="AH3" s="125"/>
    </row>
    <row r="4" spans="1:40" ht="13" customHeight="1">
      <c r="B4" s="49" t="str">
        <f>IF('Summary | Sumário'!D$6=Names!B$3,Names!O31,Names!Z31)</f>
        <v>Interest income</v>
      </c>
      <c r="K4" s="329"/>
      <c r="L4" s="329"/>
      <c r="M4" s="329"/>
      <c r="N4" s="329"/>
      <c r="O4" s="329"/>
      <c r="P4" s="329"/>
      <c r="Q4" s="329"/>
      <c r="R4" s="329"/>
      <c r="S4" s="329"/>
      <c r="T4" s="329"/>
      <c r="U4" s="329"/>
      <c r="V4" s="329"/>
      <c r="W4" s="329"/>
      <c r="X4" s="329"/>
      <c r="Y4" s="329"/>
      <c r="Z4" s="329"/>
      <c r="AA4" s="329"/>
      <c r="AB4" s="329"/>
      <c r="AC4" s="329"/>
      <c r="AD4" s="329"/>
      <c r="AE4" s="329"/>
      <c r="AF4" s="329"/>
      <c r="AG4" s="337"/>
      <c r="AH4" s="337"/>
    </row>
    <row r="5" spans="1:40" ht="13" customHeight="1">
      <c r="B5" s="259" t="str">
        <f>IF('Summary | Sumário'!D$6=Names!B$3,Names!O32,Names!Z32)</f>
        <v>Interest income</v>
      </c>
      <c r="C5" s="496">
        <v>775515</v>
      </c>
      <c r="D5" s="496">
        <v>942655.89517999999</v>
      </c>
      <c r="E5" s="496">
        <f>SUM(K5:N5)</f>
        <v>1435427.246</v>
      </c>
      <c r="F5" s="496">
        <f>SUM(O5:R5)</f>
        <v>2802658.0819999999</v>
      </c>
      <c r="G5" s="496">
        <f>SUM(S5:V5)</f>
        <v>4549827</v>
      </c>
      <c r="H5" s="496">
        <f>SUM(W5:Z5)</f>
        <v>5139213.5399445314</v>
      </c>
      <c r="I5" s="496">
        <f t="shared" ref="I5:I15" si="0">SUM(AA5:AD5)</f>
        <v>8638477</v>
      </c>
      <c r="J5" s="213"/>
      <c r="K5" s="496">
        <v>289003.935</v>
      </c>
      <c r="L5" s="496">
        <v>305659.75100000005</v>
      </c>
      <c r="M5" s="496">
        <v>367405.88</v>
      </c>
      <c r="N5" s="496">
        <v>473357.68</v>
      </c>
      <c r="O5" s="496">
        <v>521159.63199999993</v>
      </c>
      <c r="P5" s="496">
        <v>622312.6370000001</v>
      </c>
      <c r="Q5" s="496">
        <v>788342.73100000003</v>
      </c>
      <c r="R5" s="496">
        <v>870843.08199999994</v>
      </c>
      <c r="S5" s="496">
        <v>1012926.822</v>
      </c>
      <c r="T5" s="496">
        <v>1151105</v>
      </c>
      <c r="U5" s="496">
        <v>1106935.08874</v>
      </c>
      <c r="V5" s="496">
        <v>1278860.08926</v>
      </c>
      <c r="W5" s="496">
        <v>1217530.9999999998</v>
      </c>
      <c r="X5" s="496">
        <v>1172415.139</v>
      </c>
      <c r="Y5" s="496">
        <v>1412226.140133633</v>
      </c>
      <c r="Z5" s="496">
        <f t="shared" ref="Z5:AE5" si="1">Z6+Z11+Z12+Z13</f>
        <v>1337041.2608108988</v>
      </c>
      <c r="AA5" s="496">
        <f t="shared" si="1"/>
        <v>1806870</v>
      </c>
      <c r="AB5" s="496">
        <f t="shared" si="1"/>
        <v>2128214</v>
      </c>
      <c r="AC5" s="496">
        <f t="shared" si="1"/>
        <v>2226423</v>
      </c>
      <c r="AD5" s="496">
        <f t="shared" si="1"/>
        <v>2476970</v>
      </c>
      <c r="AE5" s="496">
        <f t="shared" si="1"/>
        <v>2569450</v>
      </c>
      <c r="AF5" s="213"/>
      <c r="AG5" s="497">
        <f t="shared" ref="AG5:AG30" si="2">AE5/AD5-1</f>
        <v>3.7335938667000468E-2</v>
      </c>
      <c r="AH5" s="497">
        <f t="shared" ref="AH5:AH30" si="3">AE5/AA5-1</f>
        <v>0.42204475142096554</v>
      </c>
      <c r="AJ5" s="175"/>
    </row>
    <row r="6" spans="1:40" ht="13" customHeight="1">
      <c r="B6" s="16" t="str">
        <f>IF('Summary | Sumário'!D$6=Names!B$3,Names!O33,Names!Z33)</f>
        <v>Loans and advances to customers</v>
      </c>
      <c r="C6" s="213">
        <v>635873</v>
      </c>
      <c r="D6" s="213">
        <v>807878.44012000004</v>
      </c>
      <c r="E6" s="213">
        <f t="shared" ref="E6:E28" si="4">SUM(K6:N6)</f>
        <v>1330194.1980000001</v>
      </c>
      <c r="F6" s="213">
        <f t="shared" ref="F6:F28" si="5">SUM(O6:R6)</f>
        <v>2465436.4588899999</v>
      </c>
      <c r="G6" s="213">
        <f t="shared" ref="G6:G28" si="6">SUM(S6:V6)</f>
        <v>3811788</v>
      </c>
      <c r="H6" s="213">
        <f t="shared" ref="H6:H29" si="7">SUM(W6:Z6)</f>
        <v>4166337.213918197</v>
      </c>
      <c r="I6" s="213">
        <f t="shared" si="0"/>
        <v>6905792</v>
      </c>
      <c r="J6" s="213"/>
      <c r="K6" s="213">
        <v>268003.20799999998</v>
      </c>
      <c r="L6" s="213">
        <v>292783.40600000002</v>
      </c>
      <c r="M6" s="213">
        <v>335179.73</v>
      </c>
      <c r="N6" s="213">
        <v>434227.85400000005</v>
      </c>
      <c r="O6" s="213">
        <v>465786.92129999999</v>
      </c>
      <c r="P6" s="213">
        <v>587035.16590000002</v>
      </c>
      <c r="Q6" s="213">
        <v>672679.28999000008</v>
      </c>
      <c r="R6" s="213">
        <v>739935.08169999998</v>
      </c>
      <c r="S6" s="213">
        <v>840890.87786000001</v>
      </c>
      <c r="T6" s="213">
        <v>976319.04593000002</v>
      </c>
      <c r="U6" s="213">
        <v>891716.27035000001</v>
      </c>
      <c r="V6" s="213">
        <v>1102861.8058600002</v>
      </c>
      <c r="W6" s="213">
        <v>1020891.12009</v>
      </c>
      <c r="X6" s="213">
        <v>992213.52389000007</v>
      </c>
      <c r="Y6" s="213">
        <v>1161390.4944492984</v>
      </c>
      <c r="Z6" s="213">
        <v>991842.07548889867</v>
      </c>
      <c r="AA6" s="213">
        <v>1447891</v>
      </c>
      <c r="AB6" s="213">
        <v>1699765</v>
      </c>
      <c r="AC6" s="213">
        <v>1724773</v>
      </c>
      <c r="AD6" s="213">
        <v>2033363</v>
      </c>
      <c r="AE6" s="213">
        <v>2127887</v>
      </c>
      <c r="AF6" s="213"/>
      <c r="AG6" s="337">
        <f t="shared" si="2"/>
        <v>4.6486534868589668E-2</v>
      </c>
      <c r="AH6" s="337">
        <f t="shared" si="3"/>
        <v>0.46964585041277274</v>
      </c>
      <c r="AJ6" s="175"/>
    </row>
    <row r="7" spans="1:40" ht="13" customHeight="1">
      <c r="B7" s="98" t="str">
        <f>IF('Summary | Sumário'!D$6=Names!B$3,Names!O34,Names!Z34)</f>
        <v>Real Estate</v>
      </c>
      <c r="C7" s="218">
        <v>0</v>
      </c>
      <c r="D7" s="218">
        <v>435019.64619000006</v>
      </c>
      <c r="E7" s="218">
        <f t="shared" si="4"/>
        <v>579506.26199999999</v>
      </c>
      <c r="F7" s="218">
        <f t="shared" si="5"/>
        <v>714011.42595000006</v>
      </c>
      <c r="G7" s="218">
        <f t="shared" si="6"/>
        <v>925900</v>
      </c>
      <c r="H7" s="218">
        <f t="shared" si="7"/>
        <v>1080760.6800631299</v>
      </c>
      <c r="I7" s="218">
        <f t="shared" si="0"/>
        <v>1889846</v>
      </c>
      <c r="J7" s="213"/>
      <c r="K7" s="218">
        <v>139297.851</v>
      </c>
      <c r="L7" s="218">
        <v>136320.81899999999</v>
      </c>
      <c r="M7" s="218">
        <v>141281.71</v>
      </c>
      <c r="N7" s="218">
        <v>162605.88200000001</v>
      </c>
      <c r="O7" s="218">
        <v>163483.92470999999</v>
      </c>
      <c r="P7" s="218">
        <v>208572.24767999997</v>
      </c>
      <c r="Q7" s="218">
        <v>169001.99365000005</v>
      </c>
      <c r="R7" s="218">
        <v>172953.25990999999</v>
      </c>
      <c r="S7" s="218">
        <v>220549.84688</v>
      </c>
      <c r="T7" s="218">
        <v>230186.84327000001</v>
      </c>
      <c r="U7" s="218">
        <v>210305.65125</v>
      </c>
      <c r="V7" s="218">
        <v>264857.65859999997</v>
      </c>
      <c r="W7" s="218">
        <v>268726.12008999998</v>
      </c>
      <c r="X7" s="218">
        <v>266162.86888999998</v>
      </c>
      <c r="Y7" s="218">
        <v>280656.44909697119</v>
      </c>
      <c r="Z7" s="218">
        <v>265215.24198615877</v>
      </c>
      <c r="AA7" s="218">
        <v>443469</v>
      </c>
      <c r="AB7" s="218">
        <v>507523</v>
      </c>
      <c r="AC7" s="218">
        <v>367166</v>
      </c>
      <c r="AD7" s="218">
        <v>571688</v>
      </c>
      <c r="AE7" s="218">
        <v>581995</v>
      </c>
      <c r="AF7" s="213"/>
      <c r="AG7" s="336">
        <f t="shared" si="2"/>
        <v>1.8029064804578665E-2</v>
      </c>
      <c r="AH7" s="336">
        <f t="shared" si="3"/>
        <v>0.31236907202081765</v>
      </c>
      <c r="AJ7" s="175"/>
    </row>
    <row r="8" spans="1:40" ht="13" customHeight="1">
      <c r="B8" s="491" t="str">
        <f>IF('Summary | Sumário'!D$6=Names!B$3,Names!O35,Names!Z35)</f>
        <v>Personal</v>
      </c>
      <c r="C8" s="213">
        <v>0</v>
      </c>
      <c r="D8" s="213">
        <v>194589.16927000001</v>
      </c>
      <c r="E8" s="213">
        <f t="shared" si="4"/>
        <v>319455.67200000002</v>
      </c>
      <c r="F8" s="213">
        <f t="shared" si="5"/>
        <v>583197.69805000001</v>
      </c>
      <c r="G8" s="213">
        <f t="shared" si="6"/>
        <v>1117470</v>
      </c>
      <c r="H8" s="213">
        <f t="shared" si="7"/>
        <v>1040254.5429802999</v>
      </c>
      <c r="I8" s="213">
        <f t="shared" si="0"/>
        <v>2447331</v>
      </c>
      <c r="J8" s="213"/>
      <c r="K8" s="213">
        <v>63981.644999999997</v>
      </c>
      <c r="L8" s="213">
        <v>73178.934000000008</v>
      </c>
      <c r="M8" s="213">
        <v>85052.814000000013</v>
      </c>
      <c r="N8" s="213">
        <v>97242.27900000001</v>
      </c>
      <c r="O8" s="213">
        <v>108222.83400999999</v>
      </c>
      <c r="P8" s="213">
        <v>133460.16244000001</v>
      </c>
      <c r="Q8" s="213">
        <v>159493.41924999998</v>
      </c>
      <c r="R8" s="213">
        <v>182021.28234999996</v>
      </c>
      <c r="S8" s="213">
        <v>223476.20140999998</v>
      </c>
      <c r="T8" s="213">
        <v>318868.07952999993</v>
      </c>
      <c r="U8" s="213">
        <v>215827.96117000002</v>
      </c>
      <c r="V8" s="213">
        <v>359297.75789000001</v>
      </c>
      <c r="W8" s="213">
        <v>275126</v>
      </c>
      <c r="X8" s="213">
        <v>204785.36600000001</v>
      </c>
      <c r="Y8" s="213">
        <v>355360.76014069101</v>
      </c>
      <c r="Z8" s="213">
        <v>204982.41683960881</v>
      </c>
      <c r="AA8" s="213">
        <v>473524</v>
      </c>
      <c r="AB8" s="213">
        <v>609166</v>
      </c>
      <c r="AC8" s="213">
        <v>662784</v>
      </c>
      <c r="AD8" s="213">
        <v>701857</v>
      </c>
      <c r="AE8" s="213">
        <v>698514</v>
      </c>
      <c r="AF8" s="213"/>
      <c r="AG8" s="337">
        <f t="shared" si="2"/>
        <v>-4.7630785188436109E-3</v>
      </c>
      <c r="AH8" s="337">
        <f t="shared" si="3"/>
        <v>0.47513959165744502</v>
      </c>
      <c r="AJ8" s="175"/>
    </row>
    <row r="9" spans="1:40" ht="13" customHeight="1">
      <c r="B9" s="98" t="str">
        <f>IF('Summary | Sumário'!D$6=Names!B$3,Names!O36,Names!Z36)</f>
        <v>SME</v>
      </c>
      <c r="C9" s="218">
        <v>0</v>
      </c>
      <c r="D9" s="218">
        <v>59990.754910000003</v>
      </c>
      <c r="E9" s="218">
        <f t="shared" si="4"/>
        <v>186131.85699999999</v>
      </c>
      <c r="F9" s="218">
        <f t="shared" si="5"/>
        <v>450650.24199999997</v>
      </c>
      <c r="G9" s="218">
        <f t="shared" si="6"/>
        <v>521929</v>
      </c>
      <c r="H9" s="218">
        <f t="shared" si="7"/>
        <v>567087.72747602698</v>
      </c>
      <c r="I9" s="218">
        <f t="shared" si="0"/>
        <v>571431</v>
      </c>
      <c r="J9" s="213"/>
      <c r="K9" s="218">
        <v>20454.21</v>
      </c>
      <c r="L9" s="218">
        <v>37744.78</v>
      </c>
      <c r="M9" s="218">
        <v>42772.136999999988</v>
      </c>
      <c r="N9" s="218">
        <v>85160.73000000001</v>
      </c>
      <c r="O9" s="218">
        <v>84615.255999999994</v>
      </c>
      <c r="P9" s="218">
        <v>107134.802</v>
      </c>
      <c r="Q9" s="218">
        <v>112397.92600000002</v>
      </c>
      <c r="R9" s="218">
        <v>146502.258</v>
      </c>
      <c r="S9" s="218">
        <v>124265.87599999999</v>
      </c>
      <c r="T9" s="218">
        <v>120750</v>
      </c>
      <c r="U9" s="218">
        <v>131787.38165</v>
      </c>
      <c r="V9" s="218">
        <v>145125.74235000001</v>
      </c>
      <c r="W9" s="218">
        <v>124639</v>
      </c>
      <c r="X9" s="218">
        <v>152217.704</v>
      </c>
      <c r="Y9" s="218">
        <v>145605.608548077</v>
      </c>
      <c r="Z9" s="218">
        <v>144625.41492794995</v>
      </c>
      <c r="AA9" s="218">
        <v>127223</v>
      </c>
      <c r="AB9" s="218">
        <v>136543</v>
      </c>
      <c r="AC9" s="218">
        <v>143359</v>
      </c>
      <c r="AD9" s="218">
        <v>164306</v>
      </c>
      <c r="AE9" s="218">
        <v>155714</v>
      </c>
      <c r="AF9" s="213"/>
      <c r="AG9" s="336">
        <f t="shared" si="2"/>
        <v>-5.229267342641164E-2</v>
      </c>
      <c r="AH9" s="336">
        <f t="shared" si="3"/>
        <v>0.22394535579258457</v>
      </c>
      <c r="AJ9" s="175"/>
    </row>
    <row r="10" spans="1:40" ht="13" customHeight="1">
      <c r="B10" s="491" t="str">
        <f>IF('Summary | Sumário'!D$6=Names!B$3,Names!O37,Names!Z37)</f>
        <v>Credit Cards</v>
      </c>
      <c r="C10" s="213">
        <v>0</v>
      </c>
      <c r="D10" s="213">
        <v>118278.86974999998</v>
      </c>
      <c r="E10" s="213">
        <f t="shared" si="4"/>
        <v>245100.40700000001</v>
      </c>
      <c r="F10" s="213">
        <f t="shared" si="5"/>
        <v>717577.09288999997</v>
      </c>
      <c r="G10" s="213">
        <f t="shared" si="6"/>
        <v>1246489</v>
      </c>
      <c r="H10" s="213">
        <f t="shared" si="7"/>
        <v>1478234.26339874</v>
      </c>
      <c r="I10" s="213">
        <f t="shared" si="0"/>
        <v>1997184</v>
      </c>
      <c r="J10" s="213"/>
      <c r="K10" s="213">
        <v>44269.502</v>
      </c>
      <c r="L10" s="213">
        <v>45538.873</v>
      </c>
      <c r="M10" s="213">
        <v>66073.068999999989</v>
      </c>
      <c r="N10" s="213">
        <v>89218.963000000018</v>
      </c>
      <c r="O10" s="213">
        <v>109464.90658000001</v>
      </c>
      <c r="P10" s="213">
        <v>137867.95378000001</v>
      </c>
      <c r="Q10" s="213">
        <v>231785.95109000002</v>
      </c>
      <c r="R10" s="213">
        <v>238458.28143999999</v>
      </c>
      <c r="S10" s="213">
        <v>272598.95357000001</v>
      </c>
      <c r="T10" s="213">
        <v>306514.12313000002</v>
      </c>
      <c r="U10" s="213">
        <v>333795.27627999999</v>
      </c>
      <c r="V10" s="213">
        <v>333580.64701999992</v>
      </c>
      <c r="W10" s="213">
        <v>352400</v>
      </c>
      <c r="X10" s="213">
        <v>369047.58500000002</v>
      </c>
      <c r="Y10" s="213">
        <v>379767.67666355905</v>
      </c>
      <c r="Z10" s="213">
        <v>377019.00173518108</v>
      </c>
      <c r="AA10" s="213">
        <v>403675</v>
      </c>
      <c r="AB10" s="213">
        <v>446533</v>
      </c>
      <c r="AC10" s="213">
        <v>551464</v>
      </c>
      <c r="AD10" s="213">
        <v>595512</v>
      </c>
      <c r="AE10" s="213">
        <v>691664</v>
      </c>
      <c r="AF10" s="213"/>
      <c r="AG10" s="337">
        <f t="shared" si="2"/>
        <v>0.16146106207767441</v>
      </c>
      <c r="AH10" s="337">
        <f t="shared" si="3"/>
        <v>0.71341797237877014</v>
      </c>
      <c r="AJ10" s="175"/>
    </row>
    <row r="11" spans="1:40" ht="13" customHeight="1">
      <c r="B11" s="99" t="str">
        <f>IF('Summary | Sumário'!D$6=Names!B$3,Names!O45,Names!Z45)</f>
        <v>Prepayment of receivables</v>
      </c>
      <c r="C11" s="218">
        <v>0</v>
      </c>
      <c r="D11" s="218">
        <v>793.77571</v>
      </c>
      <c r="E11" s="218">
        <f t="shared" si="4"/>
        <v>12540.518</v>
      </c>
      <c r="F11" s="218">
        <f t="shared" si="5"/>
        <v>101704.27800000001</v>
      </c>
      <c r="G11" s="218">
        <f t="shared" si="6"/>
        <v>242443</v>
      </c>
      <c r="H11" s="218">
        <f t="shared" si="7"/>
        <v>418724.30605999997</v>
      </c>
      <c r="I11" s="218">
        <f t="shared" si="0"/>
        <v>791786</v>
      </c>
      <c r="J11" s="213"/>
      <c r="K11" s="218">
        <v>2554.556</v>
      </c>
      <c r="L11" s="218">
        <v>2758.1950000000002</v>
      </c>
      <c r="M11" s="218">
        <v>1333.1729999999998</v>
      </c>
      <c r="N11" s="218">
        <v>5894.594000000001</v>
      </c>
      <c r="O11" s="218">
        <v>5242.8329999999996</v>
      </c>
      <c r="P11" s="218">
        <v>17718.065000000002</v>
      </c>
      <c r="Q11" s="218">
        <v>32903.998999999996</v>
      </c>
      <c r="R11" s="218">
        <v>45839.381000000008</v>
      </c>
      <c r="S11" s="218">
        <v>64806.196000000004</v>
      </c>
      <c r="T11" s="218">
        <v>59977</v>
      </c>
      <c r="U11" s="218">
        <v>60383</v>
      </c>
      <c r="V11" s="218">
        <v>57276.804000000004</v>
      </c>
      <c r="W11" s="218">
        <v>59662</v>
      </c>
      <c r="X11" s="218">
        <v>53645.453999999998</v>
      </c>
      <c r="Y11" s="218">
        <v>136932.53951</v>
      </c>
      <c r="Z11" s="218">
        <v>168484.31254999997</v>
      </c>
      <c r="AA11" s="218">
        <v>240697</v>
      </c>
      <c r="AB11" s="218">
        <v>246467</v>
      </c>
      <c r="AC11" s="218">
        <v>163154</v>
      </c>
      <c r="AD11" s="218">
        <v>141468</v>
      </c>
      <c r="AE11" s="218">
        <v>192085</v>
      </c>
      <c r="AF11" s="213"/>
      <c r="AG11" s="336">
        <f t="shared" si="2"/>
        <v>0.35779822998840727</v>
      </c>
      <c r="AH11" s="336">
        <f t="shared" si="3"/>
        <v>-0.20196346443869262</v>
      </c>
      <c r="AJ11" s="175"/>
    </row>
    <row r="12" spans="1:40" ht="14" customHeight="1">
      <c r="B12" s="492" t="str">
        <f>IF('Summary | Sumário'!D$6=Names!B$3,Names!O39,Names!Z39)</f>
        <v>Amounts due from financial institutions</v>
      </c>
      <c r="C12" s="213">
        <v>139642</v>
      </c>
      <c r="D12" s="213">
        <v>126619</v>
      </c>
      <c r="E12" s="213">
        <f t="shared" si="4"/>
        <v>71106.437999999995</v>
      </c>
      <c r="F12" s="213">
        <f t="shared" si="5"/>
        <v>221136.43900000001</v>
      </c>
      <c r="G12" s="213">
        <f t="shared" si="6"/>
        <v>497054</v>
      </c>
      <c r="H12" s="213">
        <f t="shared" si="7"/>
        <v>338955.05183999997</v>
      </c>
      <c r="I12" s="213">
        <f t="shared" si="0"/>
        <v>379823</v>
      </c>
      <c r="J12" s="213"/>
      <c r="K12" s="213">
        <v>14427.704</v>
      </c>
      <c r="L12" s="213">
        <v>7946.8799999999992</v>
      </c>
      <c r="M12" s="213">
        <v>24631.656000000003</v>
      </c>
      <c r="N12" s="213">
        <v>24100.197999999997</v>
      </c>
      <c r="O12" s="213">
        <v>30138.153999999999</v>
      </c>
      <c r="P12" s="213">
        <v>31814.657000000003</v>
      </c>
      <c r="Q12" s="213">
        <v>78399.862000000008</v>
      </c>
      <c r="R12" s="213">
        <v>80783.765999999989</v>
      </c>
      <c r="S12" s="213">
        <v>97468.479000000007</v>
      </c>
      <c r="T12" s="213">
        <v>114751</v>
      </c>
      <c r="U12" s="213">
        <v>147490</v>
      </c>
      <c r="V12" s="213">
        <v>137344.52100000001</v>
      </c>
      <c r="W12" s="213">
        <v>117428</v>
      </c>
      <c r="X12" s="213">
        <v>99401.437999999995</v>
      </c>
      <c r="Y12" s="213">
        <v>71615.8989899999</v>
      </c>
      <c r="Z12" s="213">
        <v>50509.714850000106</v>
      </c>
      <c r="AA12" s="213">
        <v>31738</v>
      </c>
      <c r="AB12" s="213">
        <v>65647</v>
      </c>
      <c r="AC12" s="213">
        <v>170971</v>
      </c>
      <c r="AD12" s="213">
        <v>111467</v>
      </c>
      <c r="AE12" s="213">
        <v>50945</v>
      </c>
      <c r="AF12" s="213"/>
      <c r="AG12" s="337">
        <f t="shared" si="2"/>
        <v>-0.54295890263486046</v>
      </c>
      <c r="AH12" s="337">
        <f t="shared" si="3"/>
        <v>0.60517360892305749</v>
      </c>
      <c r="AI12" s="147"/>
      <c r="AJ12" s="175"/>
    </row>
    <row r="13" spans="1:40" ht="13" customHeight="1">
      <c r="A13" s="198"/>
      <c r="B13" s="99" t="str">
        <f>IF('Summary | Sumário'!D$6=Names!B$3,Names!O41,Names!Z41)</f>
        <v xml:space="preserve">Others </v>
      </c>
      <c r="C13" s="218">
        <v>0</v>
      </c>
      <c r="D13" s="218">
        <v>7364.6793500000003</v>
      </c>
      <c r="E13" s="218">
        <f t="shared" si="4"/>
        <v>21586.092000000001</v>
      </c>
      <c r="F13" s="218">
        <f t="shared" si="5"/>
        <v>14380.906110000018</v>
      </c>
      <c r="G13" s="218">
        <f t="shared" si="6"/>
        <v>-1458</v>
      </c>
      <c r="H13" s="218">
        <f t="shared" si="7"/>
        <v>215195.96812633501</v>
      </c>
      <c r="I13" s="218">
        <f t="shared" si="0"/>
        <v>561076</v>
      </c>
      <c r="J13" s="213"/>
      <c r="K13" s="218">
        <v>4018.4669999999996</v>
      </c>
      <c r="L13" s="218">
        <v>2171.27</v>
      </c>
      <c r="M13" s="218">
        <v>6261.3210000000008</v>
      </c>
      <c r="N13" s="218">
        <v>9135.0339999999997</v>
      </c>
      <c r="O13" s="218">
        <v>19991.723699999999</v>
      </c>
      <c r="P13" s="218">
        <v>-14255.250899999999</v>
      </c>
      <c r="Q13" s="218">
        <v>4359.5800100000197</v>
      </c>
      <c r="R13" s="218">
        <v>4284.8532999999998</v>
      </c>
      <c r="S13" s="218">
        <v>9761.2691400000203</v>
      </c>
      <c r="T13" s="218">
        <v>57.954070000036197</v>
      </c>
      <c r="U13" s="218">
        <v>7345.8183899999603</v>
      </c>
      <c r="V13" s="218">
        <v>-18623.041600000019</v>
      </c>
      <c r="W13" s="218">
        <v>19548.879910000003</v>
      </c>
      <c r="X13" s="218">
        <v>27154.723109999999</v>
      </c>
      <c r="Y13" s="218">
        <v>42287.207184334788</v>
      </c>
      <c r="Z13" s="218">
        <v>126205.15792200022</v>
      </c>
      <c r="AA13" s="218">
        <v>86544</v>
      </c>
      <c r="AB13" s="218">
        <v>116335</v>
      </c>
      <c r="AC13" s="218">
        <v>167525</v>
      </c>
      <c r="AD13" s="218">
        <v>190672</v>
      </c>
      <c r="AE13" s="218">
        <v>198533</v>
      </c>
      <c r="AF13" s="213"/>
      <c r="AG13" s="336">
        <f t="shared" si="2"/>
        <v>4.1227867751951086E-2</v>
      </c>
      <c r="AH13" s="336">
        <f t="shared" si="3"/>
        <v>1.2940122943242742</v>
      </c>
      <c r="AI13" s="147"/>
      <c r="AJ13" s="175"/>
      <c r="AK13" s="195"/>
    </row>
    <row r="14" spans="1:40" ht="13" customHeight="1">
      <c r="B14" s="15" t="str">
        <f>IF('Summary | Sumário'!D$6=Names!B$3,Names!O42,Names!Z42)</f>
        <v>Interest expenses</v>
      </c>
      <c r="C14" s="213">
        <v>-256717</v>
      </c>
      <c r="D14" s="213">
        <v>-184335</v>
      </c>
      <c r="E14" s="213">
        <f t="shared" si="4"/>
        <v>-543242</v>
      </c>
      <c r="F14" s="213">
        <f t="shared" si="5"/>
        <v>-1972850</v>
      </c>
      <c r="G14" s="213">
        <f t="shared" si="6"/>
        <v>-2887573.0049999999</v>
      </c>
      <c r="H14" s="213">
        <f t="shared" si="7"/>
        <v>-3311638.4190579997</v>
      </c>
      <c r="I14" s="213">
        <f t="shared" si="0"/>
        <v>-5977127</v>
      </c>
      <c r="J14" s="213"/>
      <c r="K14" s="213">
        <v>-65559</v>
      </c>
      <c r="L14" s="213">
        <v>-86261</v>
      </c>
      <c r="M14" s="213">
        <v>-138587</v>
      </c>
      <c r="N14" s="213">
        <v>-252835</v>
      </c>
      <c r="O14" s="213">
        <v>-336771</v>
      </c>
      <c r="P14" s="213">
        <v>-465041</v>
      </c>
      <c r="Q14" s="213">
        <v>-579678</v>
      </c>
      <c r="R14" s="213">
        <v>-591360</v>
      </c>
      <c r="S14" s="213">
        <v>-672771</v>
      </c>
      <c r="T14" s="213">
        <v>-692206</v>
      </c>
      <c r="U14" s="213">
        <v>-770398</v>
      </c>
      <c r="V14" s="213">
        <v>-752198.00500000012</v>
      </c>
      <c r="W14" s="213">
        <v>-762246.89030000009</v>
      </c>
      <c r="X14" s="213">
        <v>-772642.60900000005</v>
      </c>
      <c r="Y14" s="213">
        <v>-835616.71799999999</v>
      </c>
      <c r="Z14" s="213">
        <v>-941132.20175799984</v>
      </c>
      <c r="AA14" s="213">
        <v>-1179020</v>
      </c>
      <c r="AB14" s="213">
        <v>-1423958</v>
      </c>
      <c r="AC14" s="213">
        <v>-1653759</v>
      </c>
      <c r="AD14" s="213">
        <v>-1720390</v>
      </c>
      <c r="AE14" s="213">
        <v>-1751480</v>
      </c>
      <c r="AF14" s="213"/>
      <c r="AG14" s="337">
        <f t="shared" si="2"/>
        <v>1.8071483791465948E-2</v>
      </c>
      <c r="AH14" s="337">
        <f t="shared" si="3"/>
        <v>0.48553883733948533</v>
      </c>
      <c r="AI14" s="147"/>
      <c r="AJ14" s="147"/>
    </row>
    <row r="15" spans="1:40" ht="13" customHeight="1">
      <c r="B15" s="99" t="str">
        <f>IF('Summary | Sumário'!D$6=Names!B$3,Names!O51,Names!Z51)</f>
        <v>Term deposits</v>
      </c>
      <c r="C15" s="218">
        <v>0</v>
      </c>
      <c r="D15" s="218">
        <v>-93319</v>
      </c>
      <c r="E15" s="218">
        <f t="shared" si="4"/>
        <v>-274240.897</v>
      </c>
      <c r="F15" s="218">
        <f t="shared" si="5"/>
        <v>-1028816.8320000001</v>
      </c>
      <c r="G15" s="218">
        <f t="shared" si="6"/>
        <v>-1631470</v>
      </c>
      <c r="H15" s="218">
        <f t="shared" si="7"/>
        <v>-1994190.6705399998</v>
      </c>
      <c r="I15" s="218">
        <f t="shared" si="0"/>
        <v>-3736253</v>
      </c>
      <c r="J15" s="213"/>
      <c r="K15" s="218">
        <v>-25065.286</v>
      </c>
      <c r="L15" s="218">
        <v>-45288.006000000001</v>
      </c>
      <c r="M15" s="218">
        <v>-78002.811000000016</v>
      </c>
      <c r="N15" s="218">
        <v>-125884.79399999999</v>
      </c>
      <c r="O15" s="218">
        <v>-177604.02900000001</v>
      </c>
      <c r="P15" s="218">
        <v>-239713.47799999997</v>
      </c>
      <c r="Q15" s="218">
        <v>-301469.19900000002</v>
      </c>
      <c r="R15" s="218">
        <v>-310030.12600000005</v>
      </c>
      <c r="S15" s="218">
        <v>-354160.50099999999</v>
      </c>
      <c r="T15" s="218">
        <v>-382393</v>
      </c>
      <c r="U15" s="218">
        <v>-448514</v>
      </c>
      <c r="V15" s="218">
        <v>-446402.49900000007</v>
      </c>
      <c r="W15" s="218">
        <v>-432672.71377999999</v>
      </c>
      <c r="X15" s="218">
        <v>-447290.62900000002</v>
      </c>
      <c r="Y15" s="218">
        <v>-523227.49734</v>
      </c>
      <c r="Z15" s="218">
        <v>-590999.83041999978</v>
      </c>
      <c r="AA15" s="218">
        <v>-697806</v>
      </c>
      <c r="AB15" s="218">
        <v>-855437</v>
      </c>
      <c r="AC15" s="218">
        <v>-1075663</v>
      </c>
      <c r="AD15" s="218">
        <v>-1107347</v>
      </c>
      <c r="AE15" s="218">
        <v>-1105516</v>
      </c>
      <c r="AF15" s="213"/>
      <c r="AG15" s="336">
        <f t="shared" si="2"/>
        <v>-1.6535015672594078E-3</v>
      </c>
      <c r="AH15" s="336">
        <f t="shared" si="3"/>
        <v>0.58427413923067451</v>
      </c>
      <c r="AI15" s="147"/>
      <c r="AJ15" s="147"/>
    </row>
    <row r="16" spans="1:40" ht="13" customHeight="1">
      <c r="B16" s="716" t="str">
        <f>IF('Summary | Sumário'!D$6=Names!B$3,Names!O52,Names!Z52)</f>
        <v>Funding in the open market</v>
      </c>
      <c r="C16" s="213">
        <v>0</v>
      </c>
      <c r="D16" s="213">
        <v>-73597</v>
      </c>
      <c r="E16" s="213">
        <v>-231246.83100000001</v>
      </c>
      <c r="F16" s="213">
        <v>-760511.01899999997</v>
      </c>
      <c r="G16" s="213">
        <v>-1016636</v>
      </c>
      <c r="H16" s="213">
        <v>-1044915.60173</v>
      </c>
      <c r="I16" s="213">
        <v>-1933456</v>
      </c>
      <c r="J16" s="213"/>
      <c r="K16" s="213">
        <v>-34710.417999999998</v>
      </c>
      <c r="L16" s="213">
        <v>-35918.767</v>
      </c>
      <c r="M16" s="213">
        <v>-54855.176000000014</v>
      </c>
      <c r="N16" s="213">
        <v>-105762.47</v>
      </c>
      <c r="O16" s="213">
        <v>-137379.93400000001</v>
      </c>
      <c r="P16" s="213">
        <v>-201195.05099999998</v>
      </c>
      <c r="Q16" s="213">
        <v>-197029.07000000007</v>
      </c>
      <c r="R16" s="213">
        <v>-224906.96399999992</v>
      </c>
      <c r="S16" s="213">
        <v>-271695.08500000002</v>
      </c>
      <c r="T16" s="213">
        <v>-260418</v>
      </c>
      <c r="U16" s="213">
        <v>-247243</v>
      </c>
      <c r="V16" s="213">
        <v>-237279.91500000004</v>
      </c>
      <c r="W16" s="213">
        <v>-248176.12664000003</v>
      </c>
      <c r="X16" s="213">
        <v>-238003.67300000001</v>
      </c>
      <c r="Y16" s="213">
        <v>-265782.21307</v>
      </c>
      <c r="Z16" s="213">
        <v>-292953.58901999996</v>
      </c>
      <c r="AA16" s="213">
        <v>-388645</v>
      </c>
      <c r="AB16" s="213">
        <v>-464565</v>
      </c>
      <c r="AC16" s="213">
        <v>-522552</v>
      </c>
      <c r="AD16" s="213">
        <v>-557694</v>
      </c>
      <c r="AE16" s="213">
        <v>-593502</v>
      </c>
      <c r="AF16" s="213"/>
      <c r="AG16" s="337">
        <f t="shared" si="2"/>
        <v>6.420725344005862E-2</v>
      </c>
      <c r="AH16" s="337">
        <f t="shared" si="3"/>
        <v>0.52710571344028612</v>
      </c>
      <c r="AI16" s="147"/>
      <c r="AJ16" s="147"/>
    </row>
    <row r="17" spans="1:37" ht="13" customHeight="1">
      <c r="B17" s="99" t="str">
        <f>IF('Summary | Sumário'!D$6=Names!B$3,Names!O55,Names!Z55)</f>
        <v xml:space="preserve">Others </v>
      </c>
      <c r="C17" s="218">
        <v>0</v>
      </c>
      <c r="D17" s="218">
        <f t="shared" ref="D17:AC17" si="8">D14-SUM(D15:D16)</f>
        <v>-17419</v>
      </c>
      <c r="E17" s="218">
        <f t="shared" si="8"/>
        <v>-37754.271999999997</v>
      </c>
      <c r="F17" s="218">
        <f t="shared" si="8"/>
        <v>-183522.14899999998</v>
      </c>
      <c r="G17" s="218">
        <f t="shared" si="8"/>
        <v>-239467.00499999989</v>
      </c>
      <c r="H17" s="218">
        <f t="shared" si="8"/>
        <v>-272532.14678800013</v>
      </c>
      <c r="I17" s="218">
        <f t="shared" si="8"/>
        <v>-307418</v>
      </c>
      <c r="J17" s="213"/>
      <c r="K17" s="218">
        <f t="shared" si="8"/>
        <v>-5783.2960000000021</v>
      </c>
      <c r="L17" s="218">
        <f t="shared" si="8"/>
        <v>-5054.226999999999</v>
      </c>
      <c r="M17" s="218">
        <f t="shared" si="8"/>
        <v>-5729.0129999999772</v>
      </c>
      <c r="N17" s="218">
        <f t="shared" si="8"/>
        <v>-21187.736000000004</v>
      </c>
      <c r="O17" s="218">
        <f t="shared" si="8"/>
        <v>-21787.037000000011</v>
      </c>
      <c r="P17" s="218">
        <f t="shared" si="8"/>
        <v>-24132.47100000002</v>
      </c>
      <c r="Q17" s="218">
        <f t="shared" si="8"/>
        <v>-81179.730999999912</v>
      </c>
      <c r="R17" s="218">
        <f t="shared" si="8"/>
        <v>-56422.910000000033</v>
      </c>
      <c r="S17" s="218">
        <f t="shared" si="8"/>
        <v>-46915.41399999999</v>
      </c>
      <c r="T17" s="218">
        <f t="shared" si="8"/>
        <v>-49395</v>
      </c>
      <c r="U17" s="218">
        <f t="shared" si="8"/>
        <v>-74641</v>
      </c>
      <c r="V17" s="218">
        <f t="shared" si="8"/>
        <v>-68515.591000000015</v>
      </c>
      <c r="W17" s="218">
        <f t="shared" si="8"/>
        <v>-81398.049880000064</v>
      </c>
      <c r="X17" s="218">
        <f t="shared" si="8"/>
        <v>-87348.30700000003</v>
      </c>
      <c r="Y17" s="218">
        <f t="shared" si="8"/>
        <v>-46607.007589999936</v>
      </c>
      <c r="Z17" s="218">
        <f t="shared" si="8"/>
        <v>-57178.7823180001</v>
      </c>
      <c r="AA17" s="218">
        <f t="shared" si="8"/>
        <v>-92569</v>
      </c>
      <c r="AB17" s="218">
        <f t="shared" si="8"/>
        <v>-103956</v>
      </c>
      <c r="AC17" s="218">
        <f t="shared" si="8"/>
        <v>-55544</v>
      </c>
      <c r="AD17" s="218">
        <f>AD14-SUM(AD15:AD16)</f>
        <v>-55349</v>
      </c>
      <c r="AE17" s="218">
        <f>AE14-SUM(AE15:AE16)</f>
        <v>-52462</v>
      </c>
      <c r="AF17" s="213"/>
      <c r="AG17" s="336">
        <f t="shared" si="2"/>
        <v>-5.2159930622052819E-2</v>
      </c>
      <c r="AH17" s="336">
        <f t="shared" si="3"/>
        <v>-0.43326599617582562</v>
      </c>
      <c r="AI17" s="147"/>
      <c r="AJ17" s="147"/>
    </row>
    <row r="18" spans="1:37" ht="13" customHeight="1">
      <c r="B18" s="15" t="str">
        <f>IF('Summary | Sumário'!D$6=Names!B$3,Names!O56,Names!Z56)</f>
        <v>Income from securities, derivatives and foreign exchange</v>
      </c>
      <c r="C18" s="213">
        <v>72729</v>
      </c>
      <c r="D18" s="213">
        <v>-25040</v>
      </c>
      <c r="E18" s="213">
        <f t="shared" si="4"/>
        <v>721949.66599999997</v>
      </c>
      <c r="F18" s="213">
        <f t="shared" si="5"/>
        <v>1605401.1030000001</v>
      </c>
      <c r="G18" s="213">
        <f t="shared" si="6"/>
        <v>1634543</v>
      </c>
      <c r="H18" s="213">
        <f t="shared" si="7"/>
        <v>2629169.8130000001</v>
      </c>
      <c r="I18" s="213">
        <f t="shared" ref="I18:I29" si="9">SUM(AA18:AD18)</f>
        <v>3612469</v>
      </c>
      <c r="J18" s="213"/>
      <c r="K18" s="213">
        <v>74012.403999999995</v>
      </c>
      <c r="L18" s="213">
        <v>89585.596000000005</v>
      </c>
      <c r="M18" s="213">
        <v>224342</v>
      </c>
      <c r="N18" s="213">
        <v>334009.66600000003</v>
      </c>
      <c r="O18" s="213">
        <v>376055.38299999997</v>
      </c>
      <c r="P18" s="213">
        <v>429378.674</v>
      </c>
      <c r="Q18" s="213">
        <v>378059.73599999998</v>
      </c>
      <c r="R18" s="213">
        <v>421907.31</v>
      </c>
      <c r="S18" s="213">
        <v>386325.30200000003</v>
      </c>
      <c r="T18" s="213">
        <v>369367</v>
      </c>
      <c r="U18" s="213">
        <v>508679.01922000002</v>
      </c>
      <c r="V18" s="213">
        <v>370171.67877999996</v>
      </c>
      <c r="W18" s="213">
        <v>537136.61082000006</v>
      </c>
      <c r="X18" s="213">
        <v>642093.19580384996</v>
      </c>
      <c r="Y18" s="213">
        <v>587740.70944000012</v>
      </c>
      <c r="Z18" s="213">
        <v>862199.29693614994</v>
      </c>
      <c r="AA18" s="213">
        <v>734744.3</v>
      </c>
      <c r="AB18" s="213">
        <v>765251</v>
      </c>
      <c r="AC18" s="213">
        <v>1050027</v>
      </c>
      <c r="AD18" s="213">
        <v>1062446.7000000002</v>
      </c>
      <c r="AE18" s="213">
        <v>1063780</v>
      </c>
      <c r="AF18" s="213"/>
      <c r="AG18" s="337">
        <f t="shared" si="2"/>
        <v>1.2549335416072172E-3</v>
      </c>
      <c r="AH18" s="337">
        <f t="shared" si="3"/>
        <v>0.44782341285260729</v>
      </c>
      <c r="AI18" s="147"/>
      <c r="AJ18" s="147"/>
    </row>
    <row r="19" spans="1:37" ht="13" customHeight="1">
      <c r="B19" s="99" t="str">
        <f>IF('Summary | Sumário'!D$6=Names!B$3,Names!O57,Names!Z57)</f>
        <v>Income from securities</v>
      </c>
      <c r="C19" s="218">
        <v>62518</v>
      </c>
      <c r="D19" s="218">
        <v>12060</v>
      </c>
      <c r="E19" s="218">
        <f t="shared" si="4"/>
        <v>745613</v>
      </c>
      <c r="F19" s="218">
        <f t="shared" si="5"/>
        <v>1471737</v>
      </c>
      <c r="G19" s="218">
        <f t="shared" si="6"/>
        <v>1615108</v>
      </c>
      <c r="H19" s="218">
        <f t="shared" si="7"/>
        <v>2007869.4701800002</v>
      </c>
      <c r="I19" s="218">
        <f t="shared" si="9"/>
        <v>3331154</v>
      </c>
      <c r="J19" s="213"/>
      <c r="K19" s="218">
        <v>88068</v>
      </c>
      <c r="L19" s="218">
        <v>106662</v>
      </c>
      <c r="M19" s="218">
        <v>228420</v>
      </c>
      <c r="N19" s="218">
        <v>322463</v>
      </c>
      <c r="O19" s="218">
        <v>348013</v>
      </c>
      <c r="P19" s="218">
        <v>406846</v>
      </c>
      <c r="Q19" s="218">
        <v>340982</v>
      </c>
      <c r="R19" s="218">
        <v>375896</v>
      </c>
      <c r="S19" s="218">
        <v>370924</v>
      </c>
      <c r="T19" s="218">
        <v>402038</v>
      </c>
      <c r="U19" s="218">
        <v>417887</v>
      </c>
      <c r="V19" s="218">
        <v>424259</v>
      </c>
      <c r="W19" s="218">
        <v>446719</v>
      </c>
      <c r="X19" s="218">
        <v>456585.37339384999</v>
      </c>
      <c r="Y19" s="218">
        <v>513731</v>
      </c>
      <c r="Z19" s="218">
        <v>590834.09678615024</v>
      </c>
      <c r="AA19" s="218">
        <v>737446</v>
      </c>
      <c r="AB19" s="218">
        <v>802844</v>
      </c>
      <c r="AC19" s="218">
        <v>832987</v>
      </c>
      <c r="AD19" s="218">
        <v>957877</v>
      </c>
      <c r="AE19" s="218">
        <v>954052</v>
      </c>
      <c r="AF19" s="213"/>
      <c r="AG19" s="336">
        <f t="shared" si="2"/>
        <v>-3.9932058082613464E-3</v>
      </c>
      <c r="AH19" s="336">
        <f t="shared" si="3"/>
        <v>0.29372455745912252</v>
      </c>
      <c r="AI19" s="147"/>
      <c r="AJ19" s="147"/>
    </row>
    <row r="20" spans="1:37" ht="13" customHeight="1">
      <c r="B20" s="491" t="str">
        <f>IF('Summary | Sumário'!D$6=Names!B$3,Names!O58,Names!Z58)</f>
        <v>Fair value throught other comprehensive income</v>
      </c>
      <c r="C20" s="213">
        <v>49230</v>
      </c>
      <c r="D20" s="213">
        <v>-7110</v>
      </c>
      <c r="E20" s="213">
        <f t="shared" si="4"/>
        <v>660584</v>
      </c>
      <c r="F20" s="213">
        <f t="shared" si="5"/>
        <v>1100970</v>
      </c>
      <c r="G20" s="213">
        <f t="shared" si="6"/>
        <v>1284794</v>
      </c>
      <c r="H20" s="213">
        <f t="shared" si="7"/>
        <v>1671055.76951</v>
      </c>
      <c r="I20" s="213">
        <f t="shared" si="9"/>
        <v>2802117</v>
      </c>
      <c r="J20" s="213"/>
      <c r="K20" s="213">
        <v>82568</v>
      </c>
      <c r="L20" s="213">
        <v>86703</v>
      </c>
      <c r="M20" s="213">
        <v>221395</v>
      </c>
      <c r="N20" s="213">
        <v>269918</v>
      </c>
      <c r="O20" s="213">
        <v>272383</v>
      </c>
      <c r="P20" s="213">
        <v>328769</v>
      </c>
      <c r="Q20" s="213">
        <v>217653</v>
      </c>
      <c r="R20" s="213">
        <v>282165</v>
      </c>
      <c r="S20" s="213">
        <v>288695</v>
      </c>
      <c r="T20" s="213">
        <v>295458</v>
      </c>
      <c r="U20" s="213">
        <v>333051</v>
      </c>
      <c r="V20" s="213">
        <v>367590</v>
      </c>
      <c r="W20" s="213">
        <v>380391.57521807228</v>
      </c>
      <c r="X20" s="213">
        <v>381322.39837999997</v>
      </c>
      <c r="Y20" s="213">
        <v>406807.95432000002</v>
      </c>
      <c r="Z20" s="213">
        <v>502533.84159192769</v>
      </c>
      <c r="AA20" s="213">
        <v>611742</v>
      </c>
      <c r="AB20" s="213">
        <v>687623</v>
      </c>
      <c r="AC20" s="213">
        <v>693041</v>
      </c>
      <c r="AD20" s="213">
        <v>809711</v>
      </c>
      <c r="AE20" s="213">
        <v>741288</v>
      </c>
      <c r="AF20" s="213"/>
      <c r="AG20" s="337">
        <f t="shared" si="2"/>
        <v>-8.4502989338171242E-2</v>
      </c>
      <c r="AH20" s="337">
        <f t="shared" si="3"/>
        <v>0.21176574438243567</v>
      </c>
      <c r="AI20" s="147"/>
      <c r="AJ20" s="147"/>
    </row>
    <row r="21" spans="1:37" ht="13" customHeight="1">
      <c r="B21" s="98" t="str">
        <f>IF('Summary | Sumário'!D$6=Names!B$3,Names!O59,Names!Z59)</f>
        <v>Fair value through proft or loss</v>
      </c>
      <c r="C21" s="218">
        <v>10422</v>
      </c>
      <c r="D21" s="218">
        <v>2021</v>
      </c>
      <c r="E21" s="218">
        <f t="shared" si="4"/>
        <v>-58754</v>
      </c>
      <c r="F21" s="218">
        <f t="shared" si="5"/>
        <v>209400</v>
      </c>
      <c r="G21" s="218">
        <f t="shared" si="6"/>
        <v>194250</v>
      </c>
      <c r="H21" s="218">
        <f t="shared" si="7"/>
        <v>298831.75513000001</v>
      </c>
      <c r="I21" s="218">
        <f t="shared" si="9"/>
        <v>512996</v>
      </c>
      <c r="J21" s="213"/>
      <c r="K21" s="218">
        <v>-320</v>
      </c>
      <c r="L21" s="218">
        <v>8357</v>
      </c>
      <c r="M21" s="218">
        <v>4751</v>
      </c>
      <c r="N21" s="218">
        <v>-71542</v>
      </c>
      <c r="O21" s="218">
        <v>47341</v>
      </c>
      <c r="P21" s="218">
        <v>35635</v>
      </c>
      <c r="Q21" s="218">
        <v>45470</v>
      </c>
      <c r="R21" s="218">
        <v>80954</v>
      </c>
      <c r="S21" s="218">
        <v>39277</v>
      </c>
      <c r="T21" s="218">
        <v>55362</v>
      </c>
      <c r="U21" s="218">
        <v>52227</v>
      </c>
      <c r="V21" s="218">
        <v>47384</v>
      </c>
      <c r="W21" s="218">
        <v>49225.531450000009</v>
      </c>
      <c r="X21" s="218">
        <v>63157.945570000011</v>
      </c>
      <c r="Y21" s="218">
        <v>102108.89573</v>
      </c>
      <c r="Z21" s="218">
        <v>84339.382379999966</v>
      </c>
      <c r="AA21" s="218">
        <v>122243</v>
      </c>
      <c r="AB21" s="218">
        <v>111472</v>
      </c>
      <c r="AC21" s="218">
        <v>135725</v>
      </c>
      <c r="AD21" s="218">
        <v>143556</v>
      </c>
      <c r="AE21" s="218">
        <v>184269</v>
      </c>
      <c r="AF21" s="213"/>
      <c r="AG21" s="336">
        <f t="shared" si="2"/>
        <v>0.28360361113433075</v>
      </c>
      <c r="AH21" s="336">
        <f t="shared" si="3"/>
        <v>0.50739919668201861</v>
      </c>
      <c r="AI21" s="147"/>
      <c r="AJ21" s="147"/>
    </row>
    <row r="22" spans="1:37" ht="13" customHeight="1">
      <c r="B22" s="491" t="str">
        <f>IF('Summary | Sumário'!D$6=Names!B$3,Names!O60,Names!Z60)</f>
        <v>Amortized cost</v>
      </c>
      <c r="C22" s="213">
        <v>2866</v>
      </c>
      <c r="D22" s="213">
        <v>17149</v>
      </c>
      <c r="E22" s="213">
        <f t="shared" si="4"/>
        <v>143783</v>
      </c>
      <c r="F22" s="213">
        <f t="shared" si="5"/>
        <v>161367</v>
      </c>
      <c r="G22" s="213">
        <f t="shared" si="6"/>
        <v>136064</v>
      </c>
      <c r="H22" s="213">
        <f t="shared" si="7"/>
        <v>37980.945540000001</v>
      </c>
      <c r="I22" s="213">
        <f t="shared" si="9"/>
        <v>16041</v>
      </c>
      <c r="J22" s="213"/>
      <c r="K22" s="213">
        <v>5820</v>
      </c>
      <c r="L22" s="213">
        <v>11602</v>
      </c>
      <c r="M22" s="213">
        <v>2274</v>
      </c>
      <c r="N22" s="213">
        <v>124087</v>
      </c>
      <c r="O22" s="213">
        <v>28289</v>
      </c>
      <c r="P22" s="213">
        <v>42442</v>
      </c>
      <c r="Q22" s="213">
        <v>77859</v>
      </c>
      <c r="R22" s="213">
        <v>12777</v>
      </c>
      <c r="S22" s="213">
        <v>42952</v>
      </c>
      <c r="T22" s="213">
        <v>51218</v>
      </c>
      <c r="U22" s="213">
        <v>32609</v>
      </c>
      <c r="V22" s="213">
        <v>9285</v>
      </c>
      <c r="W22" s="213">
        <v>17100.697370000002</v>
      </c>
      <c r="X22" s="213">
        <v>12105.029443849995</v>
      </c>
      <c r="Y22" s="213">
        <v>4814.1276680228402</v>
      </c>
      <c r="Z22" s="213">
        <v>3961.0910581271601</v>
      </c>
      <c r="AA22" s="213">
        <v>3461</v>
      </c>
      <c r="AB22" s="213">
        <v>3749</v>
      </c>
      <c r="AC22" s="213">
        <v>4221</v>
      </c>
      <c r="AD22" s="213">
        <v>4610</v>
      </c>
      <c r="AE22" s="213">
        <v>28495</v>
      </c>
      <c r="AF22" s="213"/>
      <c r="AG22" s="337">
        <f t="shared" si="2"/>
        <v>5.1811279826464212</v>
      </c>
      <c r="AH22" s="337">
        <f t="shared" si="3"/>
        <v>7.233169604160647</v>
      </c>
      <c r="AI22" s="147"/>
      <c r="AJ22" s="147"/>
    </row>
    <row r="23" spans="1:37" ht="13" customHeight="1">
      <c r="B23" s="99" t="str">
        <f>IF('Summary | Sumário'!D$6=Names!B$3,Names!O61,Names!Z61)</f>
        <v>Income from derivatives</v>
      </c>
      <c r="C23" s="218">
        <v>4235</v>
      </c>
      <c r="D23" s="218">
        <v>-54418</v>
      </c>
      <c r="E23" s="218">
        <f t="shared" si="4"/>
        <v>-48330.334000000003</v>
      </c>
      <c r="F23" s="218">
        <f t="shared" si="5"/>
        <v>33884.103000000003</v>
      </c>
      <c r="G23" s="218">
        <f t="shared" si="6"/>
        <v>-69273</v>
      </c>
      <c r="H23" s="218">
        <f t="shared" si="7"/>
        <v>546712.54295000003</v>
      </c>
      <c r="I23" s="218">
        <f t="shared" si="9"/>
        <v>145044</v>
      </c>
      <c r="J23" s="213"/>
      <c r="K23" s="218">
        <v>-19931.596000000001</v>
      </c>
      <c r="L23" s="218">
        <v>-23765.403999999999</v>
      </c>
      <c r="M23" s="218">
        <v>-9869</v>
      </c>
      <c r="N23" s="218">
        <v>5235.6660000000011</v>
      </c>
      <c r="O23" s="218">
        <v>11009.383</v>
      </c>
      <c r="P23" s="218">
        <v>-3030.3259999999982</v>
      </c>
      <c r="Q23" s="218">
        <v>5940.735999999999</v>
      </c>
      <c r="R23" s="218">
        <v>19964.310000000001</v>
      </c>
      <c r="S23" s="218">
        <v>482.30199999999877</v>
      </c>
      <c r="T23" s="218">
        <v>-58862</v>
      </c>
      <c r="U23" s="218">
        <v>64133.019220000024</v>
      </c>
      <c r="V23" s="218">
        <v>-75026.321220000013</v>
      </c>
      <c r="W23" s="218">
        <v>68661.610820000031</v>
      </c>
      <c r="X23" s="218">
        <v>173310.82241000002</v>
      </c>
      <c r="Y23" s="218">
        <v>44424.709440000101</v>
      </c>
      <c r="Z23" s="218">
        <v>260315.40027999989</v>
      </c>
      <c r="AA23" s="218">
        <v>-19187</v>
      </c>
      <c r="AB23" s="218">
        <v>-54549</v>
      </c>
      <c r="AC23" s="218">
        <v>182632</v>
      </c>
      <c r="AD23" s="218">
        <v>36148</v>
      </c>
      <c r="AE23" s="218">
        <v>113237</v>
      </c>
      <c r="AF23" s="213"/>
      <c r="AG23" s="336">
        <f t="shared" si="2"/>
        <v>2.1325937811220537</v>
      </c>
      <c r="AH23" s="336">
        <f t="shared" si="3"/>
        <v>-6.9017563975608489</v>
      </c>
      <c r="AI23" s="147"/>
      <c r="AJ23" s="147"/>
    </row>
    <row r="24" spans="1:37" s="731" customFormat="1" ht="13" customHeight="1">
      <c r="B24" s="732" t="str">
        <f>IF('Summary | Sumário'!D$6=Names!B$3,Names!O63,Names!Z63)</f>
        <v>Fixed-term contracts</v>
      </c>
      <c r="C24" s="733">
        <v>4337</v>
      </c>
      <c r="D24" s="733">
        <v>305</v>
      </c>
      <c r="E24" s="733">
        <f t="shared" si="4"/>
        <v>8987.2690000000002</v>
      </c>
      <c r="F24" s="733">
        <f t="shared" si="5"/>
        <v>4475.3869999999997</v>
      </c>
      <c r="G24" s="733">
        <f t="shared" si="6"/>
        <v>-2445</v>
      </c>
      <c r="H24" s="733">
        <f t="shared" si="7"/>
        <v>40987.29176</v>
      </c>
      <c r="I24" s="733">
        <f t="shared" si="9"/>
        <v>-74536</v>
      </c>
      <c r="J24" s="733"/>
      <c r="K24" s="733">
        <v>239.404</v>
      </c>
      <c r="L24" s="733">
        <v>259.596</v>
      </c>
      <c r="M24" s="733">
        <v>165</v>
      </c>
      <c r="N24" s="733">
        <v>8323.2690000000002</v>
      </c>
      <c r="O24" s="733">
        <v>444.61500000000001</v>
      </c>
      <c r="P24" s="733">
        <v>647.42100000000005</v>
      </c>
      <c r="Q24" s="733">
        <v>47.963999999999942</v>
      </c>
      <c r="R24" s="733">
        <v>3335.3869999999997</v>
      </c>
      <c r="S24" s="733">
        <v>3045.3519999999999</v>
      </c>
      <c r="T24" s="733">
        <v>-5487</v>
      </c>
      <c r="U24" s="733">
        <v>-824.76097999999956</v>
      </c>
      <c r="V24" s="733">
        <v>821.4089799999997</v>
      </c>
      <c r="W24" s="733">
        <v>-1212.2091199999995</v>
      </c>
      <c r="X24" s="733">
        <v>15228.915119999998</v>
      </c>
      <c r="Y24" s="733">
        <v>6567.74514</v>
      </c>
      <c r="Z24" s="733">
        <v>20402.840620000003</v>
      </c>
      <c r="AA24" s="733">
        <v>-27091</v>
      </c>
      <c r="AB24" s="733">
        <v>-21899</v>
      </c>
      <c r="AC24" s="733">
        <v>-31330</v>
      </c>
      <c r="AD24" s="733">
        <v>5784</v>
      </c>
      <c r="AE24" s="733">
        <v>-32375</v>
      </c>
      <c r="AF24" s="733"/>
      <c r="AG24" s="690">
        <f t="shared" si="2"/>
        <v>-6.5973374827109268</v>
      </c>
      <c r="AH24" s="690">
        <f t="shared" si="3"/>
        <v>0.19504632534790156</v>
      </c>
      <c r="AI24" s="734"/>
      <c r="AJ24" s="734"/>
    </row>
    <row r="25" spans="1:37" ht="13" customHeight="1">
      <c r="B25" s="98" t="str">
        <f>IF('Summary | Sumário'!D$6=Names!B$3,Names!O64,Names!Z64)</f>
        <v>Futures contrats and swaps</v>
      </c>
      <c r="C25" s="218">
        <v>-102</v>
      </c>
      <c r="D25" s="218">
        <v>-54723</v>
      </c>
      <c r="E25" s="218">
        <f t="shared" si="4"/>
        <v>-57317.603000000003</v>
      </c>
      <c r="F25" s="218">
        <f t="shared" si="5"/>
        <v>29408.716000000004</v>
      </c>
      <c r="G25" s="218">
        <f t="shared" si="6"/>
        <v>-66828</v>
      </c>
      <c r="H25" s="218">
        <f t="shared" si="7"/>
        <v>553741.07030999998</v>
      </c>
      <c r="I25" s="218">
        <f t="shared" si="9"/>
        <v>219580</v>
      </c>
      <c r="J25" s="213"/>
      <c r="K25" s="218">
        <v>-20171</v>
      </c>
      <c r="L25" s="218">
        <v>-24025</v>
      </c>
      <c r="M25" s="218">
        <v>-10034</v>
      </c>
      <c r="N25" s="218">
        <v>-3087.6030000000001</v>
      </c>
      <c r="O25" s="218">
        <v>10564.768</v>
      </c>
      <c r="P25" s="218">
        <v>-3677.7469999999985</v>
      </c>
      <c r="Q25" s="218">
        <v>5892.771999999999</v>
      </c>
      <c r="R25" s="218">
        <v>16628.923000000003</v>
      </c>
      <c r="S25" s="218">
        <v>-2563.0500000000011</v>
      </c>
      <c r="T25" s="218">
        <v>-53375</v>
      </c>
      <c r="U25" s="218">
        <v>64957.780200000023</v>
      </c>
      <c r="V25" s="218">
        <v>-75847.73020000002</v>
      </c>
      <c r="W25" s="218">
        <v>69873.819940000001</v>
      </c>
      <c r="X25" s="218">
        <v>158081.90729</v>
      </c>
      <c r="Y25" s="218">
        <v>37856.964300000094</v>
      </c>
      <c r="Z25" s="218">
        <v>287928.37877999985</v>
      </c>
      <c r="AA25" s="218">
        <v>7904</v>
      </c>
      <c r="AB25" s="218">
        <v>-32650</v>
      </c>
      <c r="AC25" s="218">
        <v>213962</v>
      </c>
      <c r="AD25" s="218">
        <v>30364</v>
      </c>
      <c r="AE25" s="218">
        <v>145612</v>
      </c>
      <c r="AF25" s="213"/>
      <c r="AG25" s="336">
        <f t="shared" si="2"/>
        <v>3.7955473587142672</v>
      </c>
      <c r="AH25" s="336">
        <f t="shared" si="3"/>
        <v>17.42257085020243</v>
      </c>
      <c r="AI25" s="147"/>
      <c r="AJ25" s="147"/>
    </row>
    <row r="26" spans="1:37" ht="13" customHeight="1">
      <c r="B26" s="735" t="str">
        <f>IF('Summary | Sumário'!D$6=Names!B$3,Names!O65,Names!Z65)</f>
        <v>Hedge accounting real estate loans</v>
      </c>
      <c r="C26" s="736">
        <v>0</v>
      </c>
      <c r="D26" s="733">
        <v>-70972.398829336977</v>
      </c>
      <c r="E26" s="733">
        <f t="shared" si="4"/>
        <v>-73354.239000000001</v>
      </c>
      <c r="F26" s="733">
        <f t="shared" si="5"/>
        <v>-27585.400999999998</v>
      </c>
      <c r="G26" s="733">
        <f t="shared" si="6"/>
        <v>-9439.8214100000023</v>
      </c>
      <c r="H26" s="733">
        <f t="shared" si="7"/>
        <v>208310.60479145829</v>
      </c>
      <c r="I26" s="733">
        <f t="shared" si="9"/>
        <v>105190.32837999998</v>
      </c>
      <c r="J26" s="733"/>
      <c r="K26" s="733">
        <v>-16468.116999999998</v>
      </c>
      <c r="L26" s="733">
        <v>-36410.913999999997</v>
      </c>
      <c r="M26" s="733">
        <v>-2915.415</v>
      </c>
      <c r="N26" s="733">
        <v>-17559.793000000001</v>
      </c>
      <c r="O26" s="733">
        <v>-8323.277</v>
      </c>
      <c r="P26" s="733">
        <v>-14497.851000000001</v>
      </c>
      <c r="Q26" s="733">
        <v>-8870.1569999999992</v>
      </c>
      <c r="R26" s="733">
        <v>4105.884</v>
      </c>
      <c r="S26" s="733">
        <v>-5114.3909999999996</v>
      </c>
      <c r="T26" s="733">
        <v>6039.93</v>
      </c>
      <c r="U26" s="733">
        <v>6136.5408399999997</v>
      </c>
      <c r="V26" s="733">
        <v>-16501.901250000003</v>
      </c>
      <c r="W26" s="733">
        <v>26412.795423179959</v>
      </c>
      <c r="X26" s="733">
        <v>67242.322886524373</v>
      </c>
      <c r="Y26" s="733">
        <v>10952.83</v>
      </c>
      <c r="Z26" s="733">
        <v>103702.65648175398</v>
      </c>
      <c r="AA26" s="733">
        <v>-15169.155000000001</v>
      </c>
      <c r="AB26" s="733">
        <v>-20521.455000000002</v>
      </c>
      <c r="AC26" s="733">
        <v>136520.41337999998</v>
      </c>
      <c r="AD26" s="733">
        <v>4360.5249999999996</v>
      </c>
      <c r="AE26" s="733">
        <v>-949.51445000000194</v>
      </c>
      <c r="AF26" s="733"/>
      <c r="AG26" s="690">
        <f t="shared" si="2"/>
        <v>-1.2177523234014258</v>
      </c>
      <c r="AH26" s="690">
        <f t="shared" si="3"/>
        <v>-0.93740492136839515</v>
      </c>
      <c r="AI26" s="147"/>
      <c r="AJ26" s="147"/>
    </row>
    <row r="27" spans="1:37" ht="13" customHeight="1">
      <c r="B27" s="116" t="str">
        <f>IF('Summary | Sumário'!D$6=Names!B$3,Names!O66,Names!Z66)</f>
        <v>Hedge accounting from personal loans</v>
      </c>
      <c r="C27" s="220">
        <v>0</v>
      </c>
      <c r="D27" s="218">
        <v>0</v>
      </c>
      <c r="E27" s="218">
        <f t="shared" si="4"/>
        <v>0</v>
      </c>
      <c r="F27" s="218">
        <f t="shared" si="5"/>
        <v>0</v>
      </c>
      <c r="G27" s="218">
        <f t="shared" si="6"/>
        <v>-104805.87383</v>
      </c>
      <c r="H27" s="218">
        <f t="shared" si="7"/>
        <v>343477.48167000001</v>
      </c>
      <c r="I27" s="218">
        <f t="shared" si="9"/>
        <v>-99894.082809999993</v>
      </c>
      <c r="J27" s="213"/>
      <c r="K27" s="218">
        <v>0</v>
      </c>
      <c r="L27" s="218">
        <v>0</v>
      </c>
      <c r="M27" s="218">
        <v>0</v>
      </c>
      <c r="N27" s="218">
        <v>0</v>
      </c>
      <c r="O27" s="218">
        <v>0</v>
      </c>
      <c r="P27" s="218">
        <v>0</v>
      </c>
      <c r="Q27" s="218">
        <v>0</v>
      </c>
      <c r="R27" s="218">
        <v>0</v>
      </c>
      <c r="S27" s="218">
        <v>-14277.970720000001</v>
      </c>
      <c r="T27" s="218">
        <v>-65034.58827</v>
      </c>
      <c r="U27" s="218">
        <v>45457.766470000002</v>
      </c>
      <c r="V27" s="218">
        <v>-70951.081309999994</v>
      </c>
      <c r="W27" s="218">
        <v>42486.294860000002</v>
      </c>
      <c r="X27" s="218">
        <v>120316.48633000001</v>
      </c>
      <c r="Y27" s="218">
        <v>10504.47</v>
      </c>
      <c r="Z27" s="218">
        <v>170170.23048</v>
      </c>
      <c r="AA27" s="218">
        <v>-52954.925000000003</v>
      </c>
      <c r="AB27" s="218">
        <v>-65304.398000000001</v>
      </c>
      <c r="AC27" s="218">
        <v>13502.240190000006</v>
      </c>
      <c r="AD27" s="218">
        <v>4863</v>
      </c>
      <c r="AE27" s="218">
        <v>28586.45</v>
      </c>
      <c r="AF27" s="213"/>
      <c r="AG27" s="336">
        <f t="shared" si="2"/>
        <v>4.8783569812872711</v>
      </c>
      <c r="AH27" s="336">
        <f t="shared" si="3"/>
        <v>-1.5398260879417731</v>
      </c>
      <c r="AI27" s="147"/>
      <c r="AJ27" s="147"/>
    </row>
    <row r="28" spans="1:37" ht="13" customHeight="1">
      <c r="B28" s="735" t="str">
        <f>IF('Summary | Sumário'!D$6=Names!B$3,Names!O67,Names!Z67)</f>
        <v>Other results</v>
      </c>
      <c r="C28" s="736">
        <v>0</v>
      </c>
      <c r="D28" s="733">
        <v>16169.398829336977</v>
      </c>
      <c r="E28" s="733">
        <f t="shared" si="4"/>
        <v>13197.238999999998</v>
      </c>
      <c r="F28" s="733">
        <f t="shared" si="5"/>
        <v>56994.117000000006</v>
      </c>
      <c r="G28" s="733">
        <f t="shared" si="6"/>
        <v>47417.695240000001</v>
      </c>
      <c r="H28" s="733">
        <f t="shared" si="7"/>
        <v>1952.9838485416585</v>
      </c>
      <c r="I28" s="733">
        <f t="shared" si="9"/>
        <v>214283.75443</v>
      </c>
      <c r="J28" s="733"/>
      <c r="K28" s="733">
        <v>-3749.8830000000016</v>
      </c>
      <c r="L28" s="733">
        <v>12412.913999999997</v>
      </c>
      <c r="M28" s="733">
        <v>-6632.585</v>
      </c>
      <c r="N28" s="733">
        <v>11166.793000000001</v>
      </c>
      <c r="O28" s="733">
        <v>18888.044999999998</v>
      </c>
      <c r="P28" s="733">
        <v>10820.104000000003</v>
      </c>
      <c r="Q28" s="733">
        <v>14762.928999999998</v>
      </c>
      <c r="R28" s="733">
        <v>12523.039000000002</v>
      </c>
      <c r="S28" s="733">
        <v>16829.311719999998</v>
      </c>
      <c r="T28" s="733">
        <v>5619.6582699999999</v>
      </c>
      <c r="U28" s="733">
        <v>13363.472890000019</v>
      </c>
      <c r="V28" s="733">
        <v>11605.252359999984</v>
      </c>
      <c r="W28" s="733">
        <v>974.72965682003996</v>
      </c>
      <c r="X28" s="733">
        <v>-29476.901926524384</v>
      </c>
      <c r="Y28" s="733">
        <v>16399.664300000095</v>
      </c>
      <c r="Z28" s="733">
        <v>14055.491818245908</v>
      </c>
      <c r="AA28" s="733">
        <v>76028.08</v>
      </c>
      <c r="AB28" s="733">
        <v>53175.853000000003</v>
      </c>
      <c r="AC28" s="733">
        <v>63939.346430000005</v>
      </c>
      <c r="AD28" s="733">
        <v>21140.474999999999</v>
      </c>
      <c r="AE28" s="733">
        <v>117975.06445000001</v>
      </c>
      <c r="AF28" s="733"/>
      <c r="AG28" s="690">
        <f t="shared" si="2"/>
        <v>4.5805304492921763</v>
      </c>
      <c r="AH28" s="690">
        <f t="shared" si="3"/>
        <v>0.55173015614757071</v>
      </c>
      <c r="AI28" s="147"/>
      <c r="AJ28" s="147"/>
    </row>
    <row r="29" spans="1:37" ht="13" customHeight="1">
      <c r="B29" s="99" t="str">
        <f>IF('Summary | Sumário'!D$6=Names!B$3,Names!O68,Names!Z68)</f>
        <v>Revenue foreign exchange</v>
      </c>
      <c r="C29" s="220">
        <v>5976</v>
      </c>
      <c r="D29" s="218">
        <v>17318</v>
      </c>
      <c r="E29" s="218">
        <v>24667</v>
      </c>
      <c r="F29" s="218">
        <v>99780</v>
      </c>
      <c r="G29" s="218">
        <v>88708</v>
      </c>
      <c r="H29" s="218">
        <f t="shared" si="7"/>
        <v>74587.800272134002</v>
      </c>
      <c r="I29" s="218">
        <f t="shared" si="9"/>
        <v>136271</v>
      </c>
      <c r="J29" s="213"/>
      <c r="K29" s="218">
        <v>5876</v>
      </c>
      <c r="L29" s="218">
        <v>6689</v>
      </c>
      <c r="M29" s="218">
        <v>5791</v>
      </c>
      <c r="N29" s="218">
        <v>6311</v>
      </c>
      <c r="O29" s="218">
        <v>17033</v>
      </c>
      <c r="P29" s="218">
        <v>25563</v>
      </c>
      <c r="Q29" s="218">
        <v>31137</v>
      </c>
      <c r="R29" s="218">
        <v>26047</v>
      </c>
      <c r="S29" s="218">
        <v>14919</v>
      </c>
      <c r="T29" s="218">
        <v>26191</v>
      </c>
      <c r="U29" s="218">
        <v>26659</v>
      </c>
      <c r="V29" s="218">
        <v>20939</v>
      </c>
      <c r="W29" s="218">
        <v>21756</v>
      </c>
      <c r="X29" s="218">
        <v>12197</v>
      </c>
      <c r="Y29" s="218">
        <v>29585</v>
      </c>
      <c r="Z29" s="218">
        <v>11049.800272134002</v>
      </c>
      <c r="AA29" s="218">
        <v>16485.3</v>
      </c>
      <c r="AB29" s="218">
        <v>16956</v>
      </c>
      <c r="AC29" s="218">
        <v>34408</v>
      </c>
      <c r="AD29" s="218">
        <v>68421.7</v>
      </c>
      <c r="AE29" s="218">
        <v>-3509</v>
      </c>
      <c r="AF29" s="213"/>
      <c r="AG29" s="737">
        <f t="shared" si="2"/>
        <v>-1.0512848993813366</v>
      </c>
      <c r="AH29" s="737">
        <f t="shared" si="3"/>
        <v>-1.2128563022814265</v>
      </c>
      <c r="AI29" s="147"/>
      <c r="AJ29" s="147"/>
    </row>
    <row r="30" spans="1:37" ht="13" customHeight="1">
      <c r="B30" s="738" t="s">
        <v>225</v>
      </c>
      <c r="C30" s="739">
        <v>591527</v>
      </c>
      <c r="D30" s="739">
        <v>733280.89517999999</v>
      </c>
      <c r="E30" s="739">
        <f>SUM(K30:N30)</f>
        <v>1614134.912</v>
      </c>
      <c r="F30" s="739">
        <f>SUM(O30:R30)</f>
        <v>2435209.1849999996</v>
      </c>
      <c r="G30" s="739">
        <f>SUM(S30:V30)</f>
        <v>3296796.9950000001</v>
      </c>
      <c r="H30" s="739">
        <f>SUM(W30:Z30)</f>
        <v>4456744.3939420003</v>
      </c>
      <c r="I30" s="739">
        <f>SUM(AA30:AD30)</f>
        <v>6273819</v>
      </c>
      <c r="J30" s="740"/>
      <c r="K30" s="739">
        <v>297457.33899999998</v>
      </c>
      <c r="L30" s="739">
        <v>308984.34700000007</v>
      </c>
      <c r="M30" s="739">
        <v>453160.88</v>
      </c>
      <c r="N30" s="739">
        <v>554532.34600000002</v>
      </c>
      <c r="O30" s="739">
        <v>560444.0149999999</v>
      </c>
      <c r="P30" s="739">
        <v>586650.3110000001</v>
      </c>
      <c r="Q30" s="739">
        <v>586724.46699999995</v>
      </c>
      <c r="R30" s="739">
        <v>701390.39199999999</v>
      </c>
      <c r="S30" s="739">
        <v>726481.12400000007</v>
      </c>
      <c r="T30" s="739">
        <v>828266</v>
      </c>
      <c r="U30" s="739">
        <v>845216.10796000005</v>
      </c>
      <c r="V30" s="739">
        <v>896833.76303999987</v>
      </c>
      <c r="W30" s="739">
        <v>992420.72051999974</v>
      </c>
      <c r="X30" s="739">
        <v>1041865.7258038499</v>
      </c>
      <c r="Y30" s="739">
        <v>1164350.1315736333</v>
      </c>
      <c r="Z30" s="739">
        <v>1258107.8160445173</v>
      </c>
      <c r="AA30" s="739">
        <v>1362594.3</v>
      </c>
      <c r="AB30" s="739">
        <v>1469507</v>
      </c>
      <c r="AC30" s="739">
        <v>1622691</v>
      </c>
      <c r="AD30" s="739">
        <v>1819026.7000000002</v>
      </c>
      <c r="AE30" s="739">
        <v>1881750</v>
      </c>
      <c r="AF30" s="731"/>
      <c r="AG30" s="741">
        <f t="shared" si="2"/>
        <v>3.4481791828564035E-2</v>
      </c>
      <c r="AH30" s="741">
        <f t="shared" si="3"/>
        <v>0.38100533665816738</v>
      </c>
    </row>
    <row r="31" spans="1:37" ht="13" customHeight="1">
      <c r="A31" s="198"/>
      <c r="B31" s="514"/>
      <c r="C31" s="505"/>
      <c r="D31" s="505"/>
      <c r="E31" s="505"/>
      <c r="F31" s="505"/>
      <c r="G31" s="505"/>
      <c r="H31" s="505"/>
      <c r="I31" s="505"/>
      <c r="J31" s="505"/>
      <c r="K31" s="505"/>
      <c r="L31" s="505"/>
      <c r="M31" s="505"/>
      <c r="N31" s="505"/>
      <c r="O31" s="505"/>
      <c r="P31" s="505"/>
      <c r="Q31" s="505"/>
      <c r="R31" s="505"/>
      <c r="S31" s="505"/>
      <c r="T31" s="505"/>
      <c r="U31" s="505"/>
      <c r="V31" s="505"/>
      <c r="W31" s="505"/>
      <c r="X31" s="505"/>
      <c r="Y31" s="505"/>
      <c r="Z31" s="505"/>
      <c r="AA31" s="505"/>
      <c r="AB31" s="505"/>
      <c r="AC31" s="505"/>
      <c r="AD31" s="505"/>
      <c r="AE31" s="505"/>
      <c r="AF31" s="505"/>
      <c r="AG31" s="318"/>
      <c r="AH31" s="318"/>
      <c r="AI31" s="147"/>
      <c r="AJ31" s="147"/>
      <c r="AK31" s="195"/>
    </row>
    <row r="33" spans="1:37" ht="13" customHeight="1">
      <c r="A33" s="198"/>
      <c r="B33" s="264" t="str">
        <f>IF('Summary | Sumário'!D$6=Names!B$3,Names!O32,Names!Z32)</f>
        <v>Interest income</v>
      </c>
      <c r="C33" s="520">
        <f t="shared" ref="C33:I33" si="10">C5</f>
        <v>775515</v>
      </c>
      <c r="D33" s="520">
        <f t="shared" si="10"/>
        <v>942655.89517999999</v>
      </c>
      <c r="E33" s="520">
        <f t="shared" si="10"/>
        <v>1435427.246</v>
      </c>
      <c r="F33" s="520">
        <f t="shared" si="10"/>
        <v>2802658.0819999999</v>
      </c>
      <c r="G33" s="520">
        <f t="shared" si="10"/>
        <v>4549827</v>
      </c>
      <c r="H33" s="520">
        <f t="shared" si="10"/>
        <v>5139213.5399445314</v>
      </c>
      <c r="I33" s="520">
        <f t="shared" si="10"/>
        <v>8638477</v>
      </c>
      <c r="J33" s="522"/>
      <c r="K33" s="520">
        <f t="shared" ref="K33:AD33" si="11">K5</f>
        <v>289003.935</v>
      </c>
      <c r="L33" s="520">
        <f t="shared" si="11"/>
        <v>305659.75100000005</v>
      </c>
      <c r="M33" s="520">
        <f t="shared" si="11"/>
        <v>367405.88</v>
      </c>
      <c r="N33" s="520">
        <f t="shared" si="11"/>
        <v>473357.68</v>
      </c>
      <c r="O33" s="520">
        <f t="shared" si="11"/>
        <v>521159.63199999993</v>
      </c>
      <c r="P33" s="520">
        <f t="shared" si="11"/>
        <v>622312.6370000001</v>
      </c>
      <c r="Q33" s="520">
        <f t="shared" si="11"/>
        <v>788342.73100000003</v>
      </c>
      <c r="R33" s="520">
        <f t="shared" si="11"/>
        <v>870843.08199999994</v>
      </c>
      <c r="S33" s="520">
        <f t="shared" si="11"/>
        <v>1012926.822</v>
      </c>
      <c r="T33" s="520">
        <f t="shared" si="11"/>
        <v>1151105</v>
      </c>
      <c r="U33" s="520">
        <f t="shared" si="11"/>
        <v>1106935.08874</v>
      </c>
      <c r="V33" s="520">
        <f t="shared" si="11"/>
        <v>1278860.08926</v>
      </c>
      <c r="W33" s="520">
        <f t="shared" si="11"/>
        <v>1217530.9999999998</v>
      </c>
      <c r="X33" s="520">
        <f t="shared" si="11"/>
        <v>1172415.139</v>
      </c>
      <c r="Y33" s="520">
        <f t="shared" si="11"/>
        <v>1412226.140133633</v>
      </c>
      <c r="Z33" s="520">
        <f t="shared" si="11"/>
        <v>1337041.2608108988</v>
      </c>
      <c r="AA33" s="520">
        <f t="shared" si="11"/>
        <v>1806870</v>
      </c>
      <c r="AB33" s="520">
        <f t="shared" si="11"/>
        <v>2128214</v>
      </c>
      <c r="AC33" s="520">
        <f t="shared" si="11"/>
        <v>2226423</v>
      </c>
      <c r="AD33" s="520">
        <f t="shared" si="11"/>
        <v>2476970</v>
      </c>
      <c r="AE33" s="520">
        <f t="shared" ref="AE33" si="12">AE5</f>
        <v>2569450</v>
      </c>
      <c r="AF33" s="505"/>
      <c r="AG33" s="523">
        <f t="shared" ref="AG33:AG38" si="13">AE33/AD33-1</f>
        <v>3.7335938667000468E-2</v>
      </c>
      <c r="AH33" s="523">
        <f t="shared" ref="AH33:AH38" si="14">AE33/AA33-1</f>
        <v>0.42204475142096554</v>
      </c>
      <c r="AI33" s="147"/>
      <c r="AJ33" s="147"/>
      <c r="AK33" s="195"/>
    </row>
    <row r="34" spans="1:37" ht="13" customHeight="1">
      <c r="A34" s="198"/>
      <c r="B34" s="21" t="str">
        <f>IF('Summary | Sumário'!D$6=Names!B$3,Names!O42,Names!Z42)</f>
        <v>Interest expenses</v>
      </c>
      <c r="C34" s="521">
        <f t="shared" ref="C34:I34" si="15">C14</f>
        <v>-256717</v>
      </c>
      <c r="D34" s="521">
        <f t="shared" si="15"/>
        <v>-184335</v>
      </c>
      <c r="E34" s="521">
        <f t="shared" si="15"/>
        <v>-543242</v>
      </c>
      <c r="F34" s="521">
        <f t="shared" si="15"/>
        <v>-1972850</v>
      </c>
      <c r="G34" s="521">
        <f t="shared" si="15"/>
        <v>-2887573.0049999999</v>
      </c>
      <c r="H34" s="521">
        <f t="shared" si="15"/>
        <v>-3311638.4190579997</v>
      </c>
      <c r="I34" s="521">
        <f t="shared" si="15"/>
        <v>-5977127</v>
      </c>
      <c r="J34" s="522"/>
      <c r="K34" s="521">
        <f t="shared" ref="K34:AD34" si="16">K14</f>
        <v>-65559</v>
      </c>
      <c r="L34" s="521">
        <f t="shared" si="16"/>
        <v>-86261</v>
      </c>
      <c r="M34" s="521">
        <f t="shared" si="16"/>
        <v>-138587</v>
      </c>
      <c r="N34" s="521">
        <f t="shared" si="16"/>
        <v>-252835</v>
      </c>
      <c r="O34" s="521">
        <f t="shared" si="16"/>
        <v>-336771</v>
      </c>
      <c r="P34" s="521">
        <f t="shared" si="16"/>
        <v>-465041</v>
      </c>
      <c r="Q34" s="521">
        <f t="shared" si="16"/>
        <v>-579678</v>
      </c>
      <c r="R34" s="521">
        <f t="shared" si="16"/>
        <v>-591360</v>
      </c>
      <c r="S34" s="521">
        <f t="shared" si="16"/>
        <v>-672771</v>
      </c>
      <c r="T34" s="521">
        <f t="shared" si="16"/>
        <v>-692206</v>
      </c>
      <c r="U34" s="521">
        <f t="shared" si="16"/>
        <v>-770398</v>
      </c>
      <c r="V34" s="521">
        <f t="shared" si="16"/>
        <v>-752198.00500000012</v>
      </c>
      <c r="W34" s="521">
        <f t="shared" si="16"/>
        <v>-762246.89030000009</v>
      </c>
      <c r="X34" s="521">
        <f t="shared" si="16"/>
        <v>-772642.60900000005</v>
      </c>
      <c r="Y34" s="521">
        <f t="shared" si="16"/>
        <v>-835616.71799999999</v>
      </c>
      <c r="Z34" s="521">
        <f t="shared" si="16"/>
        <v>-941132.20175799984</v>
      </c>
      <c r="AA34" s="521">
        <f t="shared" si="16"/>
        <v>-1179020</v>
      </c>
      <c r="AB34" s="521">
        <f t="shared" si="16"/>
        <v>-1423958</v>
      </c>
      <c r="AC34" s="521">
        <f t="shared" si="16"/>
        <v>-1653759</v>
      </c>
      <c r="AD34" s="521">
        <f t="shared" si="16"/>
        <v>-1720390</v>
      </c>
      <c r="AE34" s="521">
        <f t="shared" ref="AE34" si="17">AE14</f>
        <v>-1751480</v>
      </c>
      <c r="AF34" s="505"/>
      <c r="AG34" s="332">
        <f t="shared" si="13"/>
        <v>1.8071483791465948E-2</v>
      </c>
      <c r="AH34" s="332">
        <f t="shared" si="14"/>
        <v>0.48553883733948533</v>
      </c>
      <c r="AI34" s="147"/>
      <c r="AJ34" s="147"/>
      <c r="AK34" s="195"/>
    </row>
    <row r="35" spans="1:37" ht="13" customHeight="1">
      <c r="A35" s="198"/>
      <c r="B35" s="15" t="str">
        <f>IF('Summary | Sumário'!D$6=Names!B$3,Names!O57,Names!Z57)</f>
        <v>Income from securities</v>
      </c>
      <c r="C35" s="522">
        <f t="shared" ref="C35:I35" si="18">C19</f>
        <v>62518</v>
      </c>
      <c r="D35" s="522">
        <f t="shared" si="18"/>
        <v>12060</v>
      </c>
      <c r="E35" s="522">
        <f t="shared" si="18"/>
        <v>745613</v>
      </c>
      <c r="F35" s="522">
        <f t="shared" si="18"/>
        <v>1471737</v>
      </c>
      <c r="G35" s="522">
        <f t="shared" si="18"/>
        <v>1615108</v>
      </c>
      <c r="H35" s="522">
        <f t="shared" si="18"/>
        <v>2007869.4701800002</v>
      </c>
      <c r="I35" s="522">
        <f t="shared" si="18"/>
        <v>3331154</v>
      </c>
      <c r="J35" s="522"/>
      <c r="K35" s="522">
        <f t="shared" ref="K35:AD35" si="19">K19</f>
        <v>88068</v>
      </c>
      <c r="L35" s="522">
        <f t="shared" si="19"/>
        <v>106662</v>
      </c>
      <c r="M35" s="522">
        <f t="shared" si="19"/>
        <v>228420</v>
      </c>
      <c r="N35" s="522">
        <f t="shared" si="19"/>
        <v>322463</v>
      </c>
      <c r="O35" s="522">
        <f t="shared" si="19"/>
        <v>348013</v>
      </c>
      <c r="P35" s="522">
        <f t="shared" si="19"/>
        <v>406846</v>
      </c>
      <c r="Q35" s="522">
        <f t="shared" si="19"/>
        <v>340982</v>
      </c>
      <c r="R35" s="522">
        <f t="shared" si="19"/>
        <v>375896</v>
      </c>
      <c r="S35" s="522">
        <f t="shared" si="19"/>
        <v>370924</v>
      </c>
      <c r="T35" s="522">
        <f t="shared" si="19"/>
        <v>402038</v>
      </c>
      <c r="U35" s="522">
        <f t="shared" si="19"/>
        <v>417887</v>
      </c>
      <c r="V35" s="522">
        <f t="shared" si="19"/>
        <v>424259</v>
      </c>
      <c r="W35" s="522">
        <f t="shared" si="19"/>
        <v>446719</v>
      </c>
      <c r="X35" s="522">
        <f t="shared" si="19"/>
        <v>456585.37339384999</v>
      </c>
      <c r="Y35" s="522">
        <f t="shared" si="19"/>
        <v>513731</v>
      </c>
      <c r="Z35" s="522">
        <f t="shared" si="19"/>
        <v>590834.09678615024</v>
      </c>
      <c r="AA35" s="522">
        <f t="shared" si="19"/>
        <v>737446</v>
      </c>
      <c r="AB35" s="522">
        <f t="shared" si="19"/>
        <v>802844</v>
      </c>
      <c r="AC35" s="522">
        <f t="shared" si="19"/>
        <v>832987</v>
      </c>
      <c r="AD35" s="522">
        <f t="shared" si="19"/>
        <v>957877</v>
      </c>
      <c r="AE35" s="522">
        <f t="shared" ref="AE35" si="20">AE19</f>
        <v>954052</v>
      </c>
      <c r="AF35" s="505"/>
      <c r="AG35" s="308">
        <f t="shared" si="13"/>
        <v>-3.9932058082613464E-3</v>
      </c>
      <c r="AH35" s="308">
        <f t="shared" si="14"/>
        <v>0.29372455745912252</v>
      </c>
      <c r="AI35" s="147"/>
      <c r="AJ35" s="147"/>
      <c r="AK35" s="195"/>
    </row>
    <row r="36" spans="1:37" ht="13" customHeight="1">
      <c r="A36" s="198"/>
      <c r="B36" s="21" t="str">
        <f>IF('Summary | Sumário'!D$6=Names!B$3,Names!O61,Names!Z61)</f>
        <v>Income from derivatives</v>
      </c>
      <c r="C36" s="521">
        <f t="shared" ref="C36:I36" si="21">C23</f>
        <v>4235</v>
      </c>
      <c r="D36" s="521">
        <f t="shared" si="21"/>
        <v>-54418</v>
      </c>
      <c r="E36" s="521">
        <f t="shared" si="21"/>
        <v>-48330.334000000003</v>
      </c>
      <c r="F36" s="521">
        <f t="shared" si="21"/>
        <v>33884.103000000003</v>
      </c>
      <c r="G36" s="521">
        <f t="shared" si="21"/>
        <v>-69273</v>
      </c>
      <c r="H36" s="521">
        <f t="shared" si="21"/>
        <v>546712.54295000003</v>
      </c>
      <c r="I36" s="521">
        <f t="shared" si="21"/>
        <v>145044</v>
      </c>
      <c r="J36" s="522"/>
      <c r="K36" s="521">
        <f t="shared" ref="K36:AD36" si="22">K23</f>
        <v>-19931.596000000001</v>
      </c>
      <c r="L36" s="521">
        <f t="shared" si="22"/>
        <v>-23765.403999999999</v>
      </c>
      <c r="M36" s="521">
        <f t="shared" si="22"/>
        <v>-9869</v>
      </c>
      <c r="N36" s="521">
        <f t="shared" si="22"/>
        <v>5235.6660000000011</v>
      </c>
      <c r="O36" s="521">
        <f t="shared" si="22"/>
        <v>11009.383</v>
      </c>
      <c r="P36" s="521">
        <f t="shared" si="22"/>
        <v>-3030.3259999999982</v>
      </c>
      <c r="Q36" s="521">
        <f t="shared" si="22"/>
        <v>5940.735999999999</v>
      </c>
      <c r="R36" s="521">
        <f t="shared" si="22"/>
        <v>19964.310000000001</v>
      </c>
      <c r="S36" s="521">
        <f t="shared" si="22"/>
        <v>482.30199999999877</v>
      </c>
      <c r="T36" s="521">
        <f t="shared" si="22"/>
        <v>-58862</v>
      </c>
      <c r="U36" s="521">
        <f t="shared" si="22"/>
        <v>64133.019220000024</v>
      </c>
      <c r="V36" s="521">
        <f t="shared" si="22"/>
        <v>-75026.321220000013</v>
      </c>
      <c r="W36" s="521">
        <f t="shared" si="22"/>
        <v>68661.610820000031</v>
      </c>
      <c r="X36" s="521">
        <f t="shared" si="22"/>
        <v>173310.82241000002</v>
      </c>
      <c r="Y36" s="521">
        <f t="shared" si="22"/>
        <v>44424.709440000101</v>
      </c>
      <c r="Z36" s="521">
        <f t="shared" si="22"/>
        <v>260315.40027999989</v>
      </c>
      <c r="AA36" s="521">
        <f t="shared" si="22"/>
        <v>-19187</v>
      </c>
      <c r="AB36" s="521">
        <f t="shared" si="22"/>
        <v>-54549</v>
      </c>
      <c r="AC36" s="521">
        <f t="shared" si="22"/>
        <v>182632</v>
      </c>
      <c r="AD36" s="521">
        <f t="shared" si="22"/>
        <v>36148</v>
      </c>
      <c r="AE36" s="521">
        <f t="shared" ref="AE36" si="23">AE23</f>
        <v>113237</v>
      </c>
      <c r="AF36" s="505"/>
      <c r="AG36" s="332">
        <f t="shared" si="13"/>
        <v>2.1325937811220537</v>
      </c>
      <c r="AH36" s="332">
        <f t="shared" si="14"/>
        <v>-6.9017563975608489</v>
      </c>
      <c r="AI36" s="147"/>
      <c r="AJ36" s="147"/>
      <c r="AK36" s="195"/>
    </row>
    <row r="37" spans="1:37" ht="13" customHeight="1">
      <c r="A37" s="198"/>
      <c r="B37" s="15" t="str">
        <f>IF('Summary | Sumário'!D$6=Names!B$3,Names!O68,Names!Z68)</f>
        <v>Revenue foreign exchange</v>
      </c>
      <c r="C37" s="522">
        <f t="shared" ref="C37" si="24">C29</f>
        <v>5976</v>
      </c>
      <c r="D37" s="522">
        <f t="shared" ref="D37:Z37" si="25">D29</f>
        <v>17318</v>
      </c>
      <c r="E37" s="522">
        <f t="shared" si="25"/>
        <v>24667</v>
      </c>
      <c r="F37" s="522">
        <f t="shared" si="25"/>
        <v>99780</v>
      </c>
      <c r="G37" s="522">
        <f t="shared" si="25"/>
        <v>88708</v>
      </c>
      <c r="H37" s="522">
        <f t="shared" si="25"/>
        <v>74587.800272134002</v>
      </c>
      <c r="I37" s="522">
        <f t="shared" ref="I37" si="26">I29</f>
        <v>136271</v>
      </c>
      <c r="J37" s="522"/>
      <c r="K37" s="522">
        <f t="shared" si="25"/>
        <v>5876</v>
      </c>
      <c r="L37" s="522">
        <f t="shared" si="25"/>
        <v>6689</v>
      </c>
      <c r="M37" s="522">
        <f t="shared" si="25"/>
        <v>5791</v>
      </c>
      <c r="N37" s="522">
        <f t="shared" si="25"/>
        <v>6311</v>
      </c>
      <c r="O37" s="522">
        <f t="shared" si="25"/>
        <v>17033</v>
      </c>
      <c r="P37" s="522">
        <f t="shared" si="25"/>
        <v>25563</v>
      </c>
      <c r="Q37" s="522">
        <f t="shared" si="25"/>
        <v>31137</v>
      </c>
      <c r="R37" s="522">
        <f t="shared" si="25"/>
        <v>26047</v>
      </c>
      <c r="S37" s="522">
        <f t="shared" si="25"/>
        <v>14919</v>
      </c>
      <c r="T37" s="522">
        <f t="shared" si="25"/>
        <v>26191</v>
      </c>
      <c r="U37" s="522">
        <f t="shared" si="25"/>
        <v>26659</v>
      </c>
      <c r="V37" s="522">
        <f t="shared" si="25"/>
        <v>20939</v>
      </c>
      <c r="W37" s="522">
        <f t="shared" si="25"/>
        <v>21756</v>
      </c>
      <c r="X37" s="522">
        <f t="shared" si="25"/>
        <v>12197</v>
      </c>
      <c r="Y37" s="522">
        <f t="shared" si="25"/>
        <v>29585</v>
      </c>
      <c r="Z37" s="522">
        <f t="shared" si="25"/>
        <v>11049.800272134002</v>
      </c>
      <c r="AA37" s="522">
        <f>AA29</f>
        <v>16485.3</v>
      </c>
      <c r="AB37" s="522">
        <f>AB29</f>
        <v>16956</v>
      </c>
      <c r="AC37" s="522">
        <f>AC29</f>
        <v>34408</v>
      </c>
      <c r="AD37" s="522">
        <f>AD29</f>
        <v>68421.7</v>
      </c>
      <c r="AE37" s="522">
        <f>AE29</f>
        <v>-3509</v>
      </c>
      <c r="AF37" s="505"/>
      <c r="AG37" s="308">
        <f t="shared" si="13"/>
        <v>-1.0512848993813366</v>
      </c>
      <c r="AH37" s="308">
        <f t="shared" si="14"/>
        <v>-1.2128563022814265</v>
      </c>
      <c r="AI37" s="147"/>
      <c r="AJ37" s="147"/>
      <c r="AK37" s="195"/>
    </row>
    <row r="38" spans="1:37" ht="13" customHeight="1">
      <c r="A38" s="198"/>
      <c r="B38" s="515" t="str">
        <f>IF('Summary | Sumário'!D$6=Names!B$3,Names!AC31,Names!AD31)</f>
        <v>NII</v>
      </c>
      <c r="C38" s="516">
        <f t="shared" ref="C38:G38" si="27">SUM(C33:C37)</f>
        <v>591527</v>
      </c>
      <c r="D38" s="516">
        <f t="shared" si="27"/>
        <v>733280.89517999999</v>
      </c>
      <c r="E38" s="516">
        <f t="shared" si="27"/>
        <v>1614134.912</v>
      </c>
      <c r="F38" s="516">
        <f t="shared" si="27"/>
        <v>2435209.1850000001</v>
      </c>
      <c r="G38" s="516">
        <f t="shared" si="27"/>
        <v>3296796.9950000001</v>
      </c>
      <c r="H38" s="516">
        <f>SUM(H33:H37)</f>
        <v>4456744.9342886657</v>
      </c>
      <c r="I38" s="516">
        <f>SUM(I33:I37)</f>
        <v>6273819</v>
      </c>
      <c r="J38" s="505"/>
      <c r="K38" s="516">
        <f t="shared" ref="K38:Z38" si="28">SUM(K33:K37)</f>
        <v>297457.33899999998</v>
      </c>
      <c r="L38" s="516">
        <f t="shared" si="28"/>
        <v>308984.34700000007</v>
      </c>
      <c r="M38" s="516">
        <f t="shared" si="28"/>
        <v>453160.88</v>
      </c>
      <c r="N38" s="516">
        <f t="shared" si="28"/>
        <v>554532.3459999999</v>
      </c>
      <c r="O38" s="516">
        <f t="shared" si="28"/>
        <v>560444.01500000001</v>
      </c>
      <c r="P38" s="516">
        <f t="shared" si="28"/>
        <v>586650.3110000001</v>
      </c>
      <c r="Q38" s="516">
        <f t="shared" si="28"/>
        <v>586724.46700000006</v>
      </c>
      <c r="R38" s="516">
        <f t="shared" si="28"/>
        <v>701390.39199999999</v>
      </c>
      <c r="S38" s="516">
        <f t="shared" si="28"/>
        <v>726481.12400000007</v>
      </c>
      <c r="T38" s="516">
        <f t="shared" si="28"/>
        <v>828266</v>
      </c>
      <c r="U38" s="516">
        <f t="shared" si="28"/>
        <v>845216.10796000005</v>
      </c>
      <c r="V38" s="516">
        <f t="shared" si="28"/>
        <v>896833.76303999987</v>
      </c>
      <c r="W38" s="516">
        <f t="shared" si="28"/>
        <v>992420.72051999974</v>
      </c>
      <c r="X38" s="516">
        <f t="shared" si="28"/>
        <v>1041865.72580385</v>
      </c>
      <c r="Y38" s="516">
        <f t="shared" si="28"/>
        <v>1164350.1315736331</v>
      </c>
      <c r="Z38" s="516">
        <f t="shared" si="28"/>
        <v>1258108.3563911831</v>
      </c>
      <c r="AA38" s="516">
        <f>SUM(AA33:AA37)</f>
        <v>1362594.3</v>
      </c>
      <c r="AB38" s="516">
        <f>SUM(AB33:AB37)</f>
        <v>1469507</v>
      </c>
      <c r="AC38" s="516">
        <f>SUM(AC33:AC37)</f>
        <v>1622691</v>
      </c>
      <c r="AD38" s="516">
        <f>SUM(AD33:AD37)</f>
        <v>1819026.7</v>
      </c>
      <c r="AE38" s="516">
        <f>SUM(AE33:AE37)</f>
        <v>1881750</v>
      </c>
      <c r="AF38" s="505"/>
      <c r="AG38" s="556">
        <f t="shared" si="13"/>
        <v>3.4481791828564257E-2</v>
      </c>
      <c r="AH38" s="556">
        <f t="shared" si="14"/>
        <v>0.38100533665816738</v>
      </c>
      <c r="AI38" s="147"/>
      <c r="AJ38" s="147"/>
      <c r="AK38" s="195"/>
    </row>
    <row r="39" spans="1:37" ht="13" customHeight="1">
      <c r="R39" s="154"/>
      <c r="S39" s="154"/>
      <c r="T39" s="154"/>
      <c r="U39" s="154"/>
      <c r="V39" s="154"/>
      <c r="W39" s="154"/>
      <c r="X39" s="154"/>
      <c r="Y39" s="154"/>
      <c r="Z39" s="154"/>
      <c r="AA39" s="154"/>
      <c r="AB39" s="154"/>
      <c r="AC39" s="154"/>
      <c r="AD39" s="154"/>
      <c r="AE39" s="154"/>
      <c r="AF39" s="154"/>
      <c r="AG39" s="154"/>
      <c r="AH39" s="154"/>
    </row>
    <row r="40" spans="1:37" ht="13" customHeight="1">
      <c r="C40" s="120" t="s">
        <v>1181</v>
      </c>
      <c r="O40" s="154"/>
      <c r="P40" s="154"/>
      <c r="Q40" s="154"/>
      <c r="R40" s="154"/>
      <c r="S40" s="154"/>
      <c r="T40" s="154"/>
      <c r="U40" s="154"/>
      <c r="V40" s="154"/>
      <c r="W40" s="154"/>
      <c r="X40" s="154"/>
      <c r="Y40" s="154"/>
      <c r="Z40" s="154"/>
      <c r="AA40" s="154"/>
      <c r="AB40" s="154"/>
      <c r="AC40" s="154"/>
      <c r="AD40" s="154"/>
      <c r="AE40" s="154"/>
      <c r="AF40" s="154"/>
      <c r="AG40" s="154"/>
      <c r="AH40" s="154"/>
    </row>
    <row r="41" spans="1:37" ht="13" customHeight="1">
      <c r="AB41" s="175"/>
      <c r="AC41" s="175"/>
      <c r="AD41" s="175"/>
      <c r="AE41" s="175"/>
      <c r="AF41" s="175"/>
      <c r="AG41" s="175"/>
      <c r="AH41" s="175"/>
    </row>
    <row r="42" spans="1:37" ht="13" customHeight="1">
      <c r="S42" s="557"/>
      <c r="T42" s="557"/>
      <c r="U42" s="557"/>
      <c r="V42" s="557"/>
      <c r="W42" s="557"/>
      <c r="X42" s="557"/>
      <c r="Y42" s="557"/>
      <c r="Z42" s="557"/>
      <c r="AA42" s="557"/>
      <c r="AB42" s="557"/>
      <c r="AC42" s="557"/>
      <c r="AD42" s="557"/>
      <c r="AE42" s="557"/>
      <c r="AF42" s="154"/>
      <c r="AG42" s="217"/>
      <c r="AH42" s="217"/>
    </row>
    <row r="43" spans="1:37" ht="13" customHeight="1">
      <c r="K43" s="175"/>
      <c r="L43" s="175"/>
      <c r="M43" s="175"/>
      <c r="N43" s="175"/>
      <c r="O43" s="175"/>
      <c r="P43" s="175"/>
      <c r="Q43" s="175"/>
      <c r="R43" s="175"/>
      <c r="S43" s="175"/>
      <c r="T43" s="175"/>
      <c r="U43" s="175"/>
      <c r="V43" s="175"/>
      <c r="W43" s="175"/>
      <c r="X43" s="175"/>
      <c r="Y43" s="175"/>
      <c r="Z43" s="175"/>
      <c r="AA43" s="175"/>
      <c r="AB43" s="175"/>
      <c r="AC43" s="175"/>
      <c r="AD43" s="175"/>
      <c r="AE43" s="175"/>
    </row>
    <row r="44" spans="1:37" ht="13" customHeight="1">
      <c r="S44" s="175"/>
      <c r="T44" s="175"/>
      <c r="U44" s="175"/>
      <c r="V44" s="175"/>
      <c r="W44" s="175"/>
      <c r="X44" s="175"/>
      <c r="Y44" s="175"/>
      <c r="Z44" s="175"/>
      <c r="AA44" s="175"/>
      <c r="AB44" s="175"/>
      <c r="AC44" s="175"/>
      <c r="AD44" s="175"/>
      <c r="AE44" s="175"/>
    </row>
    <row r="45" spans="1:37" ht="13" customHeight="1">
      <c r="K45" s="175"/>
      <c r="L45" s="175"/>
      <c r="M45" s="175"/>
      <c r="N45" s="175"/>
      <c r="O45" s="175"/>
      <c r="P45" s="175"/>
      <c r="Q45" s="175"/>
      <c r="R45" s="175"/>
      <c r="S45" s="175"/>
      <c r="T45" s="175"/>
      <c r="U45" s="175"/>
      <c r="V45" s="175"/>
      <c r="W45" s="175"/>
      <c r="X45" s="175"/>
      <c r="Y45" s="175"/>
      <c r="Z45" s="175"/>
      <c r="AA45" s="175"/>
      <c r="AB45" s="175"/>
      <c r="AC45" s="175"/>
      <c r="AD45" s="175"/>
      <c r="AE45" s="175"/>
    </row>
    <row r="46" spans="1:37" ht="13" customHeight="1">
      <c r="Z46" s="175"/>
    </row>
    <row r="47" spans="1:37" ht="13" customHeight="1">
      <c r="Z47" s="175"/>
    </row>
  </sheetData>
  <sheetProtection algorithmName="SHA-512" hashValue="DKCrhv61wCjwb+huuzMKmoFoxc0Yyt9UHCZyxP0T/7fSrNdkmJNYwRfvqg4vHRVN2XfT9F6w/ERVVznXhpQ8bg==" saltValue="kSJErThglsHJstf0RStsfA=="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r:id="rId1"/>
  <ignoredErrors>
    <ignoredError sqref="AF15 AF31:AH32 B16 AF16 B23 B15 AF5 AF6 AF7 AF8 AF9 AF10 AF11 AF12 AF13 AF14 AF17 AF18 AF19 AF20 AF21 AF22 AF23 AF24 AF25 AF26 AF27 AF28 AF29 AF30 AF38 AF33 AF34 AF35 AF36 AF37 B31:H38 K31:AC38 B29 B17 B5 E5:H5 B6 E6:H6 B7 E7:H7 B8 E8:H8 B9 E9:H9 B10 E10:H10 B11 E11:H11 B12 E12:H12 B13 E13:H13 B14 E14:H14 E15:H15 B18 E18:H18 B19 E19:H19 B20 E20:H20 B21 E21:H21 B22 E22:H22 E23:H23 B24 E24:H24 B25 E25:H25 B26:C26 E26:H26 B27 E27:H27 B28:C28 E28:H28 H29 Z5:AC5"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4C46-8366-F542-A98A-873CE3963448}">
  <sheetPr codeName="Sheet10">
    <tabColor rgb="FFEB7100"/>
  </sheetPr>
  <dimension ref="B1:AL22"/>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20" customWidth="1"/>
    <col min="2" max="2" width="68.33203125" style="24" customWidth="1"/>
    <col min="3" max="9" width="10.83203125" style="120"/>
    <col min="10" max="10" width="2.83203125" style="120" customWidth="1"/>
    <col min="11" max="31" width="10.83203125" style="120"/>
    <col min="32" max="32" width="5.83203125" style="120" customWidth="1"/>
    <col min="33" max="16384" width="10.83203125" style="120"/>
  </cols>
  <sheetData>
    <row r="1" spans="2:38" ht="13" customHeight="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row>
    <row r="2" spans="2:38" s="9" customFormat="1" ht="13" customHeight="1">
      <c r="B2" s="255" t="str">
        <f>IF('Summary | Sumário'!D$6=Names!B$3,Names!AC1,Names!AD1)</f>
        <v>Fee Revenues (IFRS, R$ Thousands)</v>
      </c>
      <c r="C2" s="119">
        <f>IF('Summary | Sumário'!D6=Names!B3,Names!C2,Names!D2)</f>
        <v>2019</v>
      </c>
      <c r="D2" s="119">
        <f>IF('Summary | Sumário'!D6=Names!B3,Names!C3,Names!D3)</f>
        <v>2020</v>
      </c>
      <c r="E2" s="119">
        <f>IF('Summary | Sumário'!D6=Names!B3,Names!C4,Names!D4)</f>
        <v>2021</v>
      </c>
      <c r="F2" s="119">
        <f>IF('Summary | Sumário'!D6=Names!B3,Names!C5,Names!D5)</f>
        <v>2022</v>
      </c>
      <c r="G2" s="119">
        <f>IF('Summary | Sumário'!D6=Names!B3,Names!C18,Names!D18)</f>
        <v>2023</v>
      </c>
      <c r="H2" s="119">
        <f>IF('Summary | Sumário'!D6=Names!B3,Names!C23,Names!D23)</f>
        <v>2024</v>
      </c>
      <c r="I2" s="119">
        <f>IF('Summary | Sumário'!E6=Names!C3,Names!D23,Names!E23)</f>
        <v>2025</v>
      </c>
      <c r="J2" s="316"/>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57" t="str">
        <f>IF('Summary | Sumário'!D6=Names!B3,Names!C28,Names!D28)</f>
        <v>1Q26</v>
      </c>
      <c r="AF2" s="315"/>
      <c r="AG2" s="104" t="str">
        <f>IF('Summary | Sumário'!$D$6=Names!$B$3,Names!$I$24,Names!$J$24)</f>
        <v>QoQ Variation</v>
      </c>
      <c r="AH2" s="104" t="str">
        <f>IF('Summary | Sumário'!$D$6=Names!$B$3,Names!$I$25,Names!$J$25)</f>
        <v>YoY Variation</v>
      </c>
      <c r="AI2" s="10"/>
      <c r="AK2" s="11"/>
      <c r="AL2" s="12"/>
    </row>
    <row r="3" spans="2:38" ht="13" customHeight="1">
      <c r="B3" s="13"/>
      <c r="C3" s="130"/>
      <c r="D3" s="130"/>
      <c r="E3" s="130"/>
      <c r="F3" s="130"/>
      <c r="G3" s="130"/>
      <c r="H3" s="130"/>
      <c r="I3" s="130"/>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row>
    <row r="4" spans="2:38" ht="13" customHeight="1">
      <c r="B4" s="258" t="str">
        <f>IF('Summary | Sumário'!D$6=Names!B$3,Names!AC23,Names!AD23)</f>
        <v>Fee revenues</v>
      </c>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row>
    <row r="5" spans="2:38" ht="13" customHeight="1">
      <c r="B5" s="259" t="str">
        <f>IF('Summary | Sumário'!D$6=Names!B$3,Names!AC24,Names!AD24)</f>
        <v>Net result from services and commissions</v>
      </c>
      <c r="C5" s="281">
        <v>73829.660999999993</v>
      </c>
      <c r="D5" s="281">
        <v>185534</v>
      </c>
      <c r="E5" s="281">
        <f>SUM(K5:N5)</f>
        <v>442272</v>
      </c>
      <c r="F5" s="281">
        <f>SUM(O5:R5)</f>
        <v>838806</v>
      </c>
      <c r="G5" s="281">
        <f t="shared" ref="G5" si="0">SUM(S5:V5)</f>
        <v>1168800.6000000001</v>
      </c>
      <c r="H5" s="281">
        <f t="shared" ref="H5" si="1">SUM(W5:Z5)</f>
        <v>1609850.2739999997</v>
      </c>
      <c r="I5" s="281">
        <f>SUM(AA5:AD5)</f>
        <v>1825893</v>
      </c>
      <c r="J5" s="202"/>
      <c r="K5" s="281">
        <v>77686</v>
      </c>
      <c r="L5" s="281">
        <v>89070</v>
      </c>
      <c r="M5" s="281">
        <v>122853</v>
      </c>
      <c r="N5" s="281">
        <v>152663</v>
      </c>
      <c r="O5" s="281">
        <v>177703</v>
      </c>
      <c r="P5" s="281">
        <v>204561</v>
      </c>
      <c r="Q5" s="281">
        <v>217029</v>
      </c>
      <c r="R5" s="281">
        <v>239513</v>
      </c>
      <c r="S5" s="281">
        <v>246675</v>
      </c>
      <c r="T5" s="281">
        <v>266801</v>
      </c>
      <c r="U5" s="281">
        <v>315509</v>
      </c>
      <c r="V5" s="281">
        <v>339815.6</v>
      </c>
      <c r="W5" s="281">
        <v>340317.39485153224</v>
      </c>
      <c r="X5" s="281">
        <v>364200.86699999997</v>
      </c>
      <c r="Y5" s="281">
        <v>429990.49199999997</v>
      </c>
      <c r="Z5" s="281">
        <v>475341.5201484678</v>
      </c>
      <c r="AA5" s="281">
        <v>419113.4</v>
      </c>
      <c r="AB5" s="281">
        <v>452131</v>
      </c>
      <c r="AC5" s="281">
        <v>467370</v>
      </c>
      <c r="AD5" s="281">
        <v>487278.6</v>
      </c>
      <c r="AE5" s="281">
        <v>450294</v>
      </c>
      <c r="AF5" s="202"/>
      <c r="AG5" s="354">
        <f t="shared" ref="AG5:AG19" si="2">AE5/AD5-1</f>
        <v>-7.590031657454277E-2</v>
      </c>
      <c r="AH5" s="354">
        <f t="shared" ref="AH5:AH19" si="3">AE5/AA5-1</f>
        <v>7.439657142911682E-2</v>
      </c>
    </row>
    <row r="6" spans="2:38" ht="13" customHeight="1">
      <c r="B6" s="492" t="str">
        <f>IF('Summary | Sumário'!D$6=Names!B$3,Names!AC4,Names!AD4)</f>
        <v>Interchange</v>
      </c>
      <c r="C6" s="202">
        <v>58152</v>
      </c>
      <c r="D6" s="202">
        <v>137863</v>
      </c>
      <c r="E6" s="202">
        <v>369340</v>
      </c>
      <c r="F6" s="202">
        <v>617552</v>
      </c>
      <c r="G6" s="202">
        <v>820630</v>
      </c>
      <c r="H6" s="202">
        <v>1131024.4148299999</v>
      </c>
      <c r="I6" s="202">
        <v>1349906</v>
      </c>
      <c r="J6" s="202"/>
      <c r="K6" s="202">
        <v>61188</v>
      </c>
      <c r="L6" s="202">
        <v>78212</v>
      </c>
      <c r="M6" s="202">
        <v>99723</v>
      </c>
      <c r="N6" s="202">
        <v>130217</v>
      </c>
      <c r="O6" s="202">
        <v>127049</v>
      </c>
      <c r="P6" s="202">
        <v>149403</v>
      </c>
      <c r="Q6" s="202">
        <v>161418</v>
      </c>
      <c r="R6" s="202">
        <v>179682</v>
      </c>
      <c r="S6" s="202">
        <v>174929</v>
      </c>
      <c r="T6" s="202">
        <v>185608</v>
      </c>
      <c r="U6" s="202">
        <v>214415</v>
      </c>
      <c r="V6" s="202">
        <v>245678</v>
      </c>
      <c r="W6" s="202">
        <v>241890.53451</v>
      </c>
      <c r="X6" s="202">
        <v>254700.68423000001</v>
      </c>
      <c r="Y6" s="202">
        <v>294983.18956000003</v>
      </c>
      <c r="Z6" s="202">
        <v>339450.0065299999</v>
      </c>
      <c r="AA6" s="202">
        <v>308341</v>
      </c>
      <c r="AB6" s="202">
        <v>332674</v>
      </c>
      <c r="AC6" s="202">
        <v>345261</v>
      </c>
      <c r="AD6" s="202">
        <v>363630</v>
      </c>
      <c r="AE6" s="202">
        <v>342201</v>
      </c>
      <c r="AF6" s="202"/>
      <c r="AG6" s="355">
        <f t="shared" si="2"/>
        <v>-5.8930781288672573E-2</v>
      </c>
      <c r="AH6" s="355">
        <f t="shared" si="3"/>
        <v>0.10981348571873339</v>
      </c>
    </row>
    <row r="7" spans="2:38" ht="13" customHeight="1">
      <c r="B7" s="99" t="str">
        <f>IF('Summary | Sumário'!D$6=Names!B$3,Names!AC40,Names!AD40)</f>
        <v>Commission and brokerage fees</v>
      </c>
      <c r="C7" s="201">
        <v>18870</v>
      </c>
      <c r="D7" s="201">
        <v>110640</v>
      </c>
      <c r="E7" s="201">
        <v>314586</v>
      </c>
      <c r="F7" s="201">
        <v>523889</v>
      </c>
      <c r="G7" s="201">
        <v>536580</v>
      </c>
      <c r="H7" s="201">
        <v>785975.55267</v>
      </c>
      <c r="I7" s="201">
        <v>831142</v>
      </c>
      <c r="J7" s="202"/>
      <c r="K7" s="201">
        <v>57439.66</v>
      </c>
      <c r="L7" s="201">
        <v>71617</v>
      </c>
      <c r="M7" s="201">
        <v>78731</v>
      </c>
      <c r="N7" s="201">
        <v>106798.34</v>
      </c>
      <c r="O7" s="201">
        <v>120069</v>
      </c>
      <c r="P7" s="201">
        <v>134103</v>
      </c>
      <c r="Q7" s="201">
        <v>122675</v>
      </c>
      <c r="R7" s="201">
        <v>147042</v>
      </c>
      <c r="S7" s="201">
        <v>132652</v>
      </c>
      <c r="T7" s="201">
        <v>116633</v>
      </c>
      <c r="U7" s="201">
        <v>142831</v>
      </c>
      <c r="V7" s="201">
        <v>144464</v>
      </c>
      <c r="W7" s="201">
        <v>146067.27165041512</v>
      </c>
      <c r="X7" s="201">
        <v>189250.16493492996</v>
      </c>
      <c r="Y7" s="201">
        <v>221396.29507507</v>
      </c>
      <c r="Z7" s="201">
        <v>229261.82100958494</v>
      </c>
      <c r="AA7" s="201">
        <v>193621</v>
      </c>
      <c r="AB7" s="201">
        <v>193901</v>
      </c>
      <c r="AC7" s="201">
        <v>213084</v>
      </c>
      <c r="AD7" s="201">
        <v>230536</v>
      </c>
      <c r="AE7" s="201">
        <v>207909</v>
      </c>
      <c r="AF7" s="202"/>
      <c r="AG7" s="356">
        <f t="shared" si="2"/>
        <v>-9.8149529791442536E-2</v>
      </c>
      <c r="AH7" s="356">
        <f t="shared" si="3"/>
        <v>7.3793648416235813E-2</v>
      </c>
    </row>
    <row r="8" spans="2:38" ht="13" customHeight="1">
      <c r="B8" s="492" t="str">
        <f>IF('Summary | Sumário'!D$6=Names!B$3,Names!AC39,Names!AD39)</f>
        <v>Banking and credit operations</v>
      </c>
      <c r="C8" s="202">
        <v>29397</v>
      </c>
      <c r="D8" s="202">
        <v>40436</v>
      </c>
      <c r="E8" s="202">
        <v>50992</v>
      </c>
      <c r="F8" s="202">
        <v>62544</v>
      </c>
      <c r="G8" s="202">
        <v>89507</v>
      </c>
      <c r="H8" s="202">
        <v>108135</v>
      </c>
      <c r="I8" s="202">
        <v>48181</v>
      </c>
      <c r="J8" s="202"/>
      <c r="K8" s="202">
        <v>11035</v>
      </c>
      <c r="L8" s="202">
        <v>11281</v>
      </c>
      <c r="M8" s="202">
        <v>13664</v>
      </c>
      <c r="N8" s="202">
        <v>15012</v>
      </c>
      <c r="O8" s="202">
        <v>12254</v>
      </c>
      <c r="P8" s="202">
        <v>16155</v>
      </c>
      <c r="Q8" s="202">
        <v>16837</v>
      </c>
      <c r="R8" s="202">
        <v>17298</v>
      </c>
      <c r="S8" s="202">
        <v>14541</v>
      </c>
      <c r="T8" s="202">
        <v>21875.4</v>
      </c>
      <c r="U8" s="202">
        <v>24030</v>
      </c>
      <c r="V8" s="202">
        <v>29060.6</v>
      </c>
      <c r="W8" s="202">
        <v>25837.612680000002</v>
      </c>
      <c r="X8" s="202">
        <v>27809.559130000001</v>
      </c>
      <c r="Y8" s="202">
        <v>26119.440870000002</v>
      </c>
      <c r="Z8" s="202">
        <v>28368.387319999994</v>
      </c>
      <c r="AA8" s="202">
        <v>11897</v>
      </c>
      <c r="AB8" s="202">
        <v>10830</v>
      </c>
      <c r="AC8" s="202">
        <v>11055</v>
      </c>
      <c r="AD8" s="202">
        <v>14399</v>
      </c>
      <c r="AE8" s="202">
        <v>16097</v>
      </c>
      <c r="AF8" s="202"/>
      <c r="AG8" s="355">
        <f t="shared" si="2"/>
        <v>0.11792485589277035</v>
      </c>
      <c r="AH8" s="355">
        <f t="shared" si="3"/>
        <v>0.35303017567453976</v>
      </c>
    </row>
    <row r="9" spans="2:38" ht="13" customHeight="1">
      <c r="B9" s="99" t="str">
        <f>IF('Summary | Sumário'!D$6=Names!B$3,Names!AC8,Names!AD8)</f>
        <v>Other</v>
      </c>
      <c r="C9" s="201">
        <v>4271</v>
      </c>
      <c r="D9" s="201">
        <v>6005</v>
      </c>
      <c r="E9" s="201">
        <v>9780</v>
      </c>
      <c r="F9" s="201">
        <v>18059</v>
      </c>
      <c r="G9" s="201">
        <v>69945</v>
      </c>
      <c r="H9" s="201">
        <v>90813.390399400101</v>
      </c>
      <c r="I9" s="201">
        <v>60333</v>
      </c>
      <c r="J9" s="202"/>
      <c r="K9" s="201">
        <v>1891</v>
      </c>
      <c r="L9" s="201">
        <v>2826</v>
      </c>
      <c r="M9" s="201">
        <v>2715</v>
      </c>
      <c r="N9" s="201">
        <v>2348</v>
      </c>
      <c r="O9" s="201">
        <v>5875</v>
      </c>
      <c r="P9" s="201">
        <v>5182</v>
      </c>
      <c r="Q9" s="201">
        <v>3516</v>
      </c>
      <c r="R9" s="201">
        <v>3486</v>
      </c>
      <c r="S9" s="201">
        <v>7279</v>
      </c>
      <c r="T9" s="201">
        <v>20925</v>
      </c>
      <c r="U9" s="201">
        <v>20957</v>
      </c>
      <c r="V9" s="201">
        <v>20784</v>
      </c>
      <c r="W9" s="201">
        <v>25279.820079759389</v>
      </c>
      <c r="X9" s="201">
        <v>17465.699248099983</v>
      </c>
      <c r="Y9" s="201">
        <v>24324.045841900101</v>
      </c>
      <c r="Z9" s="201">
        <v>23743.825229640628</v>
      </c>
      <c r="AA9" s="201">
        <v>16560</v>
      </c>
      <c r="AB9" s="201">
        <v>14005</v>
      </c>
      <c r="AC9" s="201">
        <v>18101</v>
      </c>
      <c r="AD9" s="201">
        <v>11667</v>
      </c>
      <c r="AE9" s="201">
        <v>3424</v>
      </c>
      <c r="AF9" s="202"/>
      <c r="AG9" s="356">
        <f t="shared" si="2"/>
        <v>-0.70652267078083486</v>
      </c>
      <c r="AH9" s="356">
        <f t="shared" si="3"/>
        <v>-0.79323671497584547</v>
      </c>
    </row>
    <row r="10" spans="2:38" ht="13" customHeight="1">
      <c r="B10" s="492" t="str">
        <f>IF('Summary | Sumário'!D$6=Names!B$3,Names!AC38,Names!AD38)</f>
        <v>Fund managament and investment fees</v>
      </c>
      <c r="C10" s="202">
        <v>19767</v>
      </c>
      <c r="D10" s="202">
        <v>22177</v>
      </c>
      <c r="E10" s="202">
        <v>49234</v>
      </c>
      <c r="F10" s="202">
        <v>67433</v>
      </c>
      <c r="G10" s="202">
        <v>90772</v>
      </c>
      <c r="H10" s="202">
        <v>124127.8705302</v>
      </c>
      <c r="I10" s="202">
        <v>157144</v>
      </c>
      <c r="J10" s="202"/>
      <c r="K10" s="202">
        <v>7894</v>
      </c>
      <c r="L10" s="202">
        <v>7159</v>
      </c>
      <c r="M10" s="202">
        <v>20258</v>
      </c>
      <c r="N10" s="202">
        <v>13923</v>
      </c>
      <c r="O10" s="202">
        <v>23514</v>
      </c>
      <c r="P10" s="202">
        <v>18922</v>
      </c>
      <c r="Q10" s="202">
        <v>22407</v>
      </c>
      <c r="R10" s="202">
        <v>2590</v>
      </c>
      <c r="S10" s="202">
        <v>20220</v>
      </c>
      <c r="T10" s="202">
        <v>18062</v>
      </c>
      <c r="U10" s="202">
        <v>20848</v>
      </c>
      <c r="V10" s="202">
        <v>31642</v>
      </c>
      <c r="W10" s="202">
        <v>28732</v>
      </c>
      <c r="X10" s="202">
        <v>27595.525853990002</v>
      </c>
      <c r="Y10" s="202">
        <v>35583.665756010007</v>
      </c>
      <c r="Z10" s="202">
        <v>32216.678920199993</v>
      </c>
      <c r="AA10" s="202">
        <v>33601</v>
      </c>
      <c r="AB10" s="202">
        <v>40628</v>
      </c>
      <c r="AC10" s="202">
        <v>40576</v>
      </c>
      <c r="AD10" s="202">
        <v>42339</v>
      </c>
      <c r="AE10" s="202">
        <v>34348</v>
      </c>
      <c r="AF10" s="202"/>
      <c r="AG10" s="355">
        <f t="shared" si="2"/>
        <v>-0.18873851531684738</v>
      </c>
      <c r="AH10" s="355">
        <f t="shared" si="3"/>
        <v>2.2231481205916559E-2</v>
      </c>
    </row>
    <row r="11" spans="2:38" ht="13" customHeight="1">
      <c r="B11" s="99" t="str">
        <f>IF('Summary | Sumário'!D$6=Names!B$3,Names!AC10,Names!AD10)</f>
        <v>Cashback expenses</v>
      </c>
      <c r="C11" s="201">
        <v>0</v>
      </c>
      <c r="D11" s="201">
        <v>-59976</v>
      </c>
      <c r="E11" s="201">
        <v>-251363</v>
      </c>
      <c r="F11" s="201">
        <v>-321438</v>
      </c>
      <c r="G11" s="201">
        <v>-236482</v>
      </c>
      <c r="H11" s="201">
        <v>-360561.95250999997</v>
      </c>
      <c r="I11" s="201">
        <v>-273207</v>
      </c>
      <c r="J11" s="202"/>
      <c r="K11" s="201">
        <v>-38482.660000000003</v>
      </c>
      <c r="L11" s="201">
        <v>-60184</v>
      </c>
      <c r="M11" s="201">
        <v>-65808</v>
      </c>
      <c r="N11" s="201">
        <v>-86888.34</v>
      </c>
      <c r="O11" s="201">
        <v>-82542</v>
      </c>
      <c r="P11" s="201">
        <v>-85250</v>
      </c>
      <c r="Q11" s="201">
        <v>-76420</v>
      </c>
      <c r="R11" s="201">
        <v>-77226</v>
      </c>
      <c r="S11" s="201">
        <v>-67268</v>
      </c>
      <c r="T11" s="201">
        <v>-58005</v>
      </c>
      <c r="U11" s="201">
        <v>-48391</v>
      </c>
      <c r="V11" s="201">
        <v>-62818</v>
      </c>
      <c r="W11" s="201">
        <v>-63381.686999999998</v>
      </c>
      <c r="X11" s="201">
        <v>-91044.550029999999</v>
      </c>
      <c r="Y11" s="201">
        <v>-104280.54006</v>
      </c>
      <c r="Z11" s="201">
        <v>-101855.17541999999</v>
      </c>
      <c r="AA11" s="201">
        <v>-68120</v>
      </c>
      <c r="AB11" s="201">
        <v>-58376</v>
      </c>
      <c r="AC11" s="201">
        <v>-75042</v>
      </c>
      <c r="AD11" s="201">
        <v>-71669</v>
      </c>
      <c r="AE11" s="201">
        <v>-54461</v>
      </c>
      <c r="AF11" s="202"/>
      <c r="AG11" s="356">
        <f t="shared" si="2"/>
        <v>-0.24010381057360919</v>
      </c>
      <c r="AH11" s="356">
        <f t="shared" si="3"/>
        <v>-0.20051379917792134</v>
      </c>
    </row>
    <row r="12" spans="2:38" ht="13" customHeight="1">
      <c r="B12" s="492" t="str">
        <f>IF('Summary | Sumário'!D$6=Names!B$3,Names!AC11,Names!AD11)</f>
        <v>Inter Loop</v>
      </c>
      <c r="C12" s="202">
        <v>0</v>
      </c>
      <c r="D12" s="202">
        <v>0</v>
      </c>
      <c r="E12" s="202">
        <v>0</v>
      </c>
      <c r="F12" s="202">
        <v>0</v>
      </c>
      <c r="G12" s="202">
        <v>-66571</v>
      </c>
      <c r="H12" s="202">
        <v>-126233.79137000001</v>
      </c>
      <c r="I12" s="202">
        <v>-165404</v>
      </c>
      <c r="J12" s="202"/>
      <c r="K12" s="202">
        <v>0</v>
      </c>
      <c r="L12" s="202">
        <v>0</v>
      </c>
      <c r="M12" s="202">
        <v>0</v>
      </c>
      <c r="N12" s="202">
        <v>0</v>
      </c>
      <c r="O12" s="202">
        <v>0</v>
      </c>
      <c r="P12" s="202">
        <v>0</v>
      </c>
      <c r="Q12" s="202">
        <v>0</v>
      </c>
      <c r="R12" s="202">
        <v>0</v>
      </c>
      <c r="S12" s="202">
        <v>0</v>
      </c>
      <c r="T12" s="202">
        <v>-6574</v>
      </c>
      <c r="U12" s="202">
        <v>-26910</v>
      </c>
      <c r="V12" s="202">
        <v>-33087</v>
      </c>
      <c r="W12" s="202">
        <v>-30086.383590000005</v>
      </c>
      <c r="X12" s="202">
        <v>-28632.017450000003</v>
      </c>
      <c r="Y12" s="202">
        <v>-30458.598399999999</v>
      </c>
      <c r="Z12" s="202">
        <v>-37056.791929999992</v>
      </c>
      <c r="AA12" s="202">
        <v>-35976</v>
      </c>
      <c r="AB12" s="202">
        <v>-38534</v>
      </c>
      <c r="AC12" s="202">
        <v>-38856</v>
      </c>
      <c r="AD12" s="202">
        <v>-52038</v>
      </c>
      <c r="AE12" s="202">
        <v>-53485</v>
      </c>
      <c r="AF12" s="202"/>
      <c r="AG12" s="355">
        <f t="shared" si="2"/>
        <v>2.7806602867135544E-2</v>
      </c>
      <c r="AH12" s="355">
        <f t="shared" si="3"/>
        <v>0.48668556815654873</v>
      </c>
    </row>
    <row r="13" spans="2:38" ht="13" customHeight="1">
      <c r="B13" s="99" t="str">
        <f>IF('Summary | Sumário'!D$6=Names!B$3,Names!AC12,Names!AD12)</f>
        <v>Expenses from services and commissions</v>
      </c>
      <c r="C13" s="201">
        <v>-56627.339</v>
      </c>
      <c r="D13" s="201">
        <v>-71611</v>
      </c>
      <c r="E13" s="201">
        <v>-100297</v>
      </c>
      <c r="F13" s="201">
        <v>-129233</v>
      </c>
      <c r="G13" s="201">
        <v>-135582</v>
      </c>
      <c r="H13" s="201">
        <v>-143430.21100000001</v>
      </c>
      <c r="I13" s="201">
        <v>-182202</v>
      </c>
      <c r="J13" s="202"/>
      <c r="K13" s="201">
        <v>-23279</v>
      </c>
      <c r="L13" s="201">
        <v>-21841</v>
      </c>
      <c r="M13" s="201">
        <v>-26430</v>
      </c>
      <c r="N13" s="201">
        <v>-28747</v>
      </c>
      <c r="O13" s="201">
        <v>-28516</v>
      </c>
      <c r="P13" s="201">
        <v>-33954</v>
      </c>
      <c r="Q13" s="201">
        <v>-33404</v>
      </c>
      <c r="R13" s="201">
        <v>-33359</v>
      </c>
      <c r="S13" s="201">
        <v>-35678</v>
      </c>
      <c r="T13" s="201">
        <v>-31723</v>
      </c>
      <c r="U13" s="201">
        <v>-32271</v>
      </c>
      <c r="V13" s="201">
        <v>-35910</v>
      </c>
      <c r="W13" s="201">
        <v>-34021.773478642281</v>
      </c>
      <c r="X13" s="201">
        <v>-32942.008999999998</v>
      </c>
      <c r="Y13" s="201">
        <v>-37676.508000000002</v>
      </c>
      <c r="Z13" s="201">
        <v>-38789.920521357737</v>
      </c>
      <c r="AA13" s="201">
        <v>-40810.6</v>
      </c>
      <c r="AB13" s="201">
        <v>-42997</v>
      </c>
      <c r="AC13" s="201">
        <v>-46809</v>
      </c>
      <c r="AD13" s="201">
        <v>-51585.399999999994</v>
      </c>
      <c r="AE13" s="201">
        <v>-45739</v>
      </c>
      <c r="AF13" s="202"/>
      <c r="AG13" s="356">
        <f t="shared" si="2"/>
        <v>-0.11333439306470428</v>
      </c>
      <c r="AH13" s="356">
        <f t="shared" si="3"/>
        <v>0.12076274301284484</v>
      </c>
    </row>
    <row r="14" spans="2:38" ht="13" customHeight="1">
      <c r="B14" s="15" t="str">
        <f>IF('Summary | Sumário'!D$6=Names!B$3,Names!AC21,Names!AD21)</f>
        <v>Other revenues</v>
      </c>
      <c r="C14" s="202">
        <f t="shared" ref="C14:AA14" si="4">SUM(C15:C18)</f>
        <v>46867</v>
      </c>
      <c r="D14" s="202">
        <f t="shared" si="4"/>
        <v>92564</v>
      </c>
      <c r="E14" s="202">
        <f t="shared" si="4"/>
        <v>165415</v>
      </c>
      <c r="F14" s="202">
        <f t="shared" si="4"/>
        <v>288682</v>
      </c>
      <c r="G14" s="202">
        <f t="shared" si="4"/>
        <v>286980</v>
      </c>
      <c r="H14" s="202">
        <f t="shared" si="4"/>
        <v>333570.52926939994</v>
      </c>
      <c r="I14" s="202">
        <f t="shared" ref="I14" si="5">SUM(I15:I18)</f>
        <v>301226</v>
      </c>
      <c r="J14" s="202"/>
      <c r="K14" s="202">
        <f t="shared" si="4"/>
        <v>41623</v>
      </c>
      <c r="L14" s="202">
        <f t="shared" si="4"/>
        <v>69359</v>
      </c>
      <c r="M14" s="202">
        <f t="shared" si="4"/>
        <v>30496</v>
      </c>
      <c r="N14" s="202">
        <f t="shared" si="4"/>
        <v>23937</v>
      </c>
      <c r="O14" s="202">
        <f t="shared" si="4"/>
        <v>95374</v>
      </c>
      <c r="P14" s="202">
        <f t="shared" si="4"/>
        <v>85809</v>
      </c>
      <c r="Q14" s="202">
        <f t="shared" si="4"/>
        <v>46550</v>
      </c>
      <c r="R14" s="202">
        <f t="shared" si="4"/>
        <v>60949</v>
      </c>
      <c r="S14" s="202">
        <f t="shared" si="4"/>
        <v>50958</v>
      </c>
      <c r="T14" s="202">
        <f t="shared" si="4"/>
        <v>54967</v>
      </c>
      <c r="U14" s="202">
        <f t="shared" si="4"/>
        <v>104770.50028000001</v>
      </c>
      <c r="V14" s="202">
        <f t="shared" si="4"/>
        <v>76284.499719999993</v>
      </c>
      <c r="W14" s="202">
        <f t="shared" si="4"/>
        <v>68201</v>
      </c>
      <c r="X14" s="202">
        <f t="shared" si="4"/>
        <v>72531.218238679983</v>
      </c>
      <c r="Y14" s="202">
        <f t="shared" si="4"/>
        <v>81802.620979938802</v>
      </c>
      <c r="Z14" s="202">
        <f t="shared" si="4"/>
        <v>111035.69005078121</v>
      </c>
      <c r="AA14" s="202">
        <f t="shared" si="4"/>
        <v>56093.4</v>
      </c>
      <c r="AB14" s="202">
        <f t="shared" ref="AB14:AC14" si="6">SUM(AB15:AB18)</f>
        <v>81444.399999999994</v>
      </c>
      <c r="AC14" s="202">
        <f t="shared" si="6"/>
        <v>72103</v>
      </c>
      <c r="AD14" s="202">
        <f t="shared" ref="AD14:AE14" si="7">SUM(AD15:AD18)</f>
        <v>91585.2</v>
      </c>
      <c r="AE14" s="202">
        <f t="shared" si="7"/>
        <v>108943</v>
      </c>
      <c r="AF14" s="202"/>
      <c r="AG14" s="355">
        <f t="shared" si="2"/>
        <v>0.18952625533383127</v>
      </c>
      <c r="AH14" s="355">
        <f t="shared" si="3"/>
        <v>0.94217144976057776</v>
      </c>
    </row>
    <row r="15" spans="2:38" ht="13" customHeight="1">
      <c r="B15" s="99" t="str">
        <f>IF('Summary | Sumário'!D$6=Names!B$3,Names!AC42,Names!AD42)</f>
        <v>Credits from payables with credit card networks</v>
      </c>
      <c r="C15" s="201">
        <v>0</v>
      </c>
      <c r="D15" s="201">
        <v>0</v>
      </c>
      <c r="E15" s="201">
        <v>0</v>
      </c>
      <c r="F15" s="201">
        <v>0</v>
      </c>
      <c r="G15" s="201">
        <v>52316.985379999998</v>
      </c>
      <c r="H15" s="201">
        <v>81740</v>
      </c>
      <c r="I15" s="201">
        <v>156717</v>
      </c>
      <c r="J15" s="202"/>
      <c r="K15" s="201">
        <v>0</v>
      </c>
      <c r="L15" s="201">
        <v>0</v>
      </c>
      <c r="M15" s="201">
        <v>0</v>
      </c>
      <c r="N15" s="201">
        <v>0</v>
      </c>
      <c r="O15" s="201">
        <v>0</v>
      </c>
      <c r="P15" s="201">
        <v>0</v>
      </c>
      <c r="Q15" s="201">
        <v>0</v>
      </c>
      <c r="R15" s="201">
        <v>0</v>
      </c>
      <c r="S15" s="201">
        <v>0</v>
      </c>
      <c r="T15" s="201">
        <v>13028.933999999999</v>
      </c>
      <c r="U15" s="201">
        <v>14002.33604</v>
      </c>
      <c r="V15" s="201">
        <v>25285.715339999995</v>
      </c>
      <c r="W15" s="201">
        <v>17461.62442</v>
      </c>
      <c r="X15" s="201">
        <v>25175.659950000001</v>
      </c>
      <c r="Y15" s="201">
        <v>16552.843199999996</v>
      </c>
      <c r="Z15" s="201">
        <v>22549.872430000003</v>
      </c>
      <c r="AA15" s="201">
        <v>35257</v>
      </c>
      <c r="AB15" s="201">
        <v>35811</v>
      </c>
      <c r="AC15" s="201">
        <v>38581</v>
      </c>
      <c r="AD15" s="201">
        <v>47068</v>
      </c>
      <c r="AE15" s="201">
        <v>49831</v>
      </c>
      <c r="AF15" s="202"/>
      <c r="AG15" s="356">
        <f t="shared" si="2"/>
        <v>5.8702303050905069E-2</v>
      </c>
      <c r="AH15" s="356">
        <f t="shared" si="3"/>
        <v>0.41336472189919737</v>
      </c>
    </row>
    <row r="16" spans="2:38" ht="13" customHeight="1">
      <c r="B16" s="492" t="str">
        <f>IF('Summary | Sumário'!D$6=Names!B$3,Names!AC16,Names!AD16)</f>
        <v>Performance fees</v>
      </c>
      <c r="C16" s="202">
        <v>24610</v>
      </c>
      <c r="D16" s="202">
        <v>75230</v>
      </c>
      <c r="E16" s="202">
        <v>102863</v>
      </c>
      <c r="F16" s="202">
        <v>150401</v>
      </c>
      <c r="G16" s="202">
        <v>135260</v>
      </c>
      <c r="H16" s="202">
        <v>73649.78379999999</v>
      </c>
      <c r="I16" s="202">
        <v>41574</v>
      </c>
      <c r="J16" s="202"/>
      <c r="K16" s="202">
        <v>29089</v>
      </c>
      <c r="L16" s="202">
        <v>45719</v>
      </c>
      <c r="M16" s="202">
        <v>18654</v>
      </c>
      <c r="N16" s="202">
        <v>9401</v>
      </c>
      <c r="O16" s="202">
        <v>40734</v>
      </c>
      <c r="P16" s="202">
        <v>52204</v>
      </c>
      <c r="Q16" s="202">
        <v>30764</v>
      </c>
      <c r="R16" s="202">
        <v>26699</v>
      </c>
      <c r="S16" s="202">
        <v>28285</v>
      </c>
      <c r="T16" s="202">
        <v>27910</v>
      </c>
      <c r="U16" s="202">
        <v>48644.500280000007</v>
      </c>
      <c r="V16" s="202">
        <v>30420.499719999993</v>
      </c>
      <c r="W16" s="202">
        <v>24264</v>
      </c>
      <c r="X16" s="202">
        <v>16726.843239999995</v>
      </c>
      <c r="Y16" s="202">
        <v>14306.74461</v>
      </c>
      <c r="Z16" s="202">
        <v>18352.195949999994</v>
      </c>
      <c r="AA16" s="202">
        <v>9130.4</v>
      </c>
      <c r="AB16" s="202">
        <v>11653.4</v>
      </c>
      <c r="AC16" s="202">
        <v>9962</v>
      </c>
      <c r="AD16" s="202">
        <v>10828.2</v>
      </c>
      <c r="AE16" s="202">
        <v>11325</v>
      </c>
      <c r="AF16" s="202"/>
      <c r="AG16" s="355">
        <f t="shared" si="2"/>
        <v>4.5880201695572609E-2</v>
      </c>
      <c r="AH16" s="355">
        <f t="shared" si="3"/>
        <v>0.24036186804521176</v>
      </c>
    </row>
    <row r="17" spans="2:34" ht="13" customHeight="1">
      <c r="B17" s="99" t="str">
        <f>IF('Summary | Sumário'!D$6=Names!B$3,Names!AC17,Names!AD17)</f>
        <v>Capital gains (losses)</v>
      </c>
      <c r="C17" s="201">
        <v>0</v>
      </c>
      <c r="D17" s="201">
        <v>0</v>
      </c>
      <c r="E17" s="201">
        <v>29330</v>
      </c>
      <c r="F17" s="201">
        <v>66363</v>
      </c>
      <c r="G17" s="201">
        <v>41785</v>
      </c>
      <c r="H17" s="201">
        <v>55538.273229999999</v>
      </c>
      <c r="I17" s="201">
        <v>-23547</v>
      </c>
      <c r="J17" s="202"/>
      <c r="K17" s="201">
        <v>6837</v>
      </c>
      <c r="L17" s="201">
        <v>13917</v>
      </c>
      <c r="M17" s="201">
        <v>4248</v>
      </c>
      <c r="N17" s="201">
        <v>4328</v>
      </c>
      <c r="O17" s="201">
        <v>38486</v>
      </c>
      <c r="P17" s="201">
        <v>22428</v>
      </c>
      <c r="Q17" s="201">
        <v>2651</v>
      </c>
      <c r="R17" s="201">
        <v>2798</v>
      </c>
      <c r="S17" s="201">
        <v>2938</v>
      </c>
      <c r="T17" s="201">
        <v>6149</v>
      </c>
      <c r="U17" s="201">
        <v>25341</v>
      </c>
      <c r="V17" s="201">
        <v>7357</v>
      </c>
      <c r="W17" s="201">
        <v>3255</v>
      </c>
      <c r="X17" s="201">
        <v>5533.7366399999992</v>
      </c>
      <c r="Y17" s="201">
        <v>7716.9919500000005</v>
      </c>
      <c r="Z17" s="201">
        <v>39032.54464</v>
      </c>
      <c r="AA17" s="201">
        <v>-1952</v>
      </c>
      <c r="AB17" s="201">
        <v>1965</v>
      </c>
      <c r="AC17" s="201">
        <v>-15266</v>
      </c>
      <c r="AD17" s="201">
        <v>-8294</v>
      </c>
      <c r="AE17" s="201">
        <v>-1639</v>
      </c>
      <c r="AF17" s="202"/>
      <c r="AG17" s="356">
        <f t="shared" si="2"/>
        <v>-0.80238726790450932</v>
      </c>
      <c r="AH17" s="356">
        <f t="shared" si="3"/>
        <v>-0.16034836065573765</v>
      </c>
    </row>
    <row r="18" spans="2:34" ht="13" customHeight="1">
      <c r="B18" s="492" t="str">
        <f>IF('Summary | Sumário'!D$6=Names!B$3,Names!AC19,Names!AD19)</f>
        <v>Other revenue</v>
      </c>
      <c r="C18" s="202">
        <v>22257</v>
      </c>
      <c r="D18" s="202">
        <v>17334</v>
      </c>
      <c r="E18" s="202">
        <v>33222</v>
      </c>
      <c r="F18" s="202">
        <v>71918</v>
      </c>
      <c r="G18" s="202">
        <v>57618.014620000009</v>
      </c>
      <c r="H18" s="202">
        <v>122642.4722394</v>
      </c>
      <c r="I18" s="202">
        <v>126482</v>
      </c>
      <c r="J18" s="202"/>
      <c r="K18" s="202">
        <v>5697</v>
      </c>
      <c r="L18" s="202">
        <v>9723</v>
      </c>
      <c r="M18" s="202">
        <v>7594</v>
      </c>
      <c r="N18" s="202">
        <v>10208</v>
      </c>
      <c r="O18" s="202">
        <v>16154</v>
      </c>
      <c r="P18" s="202">
        <v>11177</v>
      </c>
      <c r="Q18" s="202">
        <v>13135</v>
      </c>
      <c r="R18" s="202">
        <v>31452</v>
      </c>
      <c r="S18" s="202">
        <v>19735</v>
      </c>
      <c r="T18" s="202">
        <v>7879.0659999999989</v>
      </c>
      <c r="U18" s="202">
        <v>16782.663960000005</v>
      </c>
      <c r="V18" s="202">
        <v>13221.284660000005</v>
      </c>
      <c r="W18" s="202">
        <v>23220.37558</v>
      </c>
      <c r="X18" s="202">
        <v>25094.978408679988</v>
      </c>
      <c r="Y18" s="202">
        <v>43226.041219938801</v>
      </c>
      <c r="Z18" s="202">
        <v>31101.07703078122</v>
      </c>
      <c r="AA18" s="202">
        <v>13658</v>
      </c>
      <c r="AB18" s="202">
        <v>32015</v>
      </c>
      <c r="AC18" s="202">
        <v>38826</v>
      </c>
      <c r="AD18" s="202">
        <v>41983</v>
      </c>
      <c r="AE18" s="202">
        <v>49426</v>
      </c>
      <c r="AF18" s="202"/>
      <c r="AG18" s="355">
        <f t="shared" si="2"/>
        <v>0.17728604435128514</v>
      </c>
      <c r="AH18" s="355">
        <f t="shared" si="3"/>
        <v>2.6188314540928395</v>
      </c>
    </row>
    <row r="19" spans="2:34" ht="13" customHeight="1">
      <c r="B19" s="286" t="str">
        <f>IF('Summary | Sumário'!D$6=Names!B$3,Names!AC26,Names!AD26)</f>
        <v>Net fee revenues</v>
      </c>
      <c r="C19" s="270">
        <f t="shared" ref="C19:H19" si="8">C5+C14</f>
        <v>120696.66099999999</v>
      </c>
      <c r="D19" s="270">
        <f t="shared" si="8"/>
        <v>278098</v>
      </c>
      <c r="E19" s="270">
        <f t="shared" si="8"/>
        <v>607687</v>
      </c>
      <c r="F19" s="270">
        <f t="shared" si="8"/>
        <v>1127488</v>
      </c>
      <c r="G19" s="270">
        <f t="shared" si="8"/>
        <v>1455780.6</v>
      </c>
      <c r="H19" s="270">
        <f t="shared" si="8"/>
        <v>1943420.8032693998</v>
      </c>
      <c r="I19" s="270">
        <f t="shared" ref="I19" si="9">I5+I14</f>
        <v>2127119</v>
      </c>
      <c r="J19" s="214"/>
      <c r="K19" s="270">
        <f t="shared" ref="K19:AA19" si="10">K5+K14</f>
        <v>119309</v>
      </c>
      <c r="L19" s="270">
        <f t="shared" si="10"/>
        <v>158429</v>
      </c>
      <c r="M19" s="270">
        <f t="shared" si="10"/>
        <v>153349</v>
      </c>
      <c r="N19" s="270">
        <f t="shared" si="10"/>
        <v>176600</v>
      </c>
      <c r="O19" s="270">
        <f t="shared" si="10"/>
        <v>273077</v>
      </c>
      <c r="P19" s="270">
        <f t="shared" si="10"/>
        <v>290370</v>
      </c>
      <c r="Q19" s="270">
        <f t="shared" si="10"/>
        <v>263579</v>
      </c>
      <c r="R19" s="270">
        <f t="shared" si="10"/>
        <v>300462</v>
      </c>
      <c r="S19" s="270">
        <f t="shared" si="10"/>
        <v>297633</v>
      </c>
      <c r="T19" s="270">
        <f t="shared" si="10"/>
        <v>321768</v>
      </c>
      <c r="U19" s="270">
        <f t="shared" si="10"/>
        <v>420279.50028000004</v>
      </c>
      <c r="V19" s="270">
        <f t="shared" si="10"/>
        <v>416100.09971999994</v>
      </c>
      <c r="W19" s="270">
        <f t="shared" si="10"/>
        <v>408518.39485153224</v>
      </c>
      <c r="X19" s="270">
        <f t="shared" si="10"/>
        <v>436732.08523867995</v>
      </c>
      <c r="Y19" s="270">
        <f t="shared" si="10"/>
        <v>511793.11297993874</v>
      </c>
      <c r="Z19" s="270">
        <f t="shared" si="10"/>
        <v>586377.21019924898</v>
      </c>
      <c r="AA19" s="270">
        <f t="shared" si="10"/>
        <v>475206.80000000005</v>
      </c>
      <c r="AB19" s="270">
        <f t="shared" ref="AB19:AC19" si="11">AB5+AB14</f>
        <v>533575.4</v>
      </c>
      <c r="AC19" s="270">
        <f t="shared" si="11"/>
        <v>539473</v>
      </c>
      <c r="AD19" s="270">
        <f t="shared" ref="AD19:AE19" si="12">AD5+AD14</f>
        <v>578863.79999999993</v>
      </c>
      <c r="AE19" s="270">
        <f t="shared" si="12"/>
        <v>559237</v>
      </c>
      <c r="AF19" s="214"/>
      <c r="AG19" s="357">
        <f t="shared" si="2"/>
        <v>-3.3905730501717191E-2</v>
      </c>
      <c r="AH19" s="357">
        <f t="shared" si="3"/>
        <v>0.17682869857922889</v>
      </c>
    </row>
    <row r="21" spans="2:34" ht="13" customHeight="1">
      <c r="H21" s="152"/>
      <c r="I21" s="152"/>
      <c r="AC21" s="175"/>
      <c r="AD21" s="175"/>
      <c r="AE21" s="175"/>
    </row>
    <row r="22" spans="2:34" ht="13" customHeight="1">
      <c r="AC22" s="175"/>
    </row>
  </sheetData>
  <sheetProtection algorithmName="SHA-512" hashValue="5SiRjBi92b4gLvgVoAo3f5v8Cjxzr4SDx2LxtZ1qw6+zt8d31G8aJ67a1EtNl8T3xVn1jNiog71ZSvc4cqJA0w==" saltValue="mCvWF3+9oyjN1j4boY4yg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E818A26B56FC449FC3FC4B33B773FD" ma:contentTypeVersion="18" ma:contentTypeDescription="Create a new document." ma:contentTypeScope="" ma:versionID="b9ad7aee12bc649a3ef2129b69982034">
  <xsd:schema xmlns:xsd="http://www.w3.org/2001/XMLSchema" xmlns:xs="http://www.w3.org/2001/XMLSchema" xmlns:p="http://schemas.microsoft.com/office/2006/metadata/properties" xmlns:ns2="5d9f6fee-b6ef-4fa4-8eca-ab2ea167719e" xmlns:ns3="732387ac-e78b-4690-a915-72ca2ef0e251" targetNamespace="http://schemas.microsoft.com/office/2006/metadata/properties" ma:root="true" ma:fieldsID="097652a21bdd59a19721fc128af81717" ns2:_="" ns3:_="">
    <xsd:import namespace="5d9f6fee-b6ef-4fa4-8eca-ab2ea167719e"/>
    <xsd:import namespace="732387ac-e78b-4690-a915-72ca2ef0e2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f6fee-b6ef-4fa4-8eca-ab2ea16771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5be271f-47c9-4e56-9709-cda91bb854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_Flow_SignoffStatus" ma:index="24" nillable="true" ma:displayName="Sign-off status"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2387ac-e78b-4690-a915-72ca2ef0e2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212c62a7-6304-4677-961b-98b31ee99232}" ma:internalName="TaxCatchAll" ma:showField="CatchAllData" ma:web="732387ac-e78b-4690-a915-72ca2ef0e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32387ac-e78b-4690-a915-72ca2ef0e251">
      <UserInfo>
        <DisplayName/>
        <AccountId xsi:nil="true"/>
        <AccountType/>
      </UserInfo>
    </SharedWithUsers>
    <lcf76f155ced4ddcb4097134ff3c332f xmlns="5d9f6fee-b6ef-4fa4-8eca-ab2ea167719e">
      <Terms xmlns="http://schemas.microsoft.com/office/infopath/2007/PartnerControls"/>
    </lcf76f155ced4ddcb4097134ff3c332f>
    <TaxCatchAll xmlns="732387ac-e78b-4690-a915-72ca2ef0e251" xsi:nil="true"/>
    <_Flow_SignoffStatus xmlns="5d9f6fee-b6ef-4fa4-8eca-ab2ea167719e" xsi:nil="true"/>
  </documentManagement>
</p:properties>
</file>

<file path=customXml/itemProps1.xml><?xml version="1.0" encoding="utf-8"?>
<ds:datastoreItem xmlns:ds="http://schemas.openxmlformats.org/officeDocument/2006/customXml" ds:itemID="{A73CD487-4B02-4B36-BF83-23F3D0CAFBF1}">
  <ds:schemaRefs>
    <ds:schemaRef ds:uri="http://schemas.microsoft.com/sharepoint/v3/contenttype/forms"/>
  </ds:schemaRefs>
</ds:datastoreItem>
</file>

<file path=customXml/itemProps2.xml><?xml version="1.0" encoding="utf-8"?>
<ds:datastoreItem xmlns:ds="http://schemas.openxmlformats.org/officeDocument/2006/customXml" ds:itemID="{DA718C78-F968-4907-9D04-F7ECEABDB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f6fee-b6ef-4fa4-8eca-ab2ea167719e"/>
    <ds:schemaRef ds:uri="732387ac-e78b-4690-a915-72ca2ef0e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2DE5B4-D031-4212-9547-CB6B5BD9375B}">
  <ds:schemaRefs>
    <ds:schemaRef ds:uri="http://purl.org/dc/elements/1.1/"/>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732387ac-e78b-4690-a915-72ca2ef0e251"/>
    <ds:schemaRef ds:uri="5d9f6fee-b6ef-4fa4-8eca-ab2ea167719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32</vt:i4>
      </vt:variant>
    </vt:vector>
  </HeadingPairs>
  <TitlesOfParts>
    <vt:vector size="32" baseType="lpstr">
      <vt:lpstr>Names</vt:lpstr>
      <vt:lpstr>Summary | Sumário</vt:lpstr>
      <vt:lpstr>1. Highlights</vt:lpstr>
      <vt:lpstr>2. BS | BP</vt:lpstr>
      <vt:lpstr>3. IS | DRE</vt:lpstr>
      <vt:lpstr>4. Funding</vt:lpstr>
      <vt:lpstr>5. IEP</vt:lpstr>
      <vt:lpstr>6. NII</vt:lpstr>
      <vt:lpstr>7. Fee Revenue | R. de Serv </vt:lpstr>
      <vt:lpstr>8. Expenses</vt:lpstr>
      <vt:lpstr>9. Financial KPIs | KPIs Fin.</vt:lpstr>
      <vt:lpstr>9.1 Asset Quality</vt:lpstr>
      <vt:lpstr>9.2 NIM &amp; Yields</vt:lpstr>
      <vt:lpstr>9.3 Fee Income Ratio</vt:lpstr>
      <vt:lpstr>9.4 Efficiency | Eficiência</vt:lpstr>
      <vt:lpstr>9.5 CTS | Custo de servir </vt:lpstr>
      <vt:lpstr>9.6 ARPAC</vt:lpstr>
      <vt:lpstr>9.7 Cost of Funding</vt:lpstr>
      <vt:lpstr>9.8 ROE &amp; ROTE</vt:lpstr>
      <vt:lpstr>9.9 Capital | Basileia</vt:lpstr>
      <vt:lpstr>9.10 Income Tax Rate</vt:lpstr>
      <vt:lpstr>1. Oper. KPIs | KPIs Oper.</vt:lpstr>
      <vt:lpstr>2. Market Data | Dado de Mer.</vt:lpstr>
      <vt:lpstr>2. Simulation | Simulação</vt:lpstr>
      <vt:lpstr>3. Disclaimer</vt:lpstr>
      <vt:lpstr>4. Glossary | Glossário</vt:lpstr>
      <vt:lpstr>Credit | Crédito (old)</vt:lpstr>
      <vt:lpstr>Funding (old)</vt:lpstr>
      <vt:lpstr>Fee Revenue | R. de S. (old)</vt:lpstr>
      <vt:lpstr>NIMs (old)</vt:lpstr>
      <vt:lpstr>Eff. | Efic. (old)</vt:lpstr>
      <vt:lpstr>Cost of Risk (old)</vt:lpstr>
    </vt:vector>
  </TitlesOfParts>
  <Manager/>
  <Company>Inter&amp;Co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Inter&amp;Co - Historical Data</dc:title>
  <dc:subject/>
  <dc:creator>Fernand Marinho Fernandes</dc:creator>
  <cp:keywords/>
  <dc:description/>
  <cp:lastModifiedBy>Gabriel Araripe Alencar Silva</cp:lastModifiedBy>
  <cp:revision/>
  <dcterms:created xsi:type="dcterms:W3CDTF">2016-08-05T17:50:49Z</dcterms:created>
  <dcterms:modified xsi:type="dcterms:W3CDTF">2026-05-18T13:17:53Z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24d9c5-38c1-495b-ab07-d4fc08626d86_Enabled">
    <vt:lpwstr>true</vt:lpwstr>
  </property>
  <property fmtid="{D5CDD505-2E9C-101B-9397-08002B2CF9AE}" pid="3" name="MSIP_Label_5d24d9c5-38c1-495b-ab07-d4fc08626d86_SetDate">
    <vt:lpwstr>2022-02-22T04:35:44Z</vt:lpwstr>
  </property>
  <property fmtid="{D5CDD505-2E9C-101B-9397-08002B2CF9AE}" pid="4" name="MSIP_Label_5d24d9c5-38c1-495b-ab07-d4fc08626d86_Method">
    <vt:lpwstr>Privileged</vt:lpwstr>
  </property>
  <property fmtid="{D5CDD505-2E9C-101B-9397-08002B2CF9AE}" pid="5" name="MSIP_Label_5d24d9c5-38c1-495b-ab07-d4fc08626d86_Name">
    <vt:lpwstr>Público</vt:lpwstr>
  </property>
  <property fmtid="{D5CDD505-2E9C-101B-9397-08002B2CF9AE}" pid="6" name="MSIP_Label_5d24d9c5-38c1-495b-ab07-d4fc08626d86_SiteId">
    <vt:lpwstr>05e665c9-c502-4a19-98a5-a913a6f52be8</vt:lpwstr>
  </property>
  <property fmtid="{D5CDD505-2E9C-101B-9397-08002B2CF9AE}" pid="7" name="MSIP_Label_5d24d9c5-38c1-495b-ab07-d4fc08626d86_ActionId">
    <vt:lpwstr>5a590cc8-4202-46c6-9f11-08b8c9841dbb</vt:lpwstr>
  </property>
  <property fmtid="{D5CDD505-2E9C-101B-9397-08002B2CF9AE}" pid="8" name="MSIP_Label_5d24d9c5-38c1-495b-ab07-d4fc08626d86_ContentBits">
    <vt:lpwstr>0</vt:lpwstr>
  </property>
  <property fmtid="{D5CDD505-2E9C-101B-9397-08002B2CF9AE}" pid="9" name="ContentTypeId">
    <vt:lpwstr>0x0101003BE818A26B56FC449FC3FC4B33B773FD</vt:lpwstr>
  </property>
  <property fmtid="{D5CDD505-2E9C-101B-9397-08002B2CF9AE}" pid="10" name="Order">
    <vt:i4>174300</vt:i4>
  </property>
  <property fmtid="{D5CDD505-2E9C-101B-9397-08002B2CF9AE}" pid="11" name="SharedWithUsers">
    <vt:lpwstr>149;#Clara Andrade Santi;#18;#Felipe Lobo Rezende;#1109;#Pedro Henrique Leite Bontempo</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activity">
    <vt:lpwstr>{"FileActivityType":"9","FileActivityTimeStamp":"2022-11-08T17:41:21.233Z","FileActivityUsersOnPage":[{"DisplayName":"Maria Clara Loschi Ferreira","Id":"bi001615@bancointer.com.br"},{"DisplayName":"Pedro Henrique Leite Bontempo","Id":"bi005720@bancointer.com.br"}]}</vt:lpwstr>
  </property>
  <property fmtid="{D5CDD505-2E9C-101B-9397-08002B2CF9AE}" pid="16" name="_ExtendedDescription">
    <vt:lpwstr/>
  </property>
  <property fmtid="{D5CDD505-2E9C-101B-9397-08002B2CF9AE}" pid="17" name="TriggerFlowInfo">
    <vt:lpwstr/>
  </property>
  <property fmtid="{D5CDD505-2E9C-101B-9397-08002B2CF9AE}" pid="18" name="xd_ProgID">
    <vt:lpwstr/>
  </property>
  <property fmtid="{D5CDD505-2E9C-101B-9397-08002B2CF9AE}" pid="19" name="TemplateUrl">
    <vt:lpwstr/>
  </property>
  <property fmtid="{D5CDD505-2E9C-101B-9397-08002B2CF9AE}" pid="20" name="xd_Signature">
    <vt:bool>false</vt:bool>
  </property>
  <property fmtid="{D5CDD505-2E9C-101B-9397-08002B2CF9AE}" pid="21" name="MediaServiceImageTags">
    <vt:lpwstr/>
  </property>
</Properties>
</file>