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EstaPastaDeTrabalho" defaultThemeVersion="166925"/>
  <mc:AlternateContent xmlns:mc="http://schemas.openxmlformats.org/markup-compatibility/2006">
    <mc:Choice Requires="x15">
      <x15ac:absPath xmlns:x15ac="http://schemas.microsoft.com/office/spreadsheetml/2010/11/ac" url="O:\CV\Desenvolvimento\Desenvolvimento\8. Relações com Investidores\2. Earnings Release\2022\3Q22\5. Spreadsheet\"/>
    </mc:Choice>
  </mc:AlternateContent>
  <xr:revisionPtr revIDLastSave="0" documentId="13_ncr:1_{13E50B88-851B-4185-8BDD-864F0EB6E1DA}" xr6:coauthVersionLast="47" xr6:coauthVersionMax="47" xr10:uidLastSave="{00000000-0000-0000-0000-000000000000}"/>
  <bookViews>
    <workbookView xWindow="-120" yWindow="-120" windowWidth="20730" windowHeight="11160" tabRatio="882" activeTab="7" xr2:uid="{00000000-000D-0000-FFFF-FFFF00000000}"/>
  </bookViews>
  <sheets>
    <sheet name="Disclaimer" sheetId="6" r:id="rId1"/>
    <sheet name="Balance Sheet" sheetId="7" r:id="rId2"/>
    <sheet name="Income Statement" sheetId="8" state="hidden" r:id="rId3"/>
    <sheet name="EN Income Statement" sheetId="12" r:id="rId4"/>
    <sheet name="Core x Sup." sheetId="11" r:id="rId5"/>
    <sheet name="Cash Flow Statement" sheetId="9" r:id="rId6"/>
    <sheet name="Non-GAAP Measures" sheetId="10" r:id="rId7"/>
    <sheet name="ACV Bookings" sheetId="1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7" i="7" l="1"/>
  <c r="V30" i="7"/>
  <c r="U30" i="7"/>
  <c r="T30" i="7"/>
  <c r="S30" i="7"/>
  <c r="R30" i="7"/>
  <c r="Q30" i="7"/>
  <c r="P30" i="7"/>
  <c r="O30" i="7"/>
  <c r="N30" i="7"/>
  <c r="M30" i="7"/>
  <c r="L30" i="7"/>
  <c r="K30" i="7"/>
  <c r="J30" i="7"/>
  <c r="I30" i="7"/>
  <c r="H30" i="7"/>
  <c r="G30" i="7"/>
  <c r="F30" i="7"/>
  <c r="E30" i="7"/>
  <c r="D30" i="7"/>
  <c r="W30" i="7"/>
  <c r="K16" i="13"/>
  <c r="J16" i="13"/>
  <c r="I16" i="13"/>
  <c r="K12" i="13"/>
  <c r="J12" i="13"/>
  <c r="I12" i="13"/>
  <c r="H12" i="13"/>
  <c r="G12" i="13"/>
  <c r="F12" i="13"/>
  <c r="E12" i="13"/>
  <c r="D12" i="13"/>
  <c r="K8" i="13"/>
  <c r="J8" i="13"/>
  <c r="I8" i="13"/>
  <c r="H8" i="13"/>
  <c r="G8" i="13"/>
  <c r="F8" i="13"/>
  <c r="E8" i="13"/>
  <c r="D8" i="13"/>
  <c r="AB78" i="10"/>
  <c r="AA78" i="10"/>
  <c r="Z78" i="10"/>
  <c r="Y78" i="10"/>
  <c r="X78" i="10"/>
  <c r="W78" i="10"/>
  <c r="V78" i="10"/>
  <c r="U78" i="10"/>
  <c r="T78" i="10"/>
  <c r="S78" i="10"/>
  <c r="R78" i="10"/>
  <c r="Q78" i="10"/>
  <c r="P78" i="10"/>
  <c r="O78" i="10"/>
  <c r="N78" i="10"/>
  <c r="M78" i="10"/>
  <c r="L78" i="10"/>
  <c r="K78" i="10"/>
  <c r="J78" i="10"/>
  <c r="I78" i="10"/>
  <c r="H78" i="10"/>
  <c r="G78" i="10"/>
  <c r="F78" i="10"/>
  <c r="E78" i="10"/>
  <c r="AC78" i="10"/>
  <c r="AD78" i="10"/>
  <c r="Z61" i="10"/>
  <c r="Y61" i="10"/>
  <c r="X61" i="10"/>
  <c r="W61" i="10"/>
  <c r="V61" i="10"/>
  <c r="U61" i="10"/>
  <c r="T61" i="10"/>
  <c r="S61" i="10"/>
  <c r="R61" i="10"/>
  <c r="Q61" i="10"/>
  <c r="P61" i="10"/>
  <c r="O61" i="10"/>
  <c r="N61" i="10"/>
  <c r="M61" i="10"/>
  <c r="L61" i="10"/>
  <c r="K61" i="10"/>
  <c r="J61" i="10"/>
  <c r="I61" i="10"/>
  <c r="H61" i="10"/>
  <c r="G61" i="10"/>
  <c r="F61" i="10"/>
  <c r="E61" i="10"/>
  <c r="AA61" i="10"/>
  <c r="AB61" i="10"/>
  <c r="AD61" i="10"/>
  <c r="AC61" i="10"/>
  <c r="AD37" i="10"/>
  <c r="AD35" i="10"/>
  <c r="AD13" i="10" l="1"/>
  <c r="AD12" i="10"/>
  <c r="AD32" i="10"/>
  <c r="AD27" i="10"/>
  <c r="AD15" i="11"/>
  <c r="AD13" i="11"/>
  <c r="AD12" i="11"/>
  <c r="AD9" i="11"/>
  <c r="AD18" i="12"/>
  <c r="AD82" i="10" l="1"/>
  <c r="AD66" i="10"/>
  <c r="AD65" i="10"/>
  <c r="AD64" i="10"/>
  <c r="AD63" i="10"/>
  <c r="AD60" i="10"/>
  <c r="AD58" i="10"/>
  <c r="AD43" i="10"/>
  <c r="AD22" i="10"/>
  <c r="AD20" i="10"/>
  <c r="AD23" i="10" s="1"/>
  <c r="AD56" i="10" l="1"/>
  <c r="AD92" i="10"/>
  <c r="AD94" i="10" s="1"/>
  <c r="AD97" i="10" s="1"/>
  <c r="AD98" i="10" s="1"/>
  <c r="AD49" i="10"/>
  <c r="AD53" i="10"/>
  <c r="AD47" i="10"/>
  <c r="AD50" i="10" s="1"/>
  <c r="AD87" i="9"/>
  <c r="AD78" i="9"/>
  <c r="AD61" i="9"/>
  <c r="AD27" i="9"/>
  <c r="AD40" i="9" s="1"/>
  <c r="AD10" i="11"/>
  <c r="AD7" i="11"/>
  <c r="AD72" i="12"/>
  <c r="AD71" i="12"/>
  <c r="AD73" i="12" s="1"/>
  <c r="AD67" i="12"/>
  <c r="AD64" i="12"/>
  <c r="AD54" i="12"/>
  <c r="AD43" i="12"/>
  <c r="AD41" i="12"/>
  <c r="AD30" i="12"/>
  <c r="AD10" i="12"/>
  <c r="AD20" i="12" s="1"/>
  <c r="AD36" i="8"/>
  <c r="AD28" i="8"/>
  <c r="AD20" i="8"/>
  <c r="AD15" i="8"/>
  <c r="AD9" i="8"/>
  <c r="AD49" i="9" l="1"/>
  <c r="AD59" i="10"/>
  <c r="AD101" i="10"/>
  <c r="AD102" i="10" s="1"/>
  <c r="AD65" i="12"/>
  <c r="AD45" i="12"/>
  <c r="AD21" i="12"/>
  <c r="AD82" i="9"/>
  <c r="AD24" i="8"/>
  <c r="AD30" i="8" s="1"/>
  <c r="AD62" i="10" l="1"/>
  <c r="AD57" i="10"/>
  <c r="AD69" i="12"/>
  <c r="AD46" i="12"/>
  <c r="AD67" i="10" l="1"/>
  <c r="AD71" i="10" s="1"/>
  <c r="AD74" i="10" s="1"/>
  <c r="AD77" i="10"/>
  <c r="AD79" i="10" s="1"/>
  <c r="AD70" i="12"/>
  <c r="AD75" i="12"/>
  <c r="AD76" i="12" s="1"/>
  <c r="W67" i="7" l="1"/>
  <c r="W69" i="7" s="1"/>
  <c r="W58" i="7"/>
  <c r="W32" i="7"/>
  <c r="W17" i="7"/>
  <c r="W71" i="7" l="1"/>
  <c r="U56" i="10"/>
  <c r="T56" i="10"/>
  <c r="S56" i="10"/>
  <c r="Q56" i="10"/>
  <c r="P56" i="10"/>
  <c r="O56" i="10"/>
  <c r="N56" i="10"/>
  <c r="M56" i="10"/>
  <c r="L56" i="10"/>
  <c r="K56" i="10"/>
  <c r="J56" i="10"/>
  <c r="I56" i="10"/>
  <c r="H56" i="10"/>
  <c r="G56" i="10"/>
  <c r="F56" i="10"/>
  <c r="E56" i="10"/>
  <c r="AC66" i="10"/>
  <c r="AC15" i="11"/>
  <c r="AC14" i="11"/>
  <c r="AC9" i="11"/>
  <c r="AC8" i="11"/>
  <c r="AC65" i="10"/>
  <c r="AC64" i="10"/>
  <c r="AC63" i="10"/>
  <c r="AC58" i="10"/>
  <c r="AC11" i="11"/>
  <c r="AC12" i="11"/>
  <c r="AC13" i="10" l="1"/>
  <c r="AC12" i="10"/>
  <c r="AC22" i="10" s="1"/>
  <c r="AC86" i="10"/>
  <c r="AC82" i="10"/>
  <c r="AC56" i="10" s="1"/>
  <c r="AC60" i="10"/>
  <c r="AC32" i="10"/>
  <c r="AC27" i="10"/>
  <c r="AC43" i="10" s="1"/>
  <c r="AC49" i="10" s="1"/>
  <c r="AC87" i="9"/>
  <c r="AC78" i="9"/>
  <c r="AC61" i="9"/>
  <c r="AC27" i="9"/>
  <c r="AC40" i="9" s="1"/>
  <c r="AC59" i="10" s="1"/>
  <c r="AC62" i="10" l="1"/>
  <c r="AC92" i="10"/>
  <c r="AC94" i="10" s="1"/>
  <c r="AC97" i="10" s="1"/>
  <c r="AC49" i="9"/>
  <c r="AC82" i="9" s="1"/>
  <c r="AC47" i="10"/>
  <c r="AC20" i="10"/>
  <c r="AC13" i="11"/>
  <c r="AC10" i="11"/>
  <c r="AC7" i="11"/>
  <c r="AC72" i="12"/>
  <c r="AC71" i="12"/>
  <c r="AC73" i="12" s="1"/>
  <c r="AC67" i="12"/>
  <c r="AC64" i="12"/>
  <c r="AC54" i="12"/>
  <c r="AC43" i="12"/>
  <c r="AC41" i="12"/>
  <c r="AC30" i="12"/>
  <c r="AC67" i="10" l="1"/>
  <c r="AC71" i="10" s="1"/>
  <c r="AC74" i="10" s="1"/>
  <c r="AC77" i="10"/>
  <c r="AC79" i="10" s="1"/>
  <c r="AC50" i="10"/>
  <c r="AC53" i="10"/>
  <c r="AC65" i="12"/>
  <c r="AC101" i="10"/>
  <c r="AC102" i="10" s="1"/>
  <c r="AC98" i="10"/>
  <c r="AC57" i="10"/>
  <c r="AC23" i="10"/>
  <c r="AC18" i="12"/>
  <c r="AC10" i="12"/>
  <c r="AC20" i="12" l="1"/>
  <c r="AC45" i="12" s="1"/>
  <c r="AC69" i="12" s="1"/>
  <c r="AC75" i="12" s="1"/>
  <c r="AC76" i="12" s="1"/>
  <c r="AC46" i="12" l="1"/>
  <c r="AC36" i="8"/>
  <c r="AC28" i="8"/>
  <c r="AC20" i="8"/>
  <c r="AC9" i="8"/>
  <c r="AC21" i="12" s="1"/>
  <c r="AC15" i="8" l="1"/>
  <c r="AC24" i="8" l="1"/>
  <c r="AC30" i="8" s="1"/>
  <c r="V67" i="7"/>
  <c r="AC70" i="12" l="1"/>
  <c r="V69" i="7"/>
  <c r="V58" i="7"/>
  <c r="V47" i="7"/>
  <c r="V17" i="7"/>
  <c r="V32" i="7" s="1"/>
  <c r="V71" i="7" l="1"/>
  <c r="Z13" i="10" l="1"/>
  <c r="Y13" i="10"/>
  <c r="X13" i="10"/>
  <c r="U13" i="10"/>
  <c r="T13" i="10"/>
  <c r="S13" i="10"/>
  <c r="R13" i="10"/>
  <c r="Q13" i="10"/>
  <c r="P13" i="10"/>
  <c r="O13" i="10"/>
  <c r="N13" i="10"/>
  <c r="M13" i="10"/>
  <c r="L13" i="10"/>
  <c r="K13" i="10"/>
  <c r="J13" i="10"/>
  <c r="I13" i="10"/>
  <c r="H13" i="10"/>
  <c r="G13" i="10"/>
  <c r="F13" i="10"/>
  <c r="E13" i="10"/>
  <c r="AB13" i="10"/>
  <c r="AA30" i="10"/>
  <c r="L58" i="10"/>
  <c r="M58" i="10"/>
  <c r="N58" i="10"/>
  <c r="O58" i="10"/>
  <c r="P58" i="10"/>
  <c r="Q58" i="10"/>
  <c r="R58" i="10"/>
  <c r="S58" i="10"/>
  <c r="T58" i="10"/>
  <c r="U58" i="10"/>
  <c r="V58" i="10"/>
  <c r="W58" i="10"/>
  <c r="X58" i="10"/>
  <c r="Y58" i="10"/>
  <c r="Z58" i="10"/>
  <c r="AB58" i="10"/>
  <c r="Z63" i="10"/>
  <c r="Y63" i="10"/>
  <c r="X63" i="10"/>
  <c r="W63" i="10"/>
  <c r="V63" i="10"/>
  <c r="U63" i="10"/>
  <c r="T63" i="10"/>
  <c r="AA63" i="10" l="1"/>
  <c r="Q35" i="10" l="1"/>
  <c r="Q36" i="10"/>
  <c r="AA35" i="10" l="1"/>
  <c r="Z36" i="10" l="1"/>
  <c r="Y36" i="10"/>
  <c r="X36" i="10"/>
  <c r="W36" i="10"/>
  <c r="V36" i="10"/>
  <c r="U36" i="10"/>
  <c r="T36" i="10"/>
  <c r="S36" i="10"/>
  <c r="R36" i="10"/>
  <c r="L36" i="10"/>
  <c r="K36" i="10"/>
  <c r="J36" i="10"/>
  <c r="I36" i="10"/>
  <c r="H36" i="10"/>
  <c r="G36" i="10"/>
  <c r="F36" i="10"/>
  <c r="E36" i="10"/>
  <c r="AB36" i="10"/>
  <c r="AB32" i="10"/>
  <c r="Z32" i="10"/>
  <c r="Q32" i="10"/>
  <c r="P32" i="10"/>
  <c r="O32" i="10"/>
  <c r="N32" i="10"/>
  <c r="M32" i="10"/>
  <c r="L32" i="10"/>
  <c r="K32" i="10"/>
  <c r="J32" i="10"/>
  <c r="I32" i="10"/>
  <c r="H32" i="10"/>
  <c r="G32" i="10"/>
  <c r="F32" i="10"/>
  <c r="E32" i="10"/>
  <c r="AA36" i="10" l="1"/>
  <c r="K58" i="10"/>
  <c r="J58" i="10"/>
  <c r="I58" i="10"/>
  <c r="H58" i="10"/>
  <c r="G58" i="10"/>
  <c r="F58" i="10"/>
  <c r="E58" i="10"/>
  <c r="AB63" i="10"/>
  <c r="W100" i="10"/>
  <c r="AB86" i="10" l="1"/>
  <c r="AB82" i="10"/>
  <c r="AB56" i="10" s="1"/>
  <c r="AB65" i="10"/>
  <c r="AB64" i="10"/>
  <c r="AB60" i="10"/>
  <c r="AB27" i="10"/>
  <c r="AB12" i="10"/>
  <c r="AB15" i="11"/>
  <c r="AB13" i="11" s="1"/>
  <c r="AB12" i="11"/>
  <c r="AB10" i="11"/>
  <c r="AB7" i="11"/>
  <c r="AB22" i="10" l="1"/>
  <c r="AB20" i="10"/>
  <c r="AB92" i="10"/>
  <c r="AB94" i="10" s="1"/>
  <c r="AB97" i="10" s="1"/>
  <c r="AB98" i="10" s="1"/>
  <c r="AA21" i="10"/>
  <c r="AB87" i="9"/>
  <c r="AB61" i="9"/>
  <c r="AB72" i="12"/>
  <c r="AB71" i="12"/>
  <c r="AB73" i="12" s="1"/>
  <c r="AB67" i="12"/>
  <c r="AB64" i="12"/>
  <c r="AB54" i="12"/>
  <c r="AB43" i="12"/>
  <c r="AB41" i="12"/>
  <c r="AB18" i="12"/>
  <c r="AB10" i="12"/>
  <c r="AB28" i="8"/>
  <c r="AF28" i="8" s="1"/>
  <c r="AB36" i="8"/>
  <c r="AB20" i="8"/>
  <c r="AB15" i="8"/>
  <c r="AB9" i="8"/>
  <c r="AF17" i="8"/>
  <c r="AF34" i="8"/>
  <c r="AF33" i="8"/>
  <c r="AF27" i="8"/>
  <c r="AF26" i="8"/>
  <c r="AF22" i="8"/>
  <c r="AF18" i="8"/>
  <c r="AF13" i="8"/>
  <c r="AF12" i="8"/>
  <c r="AF11" i="8"/>
  <c r="AF7" i="8"/>
  <c r="AF6" i="8"/>
  <c r="U67" i="7"/>
  <c r="U69" i="7" s="1"/>
  <c r="U58" i="7"/>
  <c r="U47" i="7"/>
  <c r="U17" i="7"/>
  <c r="Z62" i="12"/>
  <c r="Y100" i="10"/>
  <c r="X100" i="10"/>
  <c r="AB65" i="12" l="1"/>
  <c r="AB101" i="10"/>
  <c r="AB102" i="10" s="1"/>
  <c r="AB23" i="10"/>
  <c r="U32" i="7"/>
  <c r="U71" i="7"/>
  <c r="AB20" i="12"/>
  <c r="AB21" i="12" s="1"/>
  <c r="AB78" i="9"/>
  <c r="AB24" i="8"/>
  <c r="AB30" i="8" s="1"/>
  <c r="AF20" i="8"/>
  <c r="AF9" i="8"/>
  <c r="AF15" i="8" s="1"/>
  <c r="AF36" i="8"/>
  <c r="AA86" i="10"/>
  <c r="Z86" i="10"/>
  <c r="Y86" i="10"/>
  <c r="X86" i="10"/>
  <c r="AF24" i="8" l="1"/>
  <c r="AF30" i="8" s="1"/>
  <c r="U37" i="10"/>
  <c r="T37" i="10"/>
  <c r="S37" i="10"/>
  <c r="R37" i="10"/>
  <c r="T16" i="10"/>
  <c r="T18" i="10"/>
  <c r="U18" i="10"/>
  <c r="U16" i="10"/>
  <c r="S16" i="10"/>
  <c r="S18" i="10"/>
  <c r="R16" i="10"/>
  <c r="R18" i="10"/>
  <c r="V16" i="10" l="1"/>
  <c r="V37" i="10"/>
  <c r="V18" i="10"/>
  <c r="Y37" i="10"/>
  <c r="X37" i="10"/>
  <c r="W37" i="10"/>
  <c r="Y16" i="10"/>
  <c r="Y18" i="10"/>
  <c r="X18" i="10"/>
  <c r="X16" i="10"/>
  <c r="W16" i="10"/>
  <c r="W18" i="10"/>
  <c r="U65" i="10" l="1"/>
  <c r="U97" i="10"/>
  <c r="U101" i="10" s="1"/>
  <c r="Y33" i="10"/>
  <c r="Y32" i="10" s="1"/>
  <c r="X33" i="10"/>
  <c r="X32" i="10" s="1"/>
  <c r="W33" i="10"/>
  <c r="U33" i="10"/>
  <c r="U32" i="10" s="1"/>
  <c r="T33" i="10"/>
  <c r="T32" i="10" s="1"/>
  <c r="S33" i="10"/>
  <c r="S32" i="10" s="1"/>
  <c r="R33" i="10"/>
  <c r="R32" i="10" s="1"/>
  <c r="W34" i="10"/>
  <c r="AA34" i="10" s="1"/>
  <c r="V34" i="10"/>
  <c r="W32" i="10" l="1"/>
  <c r="V33" i="10"/>
  <c r="V32" i="10" s="1"/>
  <c r="Z46" i="10"/>
  <c r="AA46" i="10" s="1"/>
  <c r="Z45" i="10"/>
  <c r="AA45" i="10" s="1"/>
  <c r="Z44" i="10"/>
  <c r="AA39" i="10"/>
  <c r="AA41" i="10"/>
  <c r="Y99" i="10" l="1"/>
  <c r="AA100" i="10"/>
  <c r="AA44" i="10" l="1"/>
  <c r="V14" i="10"/>
  <c r="W15" i="10" l="1"/>
  <c r="AA15" i="10" s="1"/>
  <c r="W14" i="10"/>
  <c r="AA14" i="10" l="1"/>
  <c r="W13" i="10"/>
  <c r="V15" i="10"/>
  <c r="U74" i="9"/>
  <c r="V74" i="9"/>
  <c r="V75" i="9"/>
  <c r="AA99" i="10"/>
  <c r="AA96" i="10"/>
  <c r="AA91" i="10"/>
  <c r="AA90" i="10"/>
  <c r="AA89" i="10"/>
  <c r="AA88" i="10"/>
  <c r="AA87" i="10"/>
  <c r="AA85" i="10"/>
  <c r="AA84" i="10"/>
  <c r="AA83" i="10"/>
  <c r="AA48" i="10"/>
  <c r="AA42" i="10"/>
  <c r="AA38" i="10"/>
  <c r="AA37" i="10"/>
  <c r="AA33" i="10"/>
  <c r="AA32" i="10" s="1"/>
  <c r="AA31" i="10"/>
  <c r="AA29" i="10"/>
  <c r="AA28" i="10"/>
  <c r="AA26" i="10"/>
  <c r="AA19" i="10"/>
  <c r="AA18" i="10"/>
  <c r="AA11" i="10"/>
  <c r="AA10" i="10"/>
  <c r="AA9" i="10"/>
  <c r="AA8" i="10"/>
  <c r="AA7" i="10"/>
  <c r="AA72" i="9"/>
  <c r="AA80" i="9"/>
  <c r="AA76" i="9"/>
  <c r="AA75" i="9"/>
  <c r="AA74" i="9"/>
  <c r="AA71" i="9"/>
  <c r="AA70" i="9"/>
  <c r="AA69" i="9"/>
  <c r="AA68" i="9"/>
  <c r="AA67" i="9"/>
  <c r="AA66" i="9"/>
  <c r="AA65" i="9"/>
  <c r="AA64" i="9"/>
  <c r="AA59" i="9"/>
  <c r="AA58" i="9"/>
  <c r="AA57" i="9"/>
  <c r="AA56" i="9"/>
  <c r="AA55" i="9"/>
  <c r="AA54" i="9"/>
  <c r="AA53" i="9"/>
  <c r="AA52" i="9"/>
  <c r="AA46" i="9"/>
  <c r="AA45" i="9"/>
  <c r="AA44" i="9"/>
  <c r="AA43" i="9"/>
  <c r="AA42" i="9"/>
  <c r="AA38" i="9"/>
  <c r="AA37" i="9"/>
  <c r="AA36" i="9"/>
  <c r="AA35" i="9"/>
  <c r="AA34" i="9"/>
  <c r="AA33" i="9"/>
  <c r="AA32" i="9"/>
  <c r="AA31" i="9"/>
  <c r="AA30" i="9"/>
  <c r="AA26" i="9"/>
  <c r="AA25" i="9"/>
  <c r="AA24" i="9"/>
  <c r="AA23" i="9"/>
  <c r="AA22" i="9"/>
  <c r="AA21" i="9"/>
  <c r="AA20" i="9"/>
  <c r="AA19" i="9"/>
  <c r="AA18" i="9"/>
  <c r="AA17" i="9"/>
  <c r="AA16" i="9"/>
  <c r="AB16" i="9" s="1"/>
  <c r="AB27" i="9" s="1"/>
  <c r="AB40" i="9" s="1"/>
  <c r="AA15" i="9"/>
  <c r="AA14" i="9"/>
  <c r="AA13" i="9"/>
  <c r="AA12" i="9"/>
  <c r="AA11" i="9"/>
  <c r="AA10" i="9"/>
  <c r="AA9" i="9"/>
  <c r="AA7" i="9"/>
  <c r="AA82" i="10" s="1"/>
  <c r="AA56" i="10" s="1"/>
  <c r="AA56" i="12"/>
  <c r="Z82" i="10"/>
  <c r="Z65" i="10"/>
  <c r="Z64" i="10"/>
  <c r="Z60" i="10"/>
  <c r="Z27" i="10"/>
  <c r="Z43" i="10" s="1"/>
  <c r="Z12" i="10"/>
  <c r="Z92" i="10" l="1"/>
  <c r="Z94" i="10" s="1"/>
  <c r="Z97" i="10" s="1"/>
  <c r="Z101" i="10" s="1"/>
  <c r="Z102" i="10" s="1"/>
  <c r="Z56" i="10"/>
  <c r="AB49" i="9"/>
  <c r="AB82" i="9" s="1"/>
  <c r="AB59" i="10"/>
  <c r="AA58" i="10"/>
  <c r="Z22" i="10"/>
  <c r="Z20" i="10"/>
  <c r="V13" i="10"/>
  <c r="AA13" i="10"/>
  <c r="Z49" i="10"/>
  <c r="Z47" i="10"/>
  <c r="AA61" i="9"/>
  <c r="AA92" i="10"/>
  <c r="AA27" i="10"/>
  <c r="AA43" i="10" s="1"/>
  <c r="AA12" i="10"/>
  <c r="AA22" i="10" s="1"/>
  <c r="AA78" i="9"/>
  <c r="AB62" i="10" l="1"/>
  <c r="AA20" i="10"/>
  <c r="AB57" i="10"/>
  <c r="Z50" i="10"/>
  <c r="AA49" i="10"/>
  <c r="Z23" i="10"/>
  <c r="Z98" i="10"/>
  <c r="AB67" i="10" l="1"/>
  <c r="AB71" i="10" s="1"/>
  <c r="AB74" i="10" s="1"/>
  <c r="AB77" i="10"/>
  <c r="AB79" i="10" s="1"/>
  <c r="AA23" i="10"/>
  <c r="AA87" i="9"/>
  <c r="AA27" i="9"/>
  <c r="AA40" i="9" s="1"/>
  <c r="Z87" i="9"/>
  <c r="Z78" i="9"/>
  <c r="Z61" i="9"/>
  <c r="Z27" i="9"/>
  <c r="AA49" i="9" l="1"/>
  <c r="AA59" i="10"/>
  <c r="Z40" i="9"/>
  <c r="Z59" i="10" s="1"/>
  <c r="AA82" i="9"/>
  <c r="Z62" i="10" l="1"/>
  <c r="AA57" i="10"/>
  <c r="Z57" i="10"/>
  <c r="Z49" i="9"/>
  <c r="Z82" i="9" s="1"/>
  <c r="AA12" i="11"/>
  <c r="AA11" i="11"/>
  <c r="AA9" i="11"/>
  <c r="AA8" i="11"/>
  <c r="Z67" i="10" l="1"/>
  <c r="Z71" i="10" s="1"/>
  <c r="Z74" i="10" s="1"/>
  <c r="Z77" i="10"/>
  <c r="Z79" i="10" s="1"/>
  <c r="V32" i="12"/>
  <c r="V22" i="12"/>
  <c r="AA15" i="11"/>
  <c r="AA14" i="11"/>
  <c r="AA10" i="11"/>
  <c r="AA7" i="11"/>
  <c r="Z13" i="11"/>
  <c r="Z10" i="11"/>
  <c r="Z7" i="11"/>
  <c r="AA51" i="12"/>
  <c r="AA59" i="12"/>
  <c r="V51" i="12"/>
  <c r="Q51" i="12"/>
  <c r="Z54" i="12"/>
  <c r="AA47" i="12"/>
  <c r="AA13" i="11" l="1"/>
  <c r="AA34" i="8" l="1"/>
  <c r="AA33" i="8"/>
  <c r="AA36" i="8" s="1"/>
  <c r="AA27" i="8"/>
  <c r="AA72" i="12" s="1"/>
  <c r="AA26" i="8"/>
  <c r="AA22" i="8"/>
  <c r="AA67" i="12" s="1"/>
  <c r="AA18" i="8"/>
  <c r="AA17" i="8"/>
  <c r="AA13" i="8"/>
  <c r="AA43" i="12" s="1"/>
  <c r="AA12" i="8"/>
  <c r="AA11" i="8"/>
  <c r="AA7" i="8"/>
  <c r="AA9" i="8" s="1"/>
  <c r="AA6" i="8"/>
  <c r="V36" i="8"/>
  <c r="AA26" i="12"/>
  <c r="AB30" i="12" s="1"/>
  <c r="AB45" i="12" s="1"/>
  <c r="AA7" i="12"/>
  <c r="AA71" i="12"/>
  <c r="AA63" i="12"/>
  <c r="AA62" i="12"/>
  <c r="AA61" i="12"/>
  <c r="AA60" i="12"/>
  <c r="AA58" i="12"/>
  <c r="AA57" i="12"/>
  <c r="AA53" i="12"/>
  <c r="AA52" i="12"/>
  <c r="AA50" i="12"/>
  <c r="AA49" i="12"/>
  <c r="AA48" i="12"/>
  <c r="AA40" i="12"/>
  <c r="AA39" i="12"/>
  <c r="AA38" i="12"/>
  <c r="AA37" i="12"/>
  <c r="AA36" i="12"/>
  <c r="AA35" i="12"/>
  <c r="AA34" i="12"/>
  <c r="AA33" i="12"/>
  <c r="AA32" i="12"/>
  <c r="AA29" i="12"/>
  <c r="AA28" i="12"/>
  <c r="AA27" i="12"/>
  <c r="AA25" i="12"/>
  <c r="AA24" i="12"/>
  <c r="AA23" i="12"/>
  <c r="AA22" i="12"/>
  <c r="AA17" i="12"/>
  <c r="AA16" i="12"/>
  <c r="AA15" i="12"/>
  <c r="AA14" i="12"/>
  <c r="AA13" i="12"/>
  <c r="AA12" i="12"/>
  <c r="AA6" i="12"/>
  <c r="AB69" i="12" l="1"/>
  <c r="AB46" i="12"/>
  <c r="AA64" i="12"/>
  <c r="AA20" i="8"/>
  <c r="AA15" i="8"/>
  <c r="AA41" i="12"/>
  <c r="AA73" i="12"/>
  <c r="AA54" i="12"/>
  <c r="AA65" i="12" s="1"/>
  <c r="AA18" i="12"/>
  <c r="AA30" i="12"/>
  <c r="AB70" i="12" l="1"/>
  <c r="AB75" i="12"/>
  <c r="AB76" i="12" s="1"/>
  <c r="AA24" i="8"/>
  <c r="Z72" i="12"/>
  <c r="Z71" i="12"/>
  <c r="Z67" i="12"/>
  <c r="Z64" i="12"/>
  <c r="Z65" i="12" s="1"/>
  <c r="Z43" i="12"/>
  <c r="Z41" i="12"/>
  <c r="Z30" i="12"/>
  <c r="Z18" i="12"/>
  <c r="Z36" i="8"/>
  <c r="Z28" i="8"/>
  <c r="AA28" i="8" s="1"/>
  <c r="Z20" i="8"/>
  <c r="Z15" i="8"/>
  <c r="Z9" i="8"/>
  <c r="Z73" i="12" l="1"/>
  <c r="AA30" i="8"/>
  <c r="Z24" i="8"/>
  <c r="Z30" i="8" s="1"/>
  <c r="T67" i="7" l="1"/>
  <c r="T69" i="7" s="1"/>
  <c r="T58" i="7"/>
  <c r="T47" i="7"/>
  <c r="T17" i="7"/>
  <c r="V53" i="12"/>
  <c r="Q53" i="12"/>
  <c r="Q63" i="12"/>
  <c r="S63" i="12"/>
  <c r="R63" i="12"/>
  <c r="V63" i="12" s="1"/>
  <c r="T71" i="7" l="1"/>
  <c r="T32" i="7"/>
  <c r="T97" i="10"/>
  <c r="T101" i="10" s="1"/>
  <c r="Y82" i="10"/>
  <c r="Y65" i="10"/>
  <c r="Y64" i="10"/>
  <c r="Y60" i="10"/>
  <c r="Y27" i="10"/>
  <c r="Y12" i="10"/>
  <c r="Y20" i="10" s="1"/>
  <c r="Y72" i="12"/>
  <c r="Y71" i="12"/>
  <c r="Y18" i="12"/>
  <c r="Y92" i="10" l="1"/>
  <c r="Y94" i="10" s="1"/>
  <c r="Y97" i="10" s="1"/>
  <c r="Y56" i="10"/>
  <c r="Y23" i="10"/>
  <c r="Y43" i="10"/>
  <c r="Y22" i="10"/>
  <c r="Y73" i="12"/>
  <c r="Y67" i="12"/>
  <c r="Y64" i="12"/>
  <c r="Y54" i="12"/>
  <c r="Y43" i="12"/>
  <c r="Y41" i="12"/>
  <c r="Y30" i="12"/>
  <c r="Y10" i="12"/>
  <c r="Y20" i="12" s="1"/>
  <c r="Y13" i="11"/>
  <c r="Y10" i="11"/>
  <c r="Y7" i="11"/>
  <c r="Y65" i="12" l="1"/>
  <c r="Y49" i="10"/>
  <c r="Y47" i="10"/>
  <c r="Y45" i="12"/>
  <c r="Y21" i="12"/>
  <c r="Y98" i="10"/>
  <c r="Y101" i="10"/>
  <c r="Y69" i="12" l="1"/>
  <c r="Y75" i="12" s="1"/>
  <c r="Y50" i="10"/>
  <c r="Y102" i="10"/>
  <c r="Y87" i="9"/>
  <c r="Y78" i="9"/>
  <c r="Y61" i="9"/>
  <c r="Y27" i="9"/>
  <c r="Y40" i="9" l="1"/>
  <c r="Y59" i="10" s="1"/>
  <c r="Y36" i="8"/>
  <c r="Y28" i="8"/>
  <c r="Y20" i="8"/>
  <c r="Y9" i="8"/>
  <c r="Y15" i="8" s="1"/>
  <c r="S67" i="7"/>
  <c r="S69" i="7" s="1"/>
  <c r="S47" i="7"/>
  <c r="S58" i="7"/>
  <c r="S17" i="7"/>
  <c r="Y62" i="10" l="1"/>
  <c r="Y57" i="10"/>
  <c r="S32" i="7"/>
  <c r="S71" i="7"/>
  <c r="Y49" i="9"/>
  <c r="Y46" i="12"/>
  <c r="Y24" i="8"/>
  <c r="X72" i="12"/>
  <c r="W72" i="12"/>
  <c r="V72" i="12"/>
  <c r="U72" i="12"/>
  <c r="T72" i="12"/>
  <c r="S72" i="12"/>
  <c r="R72" i="12"/>
  <c r="Q72" i="12"/>
  <c r="P72" i="12"/>
  <c r="O72" i="12"/>
  <c r="N72" i="12"/>
  <c r="M72" i="12"/>
  <c r="X71" i="12"/>
  <c r="W71" i="12"/>
  <c r="V71" i="12"/>
  <c r="U71" i="12"/>
  <c r="T71" i="12"/>
  <c r="S71" i="12"/>
  <c r="R71" i="12"/>
  <c r="Q71" i="12"/>
  <c r="Q73" i="12" s="1"/>
  <c r="P71" i="12"/>
  <c r="O71" i="12"/>
  <c r="N71" i="12"/>
  <c r="M71" i="12"/>
  <c r="L72" i="12"/>
  <c r="L71" i="12"/>
  <c r="X67" i="12"/>
  <c r="W67" i="12"/>
  <c r="V67" i="12"/>
  <c r="U67" i="12"/>
  <c r="T67" i="12"/>
  <c r="S67" i="12"/>
  <c r="R67" i="12"/>
  <c r="Q67" i="12"/>
  <c r="P67" i="12"/>
  <c r="O67" i="12"/>
  <c r="N67" i="12"/>
  <c r="M67" i="12"/>
  <c r="L67" i="12"/>
  <c r="X43" i="12"/>
  <c r="W43" i="12"/>
  <c r="V43" i="12"/>
  <c r="U43" i="12"/>
  <c r="T43" i="12"/>
  <c r="S43" i="12"/>
  <c r="R43" i="12"/>
  <c r="Q43" i="12"/>
  <c r="P43" i="12"/>
  <c r="O43" i="12"/>
  <c r="N43" i="12"/>
  <c r="M43" i="12"/>
  <c r="L43" i="12"/>
  <c r="S62" i="12"/>
  <c r="Y67" i="10" l="1"/>
  <c r="Y71" i="10" s="1"/>
  <c r="Y74" i="10" s="1"/>
  <c r="Y77" i="10"/>
  <c r="Y79" i="10" s="1"/>
  <c r="V73" i="12"/>
  <c r="N73" i="12"/>
  <c r="L73" i="12"/>
  <c r="U73" i="12"/>
  <c r="O73" i="12"/>
  <c r="W73" i="12"/>
  <c r="Y82" i="9"/>
  <c r="Y70" i="12"/>
  <c r="Y30" i="8"/>
  <c r="Y76" i="12" s="1"/>
  <c r="S73" i="12"/>
  <c r="T73" i="12"/>
  <c r="M73" i="12"/>
  <c r="P73" i="12"/>
  <c r="X73" i="12"/>
  <c r="R73" i="12"/>
  <c r="O32" i="12" l="1"/>
  <c r="O34" i="12"/>
  <c r="O38" i="12"/>
  <c r="O40" i="12"/>
  <c r="O6" i="12"/>
  <c r="N6" i="12"/>
  <c r="M6" i="12"/>
  <c r="L6" i="12" l="1"/>
  <c r="S58" i="12" l="1"/>
  <c r="S6" i="12" l="1"/>
  <c r="R6" i="12"/>
  <c r="V62" i="12"/>
  <c r="Q62" i="12"/>
  <c r="V61" i="12"/>
  <c r="Q61" i="12"/>
  <c r="V60" i="12"/>
  <c r="Q60" i="12"/>
  <c r="V58" i="12"/>
  <c r="Q58" i="12"/>
  <c r="V57" i="12"/>
  <c r="Q57" i="12"/>
  <c r="V56" i="12"/>
  <c r="Q56" i="12"/>
  <c r="V52" i="12"/>
  <c r="Q52" i="12"/>
  <c r="V50" i="12"/>
  <c r="Q50" i="12"/>
  <c r="V49" i="12"/>
  <c r="Q49" i="12"/>
  <c r="V48" i="12"/>
  <c r="Q48" i="12"/>
  <c r="V47" i="12"/>
  <c r="Q47" i="12"/>
  <c r="X64" i="12"/>
  <c r="U64" i="12"/>
  <c r="T64" i="12"/>
  <c r="S64" i="12"/>
  <c r="R64" i="12"/>
  <c r="P64" i="12"/>
  <c r="O64" i="12"/>
  <c r="N64" i="12"/>
  <c r="M64" i="12"/>
  <c r="L64" i="12"/>
  <c r="X54" i="12"/>
  <c r="U54" i="12"/>
  <c r="T54" i="12"/>
  <c r="S54" i="12"/>
  <c r="R54" i="12"/>
  <c r="P54" i="12"/>
  <c r="O54" i="12"/>
  <c r="N54" i="12"/>
  <c r="M54" i="12"/>
  <c r="L54" i="12"/>
  <c r="V40" i="12"/>
  <c r="Q40" i="12"/>
  <c r="V39" i="12"/>
  <c r="Q39" i="12"/>
  <c r="V38" i="12"/>
  <c r="Q38" i="12"/>
  <c r="V37" i="12"/>
  <c r="Q37" i="12"/>
  <c r="V36" i="12"/>
  <c r="Q36" i="12"/>
  <c r="V35" i="12"/>
  <c r="Q35" i="12"/>
  <c r="V34" i="12"/>
  <c r="Q34" i="12"/>
  <c r="V33" i="12"/>
  <c r="Q33" i="12"/>
  <c r="Q32" i="12"/>
  <c r="V29" i="12"/>
  <c r="Q29" i="12"/>
  <c r="V28" i="12"/>
  <c r="Q28" i="12"/>
  <c r="V27" i="12"/>
  <c r="Q27" i="12"/>
  <c r="V25" i="12"/>
  <c r="Q25" i="12"/>
  <c r="V24" i="12"/>
  <c r="Q24" i="12"/>
  <c r="V23" i="12"/>
  <c r="Q23" i="12"/>
  <c r="Q22" i="12"/>
  <c r="V17" i="12"/>
  <c r="Q17" i="12"/>
  <c r="V16" i="12"/>
  <c r="Q16" i="12"/>
  <c r="V15" i="12"/>
  <c r="Q15" i="12"/>
  <c r="V14" i="12"/>
  <c r="Q14" i="12"/>
  <c r="V13" i="12"/>
  <c r="Q13" i="12"/>
  <c r="V12" i="12"/>
  <c r="Q12" i="12"/>
  <c r="X18" i="12"/>
  <c r="U18" i="12"/>
  <c r="T18" i="12"/>
  <c r="S18" i="12"/>
  <c r="R18" i="12"/>
  <c r="P18" i="12"/>
  <c r="O18" i="12"/>
  <c r="N18" i="12"/>
  <c r="M18" i="12"/>
  <c r="L18" i="12"/>
  <c r="X30" i="12"/>
  <c r="U30" i="12"/>
  <c r="T30" i="12"/>
  <c r="S30" i="12"/>
  <c r="R30" i="12"/>
  <c r="P30" i="12"/>
  <c r="O30" i="12"/>
  <c r="N30" i="12"/>
  <c r="M30" i="12"/>
  <c r="L30" i="12"/>
  <c r="X41" i="12"/>
  <c r="U41" i="12"/>
  <c r="T41" i="12"/>
  <c r="S41" i="12"/>
  <c r="R41" i="12"/>
  <c r="P41" i="12"/>
  <c r="O41" i="12"/>
  <c r="N41" i="12"/>
  <c r="M41" i="12"/>
  <c r="L41" i="12"/>
  <c r="P65" i="12" l="1"/>
  <c r="X65" i="12"/>
  <c r="N65" i="12"/>
  <c r="Q64" i="12"/>
  <c r="Q54" i="12"/>
  <c r="Q41" i="12"/>
  <c r="Q30" i="12"/>
  <c r="L65" i="12"/>
  <c r="U65" i="12"/>
  <c r="T65" i="12"/>
  <c r="S65" i="12"/>
  <c r="R65" i="12"/>
  <c r="V64" i="12"/>
  <c r="V54" i="12"/>
  <c r="V41" i="12"/>
  <c r="V30" i="12"/>
  <c r="W64" i="12"/>
  <c r="W54" i="12"/>
  <c r="M65" i="12"/>
  <c r="O65" i="12"/>
  <c r="W41" i="12"/>
  <c r="W30" i="12"/>
  <c r="W18" i="12"/>
  <c r="Q18" i="12"/>
  <c r="V18" i="12"/>
  <c r="W65" i="12" l="1"/>
  <c r="Q65" i="12"/>
  <c r="V65" i="12"/>
  <c r="Q7" i="12" l="1"/>
  <c r="Q6" i="12"/>
  <c r="Q9" i="12"/>
  <c r="V9" i="12"/>
  <c r="V7" i="12"/>
  <c r="V6" i="12"/>
  <c r="X10" i="12"/>
  <c r="X20" i="12" s="1"/>
  <c r="U10" i="12"/>
  <c r="U20" i="12" s="1"/>
  <c r="T10" i="12"/>
  <c r="T20" i="12" s="1"/>
  <c r="S10" i="12"/>
  <c r="S20" i="12" s="1"/>
  <c r="R10" i="12"/>
  <c r="R20" i="12" s="1"/>
  <c r="P10" i="12"/>
  <c r="P20" i="12" s="1"/>
  <c r="O10" i="12"/>
  <c r="O20" i="12" s="1"/>
  <c r="N10" i="12"/>
  <c r="N20" i="12" s="1"/>
  <c r="M10" i="12"/>
  <c r="M20" i="12" s="1"/>
  <c r="L10" i="12"/>
  <c r="L20" i="12" s="1"/>
  <c r="W27" i="10"/>
  <c r="W43" i="10" s="1"/>
  <c r="V27" i="10"/>
  <c r="V43" i="10" s="1"/>
  <c r="U27" i="10"/>
  <c r="U43" i="10" s="1"/>
  <c r="T27" i="10"/>
  <c r="T43" i="10" s="1"/>
  <c r="S27" i="10"/>
  <c r="S43" i="10" s="1"/>
  <c r="R27" i="10"/>
  <c r="R43" i="10" s="1"/>
  <c r="Q27" i="10"/>
  <c r="Q43" i="10" s="1"/>
  <c r="P27" i="10"/>
  <c r="P43" i="10" s="1"/>
  <c r="O27" i="10"/>
  <c r="O43" i="10" s="1"/>
  <c r="N27" i="10"/>
  <c r="N43" i="10" s="1"/>
  <c r="M27" i="10"/>
  <c r="M43" i="10" s="1"/>
  <c r="L27" i="10"/>
  <c r="L43" i="10" s="1"/>
  <c r="K27" i="10"/>
  <c r="K43" i="10" s="1"/>
  <c r="J27" i="10"/>
  <c r="J43" i="10" s="1"/>
  <c r="I27" i="10"/>
  <c r="I43" i="10" s="1"/>
  <c r="H27" i="10"/>
  <c r="H43" i="10" s="1"/>
  <c r="G27" i="10"/>
  <c r="G43" i="10" s="1"/>
  <c r="F27" i="10"/>
  <c r="F43" i="10" s="1"/>
  <c r="E27" i="10"/>
  <c r="E43" i="10" s="1"/>
  <c r="X27" i="10"/>
  <c r="X43" i="10" s="1"/>
  <c r="X82" i="10"/>
  <c r="X56" i="10" s="1"/>
  <c r="S97" i="10"/>
  <c r="S101" i="10" s="1"/>
  <c r="L47" i="10" l="1"/>
  <c r="E47" i="10"/>
  <c r="I47" i="10"/>
  <c r="M47" i="10"/>
  <c r="Q47" i="10"/>
  <c r="H47" i="10"/>
  <c r="J47" i="10"/>
  <c r="N47" i="10"/>
  <c r="P47" i="10"/>
  <c r="F47" i="10"/>
  <c r="G47" i="10"/>
  <c r="K47" i="10"/>
  <c r="O47" i="10"/>
  <c r="U47" i="10"/>
  <c r="X47" i="10"/>
  <c r="V47" i="10"/>
  <c r="T47" i="10"/>
  <c r="S47" i="10"/>
  <c r="W47" i="10"/>
  <c r="R47" i="10"/>
  <c r="X45" i="12"/>
  <c r="X69" i="12" s="1"/>
  <c r="X21" i="12"/>
  <c r="L45" i="12"/>
  <c r="L69" i="12" s="1"/>
  <c r="L21" i="12"/>
  <c r="M45" i="12"/>
  <c r="M46" i="12" s="1"/>
  <c r="M21" i="12"/>
  <c r="P45" i="12"/>
  <c r="P69" i="12" s="1"/>
  <c r="P21" i="12"/>
  <c r="R45" i="12"/>
  <c r="R46" i="12" s="1"/>
  <c r="R21" i="12"/>
  <c r="N45" i="12"/>
  <c r="N46" i="12" s="1"/>
  <c r="N21" i="12"/>
  <c r="S45" i="12"/>
  <c r="S46" i="12" s="1"/>
  <c r="S21" i="12"/>
  <c r="U45" i="12"/>
  <c r="U46" i="12" s="1"/>
  <c r="U21" i="12"/>
  <c r="O45" i="12"/>
  <c r="O46" i="12" s="1"/>
  <c r="O21" i="12"/>
  <c r="T45" i="12"/>
  <c r="T46" i="12" s="1"/>
  <c r="T21" i="12"/>
  <c r="Q10" i="12"/>
  <c r="Q20" i="12" s="1"/>
  <c r="V10" i="12"/>
  <c r="V20" i="12" s="1"/>
  <c r="W10" i="12"/>
  <c r="X65" i="10"/>
  <c r="AA65" i="10" s="1"/>
  <c r="X64" i="10"/>
  <c r="X60" i="10"/>
  <c r="X12" i="10"/>
  <c r="X78" i="9"/>
  <c r="X61" i="9"/>
  <c r="X27" i="9"/>
  <c r="X84" i="9"/>
  <c r="X87" i="9" s="1"/>
  <c r="X36" i="8"/>
  <c r="X28" i="8"/>
  <c r="X20" i="8"/>
  <c r="X9" i="8"/>
  <c r="X15" i="8" s="1"/>
  <c r="W9" i="8"/>
  <c r="X20" i="10" l="1"/>
  <c r="AA47" i="10"/>
  <c r="AA50" i="10" s="1"/>
  <c r="K50" i="10"/>
  <c r="F50" i="10"/>
  <c r="N50" i="10"/>
  <c r="H50" i="10"/>
  <c r="M50" i="10"/>
  <c r="E50" i="10"/>
  <c r="O50" i="10"/>
  <c r="G50" i="10"/>
  <c r="P50" i="10"/>
  <c r="J50" i="10"/>
  <c r="Q50" i="10"/>
  <c r="I50" i="10"/>
  <c r="L50" i="10"/>
  <c r="W50" i="10"/>
  <c r="T50" i="10"/>
  <c r="X50" i="10"/>
  <c r="S50" i="10"/>
  <c r="V50" i="10"/>
  <c r="U50" i="10"/>
  <c r="R50" i="10"/>
  <c r="T69" i="12"/>
  <c r="T75" i="12" s="1"/>
  <c r="T76" i="12" s="1"/>
  <c r="M69" i="12"/>
  <c r="M75" i="12" s="1"/>
  <c r="M76" i="12" s="1"/>
  <c r="L46" i="12"/>
  <c r="S69" i="12"/>
  <c r="S70" i="12" s="1"/>
  <c r="N69" i="12"/>
  <c r="N70" i="12" s="1"/>
  <c r="R69" i="12"/>
  <c r="R70" i="12" s="1"/>
  <c r="O69" i="12"/>
  <c r="O75" i="12" s="1"/>
  <c r="O76" i="12" s="1"/>
  <c r="X46" i="12"/>
  <c r="Q45" i="12"/>
  <c r="Q46" i="12" s="1"/>
  <c r="Q21" i="12"/>
  <c r="W20" i="12"/>
  <c r="P46" i="12"/>
  <c r="U69" i="12"/>
  <c r="U70" i="12" s="1"/>
  <c r="V45" i="12"/>
  <c r="V46" i="12" s="1"/>
  <c r="V21" i="12"/>
  <c r="P70" i="12"/>
  <c r="P75" i="12"/>
  <c r="P76" i="12" s="1"/>
  <c r="L70" i="12"/>
  <c r="L75" i="12"/>
  <c r="L76" i="12" s="1"/>
  <c r="X70" i="12"/>
  <c r="X75" i="12"/>
  <c r="X76" i="12" s="1"/>
  <c r="X22" i="10"/>
  <c r="X49" i="10"/>
  <c r="X92" i="10"/>
  <c r="X40" i="9"/>
  <c r="X59" i="10" s="1"/>
  <c r="X13" i="11"/>
  <c r="X10" i="11"/>
  <c r="X7" i="11"/>
  <c r="X24" i="8"/>
  <c r="X30" i="8" s="1"/>
  <c r="M70" i="12" l="1"/>
  <c r="T70" i="12"/>
  <c r="X62" i="10"/>
  <c r="X57" i="10"/>
  <c r="X23" i="10"/>
  <c r="N75" i="12"/>
  <c r="N76" i="12" s="1"/>
  <c r="S75" i="12"/>
  <c r="S76" i="12" s="1"/>
  <c r="Q69" i="12"/>
  <c r="Q75" i="12" s="1"/>
  <c r="Q76" i="12" s="1"/>
  <c r="O70" i="12"/>
  <c r="V69" i="12"/>
  <c r="V75" i="12" s="1"/>
  <c r="V76" i="12" s="1"/>
  <c r="R75" i="12"/>
  <c r="R76" i="12" s="1"/>
  <c r="U75" i="12"/>
  <c r="U76" i="12" s="1"/>
  <c r="W45" i="12"/>
  <c r="W21" i="12"/>
  <c r="X94" i="10"/>
  <c r="X97" i="10" s="1"/>
  <c r="X101" i="10" s="1"/>
  <c r="X49" i="9"/>
  <c r="X82" i="9" s="1"/>
  <c r="X67" i="10" l="1"/>
  <c r="X71" i="10" s="1"/>
  <c r="X77" i="10"/>
  <c r="X79" i="10" s="1"/>
  <c r="X74" i="10"/>
  <c r="Q70" i="12"/>
  <c r="V70" i="12"/>
  <c r="W69" i="12"/>
  <c r="X98" i="10"/>
  <c r="R67" i="7"/>
  <c r="R69" i="7" s="1"/>
  <c r="R58" i="7"/>
  <c r="R47" i="7"/>
  <c r="R17" i="7"/>
  <c r="U92" i="10"/>
  <c r="U102" i="10" s="1"/>
  <c r="T92" i="10"/>
  <c r="T102" i="10" s="1"/>
  <c r="S92" i="10"/>
  <c r="S102" i="10" s="1"/>
  <c r="V82" i="10"/>
  <c r="V92" i="10" l="1"/>
  <c r="V94" i="10" s="1"/>
  <c r="V97" i="10" s="1"/>
  <c r="V56" i="10"/>
  <c r="R32" i="7"/>
  <c r="R71" i="7"/>
  <c r="X102" i="10"/>
  <c r="W75" i="12"/>
  <c r="R82" i="10"/>
  <c r="W82" i="10"/>
  <c r="R92" i="10" l="1"/>
  <c r="R56" i="10"/>
  <c r="W92" i="10"/>
  <c r="W56" i="10"/>
  <c r="V101" i="10"/>
  <c r="V102" i="10" s="1"/>
  <c r="V98" i="10"/>
  <c r="W64" i="10"/>
  <c r="AA64" i="10" s="1"/>
  <c r="W60" i="10"/>
  <c r="AA60" i="10" l="1"/>
  <c r="R94" i="10"/>
  <c r="R97" i="10" s="1"/>
  <c r="AA62" i="10" l="1"/>
  <c r="R101" i="10"/>
  <c r="R102" i="10" s="1"/>
  <c r="R98" i="10"/>
  <c r="W94" i="10"/>
  <c r="AA67" i="10" l="1"/>
  <c r="AA71" i="10" s="1"/>
  <c r="AA77" i="10"/>
  <c r="AA79" i="10" s="1"/>
  <c r="AA74" i="10"/>
  <c r="W97" i="10"/>
  <c r="W101" i="10" s="1"/>
  <c r="AA94" i="10"/>
  <c r="AA97" i="10" s="1"/>
  <c r="W87" i="9"/>
  <c r="W78" i="9"/>
  <c r="W61" i="9"/>
  <c r="W27" i="9"/>
  <c r="W40" i="9" s="1"/>
  <c r="W59" i="10" s="1"/>
  <c r="W49" i="10"/>
  <c r="W12" i="10"/>
  <c r="W20" i="10" s="1"/>
  <c r="W13" i="11"/>
  <c r="W10" i="11"/>
  <c r="W7" i="11"/>
  <c r="W36" i="8"/>
  <c r="W28" i="8"/>
  <c r="W20" i="8"/>
  <c r="W15" i="8"/>
  <c r="W46" i="12" s="1"/>
  <c r="Q67" i="7"/>
  <c r="Q69" i="7" s="1"/>
  <c r="Q58" i="7"/>
  <c r="Q47" i="7"/>
  <c r="Q17" i="7"/>
  <c r="V15" i="11"/>
  <c r="U15" i="11"/>
  <c r="T15" i="11"/>
  <c r="S15" i="11"/>
  <c r="R15" i="11"/>
  <c r="Q15" i="11"/>
  <c r="P15" i="11"/>
  <c r="O15" i="11"/>
  <c r="N15" i="11"/>
  <c r="N13" i="11" s="1"/>
  <c r="M15" i="11"/>
  <c r="L15" i="11"/>
  <c r="K15" i="11"/>
  <c r="J15" i="11"/>
  <c r="I15" i="11"/>
  <c r="H15" i="11"/>
  <c r="G15" i="11"/>
  <c r="F15" i="11"/>
  <c r="E15" i="11"/>
  <c r="V14" i="11"/>
  <c r="U14" i="11"/>
  <c r="T14" i="11"/>
  <c r="S14" i="11"/>
  <c r="R14" i="11"/>
  <c r="Q14" i="11"/>
  <c r="P14" i="11"/>
  <c r="O14" i="11"/>
  <c r="N14" i="11"/>
  <c r="M14" i="11"/>
  <c r="L14" i="11"/>
  <c r="K14" i="11"/>
  <c r="J14" i="11"/>
  <c r="I14" i="11"/>
  <c r="H14" i="11"/>
  <c r="G14" i="11"/>
  <c r="F14" i="11"/>
  <c r="E14" i="11"/>
  <c r="V10" i="11"/>
  <c r="U10" i="11"/>
  <c r="T10" i="11"/>
  <c r="S10" i="11"/>
  <c r="R10" i="11"/>
  <c r="Q10" i="11"/>
  <c r="P10" i="11"/>
  <c r="O10" i="11"/>
  <c r="N10" i="11"/>
  <c r="M10" i="11"/>
  <c r="L10" i="11"/>
  <c r="K10" i="11"/>
  <c r="J10" i="11"/>
  <c r="I10" i="11"/>
  <c r="H10" i="11"/>
  <c r="G10" i="11"/>
  <c r="F10" i="11"/>
  <c r="E10" i="11"/>
  <c r="V7" i="11"/>
  <c r="U7" i="11"/>
  <c r="T7" i="11"/>
  <c r="S7" i="11"/>
  <c r="R7" i="11"/>
  <c r="Q7" i="11"/>
  <c r="P7" i="11"/>
  <c r="O7" i="11"/>
  <c r="N7" i="11"/>
  <c r="M7" i="11"/>
  <c r="L7" i="11"/>
  <c r="K7" i="11"/>
  <c r="J7" i="11"/>
  <c r="I7" i="11"/>
  <c r="H7" i="11"/>
  <c r="G7" i="11"/>
  <c r="F7" i="11"/>
  <c r="E7" i="11"/>
  <c r="D15" i="11"/>
  <c r="D14" i="11"/>
  <c r="D10" i="11"/>
  <c r="D7" i="11"/>
  <c r="W62" i="10" l="1"/>
  <c r="W102" i="10"/>
  <c r="W98" i="10"/>
  <c r="AA101" i="10"/>
  <c r="AA102" i="10" s="1"/>
  <c r="AA98" i="10"/>
  <c r="Q32" i="7"/>
  <c r="T13" i="11"/>
  <c r="W49" i="9"/>
  <c r="W82" i="9" s="1"/>
  <c r="Q71" i="7"/>
  <c r="W22" i="10"/>
  <c r="W24" i="8"/>
  <c r="K13" i="11"/>
  <c r="S13" i="11"/>
  <c r="J13" i="11"/>
  <c r="R13" i="11"/>
  <c r="H13" i="11"/>
  <c r="P13" i="11"/>
  <c r="I13" i="11"/>
  <c r="Q13" i="11"/>
  <c r="G13" i="11"/>
  <c r="O13" i="11"/>
  <c r="E13" i="11"/>
  <c r="M13" i="11"/>
  <c r="U13" i="11"/>
  <c r="L13" i="11"/>
  <c r="V13" i="11"/>
  <c r="F13" i="11"/>
  <c r="D13" i="11"/>
  <c r="W67" i="10" l="1"/>
  <c r="W71" i="10" s="1"/>
  <c r="W74" i="10" s="1"/>
  <c r="W77" i="10"/>
  <c r="W79" i="10" s="1"/>
  <c r="W57" i="10"/>
  <c r="W30" i="8"/>
  <c r="W76" i="12" s="1"/>
  <c r="W70" i="12"/>
  <c r="W23" i="10"/>
  <c r="V49" i="10"/>
  <c r="U49" i="10"/>
  <c r="V12" i="10" l="1"/>
  <c r="U12" i="10"/>
  <c r="U20" i="10" s="1"/>
  <c r="V87" i="9"/>
  <c r="U87" i="9"/>
  <c r="V78" i="9"/>
  <c r="U78" i="9"/>
  <c r="V61" i="9"/>
  <c r="U61" i="9"/>
  <c r="V27" i="9"/>
  <c r="V40" i="9" s="1"/>
  <c r="U27" i="9"/>
  <c r="U40" i="9" s="1"/>
  <c r="U36" i="8"/>
  <c r="V28" i="8"/>
  <c r="U28" i="8"/>
  <c r="V20" i="8"/>
  <c r="U20" i="8"/>
  <c r="V9" i="8"/>
  <c r="V15" i="8" s="1"/>
  <c r="U9" i="8"/>
  <c r="U15" i="8" s="1"/>
  <c r="P67" i="7"/>
  <c r="P69" i="7" s="1"/>
  <c r="P58" i="7"/>
  <c r="P47" i="7"/>
  <c r="P17" i="7"/>
  <c r="U49" i="9" l="1"/>
  <c r="U59" i="10"/>
  <c r="V49" i="9"/>
  <c r="V59" i="10"/>
  <c r="V20" i="10"/>
  <c r="V23" i="10" s="1"/>
  <c r="U23" i="10"/>
  <c r="P32" i="7"/>
  <c r="P71" i="7"/>
  <c r="V24" i="8"/>
  <c r="V30" i="8" s="1"/>
  <c r="U82" i="9"/>
  <c r="V82" i="9"/>
  <c r="U24" i="8"/>
  <c r="U30" i="8" s="1"/>
  <c r="U22" i="10"/>
  <c r="V22" i="10"/>
  <c r="V62" i="10" l="1"/>
  <c r="U62" i="10"/>
  <c r="U77" i="10" s="1"/>
  <c r="U79" i="10" s="1"/>
  <c r="V57" i="10"/>
  <c r="U57" i="10"/>
  <c r="V67" i="10" l="1"/>
  <c r="V71" i="10" s="1"/>
  <c r="V77" i="10"/>
  <c r="V79" i="10" s="1"/>
  <c r="U67" i="10"/>
  <c r="U71" i="10" s="1"/>
  <c r="U74" i="10" s="1"/>
  <c r="V74" i="10"/>
  <c r="O67" i="7"/>
  <c r="O69" i="7" s="1"/>
  <c r="T12" i="10" l="1"/>
  <c r="T28" i="8"/>
  <c r="S28" i="8"/>
  <c r="T36" i="8"/>
  <c r="S36" i="8"/>
  <c r="T49" i="10"/>
  <c r="T87" i="9"/>
  <c r="T78" i="9"/>
  <c r="T61" i="9"/>
  <c r="T27" i="9"/>
  <c r="T40" i="9" s="1"/>
  <c r="T20" i="8"/>
  <c r="T9" i="8"/>
  <c r="T15" i="8" s="1"/>
  <c r="T24" i="8" s="1"/>
  <c r="O58" i="7"/>
  <c r="O47" i="7"/>
  <c r="O17" i="7"/>
  <c r="N67" i="7"/>
  <c r="N69" i="7" s="1"/>
  <c r="N47" i="7"/>
  <c r="N58" i="7"/>
  <c r="T49" i="9" l="1"/>
  <c r="T59" i="10"/>
  <c r="T22" i="10"/>
  <c r="T20" i="10"/>
  <c r="O32" i="7"/>
  <c r="O71" i="7"/>
  <c r="T82" i="9"/>
  <c r="T30" i="8"/>
  <c r="S9" i="8"/>
  <c r="T62" i="10" l="1"/>
  <c r="T23" i="10"/>
  <c r="S12" i="10"/>
  <c r="S63" i="10"/>
  <c r="S60" i="10"/>
  <c r="S49" i="10"/>
  <c r="S87" i="9"/>
  <c r="S78" i="9"/>
  <c r="S61" i="9"/>
  <c r="S27" i="9"/>
  <c r="S40" i="9" s="1"/>
  <c r="S20" i="8"/>
  <c r="S15" i="8"/>
  <c r="N17" i="7"/>
  <c r="T67" i="10" l="1"/>
  <c r="T71" i="10" s="1"/>
  <c r="T77" i="10"/>
  <c r="T79" i="10" s="1"/>
  <c r="T74" i="10"/>
  <c r="S49" i="9"/>
  <c r="S59" i="10"/>
  <c r="S22" i="10"/>
  <c r="S20" i="10"/>
  <c r="T57" i="10"/>
  <c r="S82" i="9"/>
  <c r="S24" i="8"/>
  <c r="S30" i="8" s="1"/>
  <c r="N71" i="7"/>
  <c r="N32" i="7"/>
  <c r="P78" i="9"/>
  <c r="O78" i="9"/>
  <c r="N78" i="9"/>
  <c r="M78" i="9"/>
  <c r="L78" i="9"/>
  <c r="K78" i="9"/>
  <c r="J78" i="9"/>
  <c r="I78" i="9"/>
  <c r="H78" i="9"/>
  <c r="G78" i="9"/>
  <c r="F78" i="9"/>
  <c r="E78" i="9"/>
  <c r="D78" i="9"/>
  <c r="Q78" i="9"/>
  <c r="R78" i="9"/>
  <c r="S62" i="10" l="1"/>
  <c r="S23" i="10"/>
  <c r="S67" i="10" l="1"/>
  <c r="S71" i="10" s="1"/>
  <c r="S77" i="10"/>
  <c r="S79" i="10" s="1"/>
  <c r="S74" i="10"/>
  <c r="S57" i="10"/>
  <c r="R12" i="10"/>
  <c r="R20" i="10" s="1"/>
  <c r="R63" i="10"/>
  <c r="R60" i="10"/>
  <c r="R61" i="9"/>
  <c r="R87" i="9"/>
  <c r="R27" i="9"/>
  <c r="R40" i="9" s="1"/>
  <c r="R36" i="8"/>
  <c r="R28" i="8"/>
  <c r="R20" i="8"/>
  <c r="R9" i="8"/>
  <c r="R15" i="8" s="1"/>
  <c r="R49" i="9" l="1"/>
  <c r="R59" i="10"/>
  <c r="R49" i="10"/>
  <c r="R22" i="10"/>
  <c r="R82" i="9"/>
  <c r="R24" i="8"/>
  <c r="R30" i="8" s="1"/>
  <c r="R62" i="10" l="1"/>
  <c r="R57" i="10"/>
  <c r="R23" i="10"/>
  <c r="M67" i="7"/>
  <c r="M69" i="7" s="1"/>
  <c r="M58" i="7"/>
  <c r="M47" i="7"/>
  <c r="M17" i="7"/>
  <c r="R67" i="10" l="1"/>
  <c r="R71" i="10" s="1"/>
  <c r="R77" i="10"/>
  <c r="R79" i="10" s="1"/>
  <c r="R74" i="10"/>
  <c r="M71" i="7"/>
  <c r="M32" i="7"/>
  <c r="Q63" i="10"/>
  <c r="P63" i="10"/>
  <c r="O63" i="10"/>
  <c r="N63" i="10"/>
  <c r="Q60" i="10"/>
  <c r="P60" i="10"/>
  <c r="O60" i="10"/>
  <c r="N60" i="10"/>
  <c r="M60" i="10"/>
  <c r="L60" i="10"/>
  <c r="K60" i="10"/>
  <c r="J60" i="10"/>
  <c r="I60" i="10"/>
  <c r="H60" i="10"/>
  <c r="G60" i="10"/>
  <c r="F60" i="10"/>
  <c r="E60" i="10"/>
  <c r="O17" i="9"/>
  <c r="N17" i="9"/>
  <c r="Q12" i="10" l="1"/>
  <c r="Q20" i="10" s="1"/>
  <c r="P12" i="10"/>
  <c r="O12" i="10"/>
  <c r="O20" i="10" s="1"/>
  <c r="N12" i="10"/>
  <c r="M12" i="10"/>
  <c r="M20" i="10" s="1"/>
  <c r="L12" i="10"/>
  <c r="K12" i="10"/>
  <c r="K20" i="10" s="1"/>
  <c r="J12" i="10"/>
  <c r="I12" i="10"/>
  <c r="I20" i="10" s="1"/>
  <c r="H12" i="10"/>
  <c r="G12" i="10"/>
  <c r="G20" i="10" s="1"/>
  <c r="F12" i="10"/>
  <c r="E12" i="10"/>
  <c r="E20" i="10" s="1"/>
  <c r="Q49" i="10"/>
  <c r="P49" i="10"/>
  <c r="O49" i="10"/>
  <c r="N49" i="10"/>
  <c r="M49" i="10"/>
  <c r="L49" i="10"/>
  <c r="K49" i="10"/>
  <c r="J49" i="10"/>
  <c r="I49" i="10"/>
  <c r="H49" i="10"/>
  <c r="G49" i="10"/>
  <c r="F49" i="10"/>
  <c r="E49" i="10"/>
  <c r="O27" i="9"/>
  <c r="O40" i="9" s="1"/>
  <c r="Q87" i="9"/>
  <c r="P87" i="9"/>
  <c r="O87" i="9"/>
  <c r="N87" i="9"/>
  <c r="M87" i="9"/>
  <c r="L87" i="9"/>
  <c r="K87" i="9"/>
  <c r="J87" i="9"/>
  <c r="I87" i="9"/>
  <c r="H87" i="9"/>
  <c r="G87" i="9"/>
  <c r="F87" i="9"/>
  <c r="E87" i="9"/>
  <c r="D87" i="9"/>
  <c r="Q61" i="9"/>
  <c r="P61" i="9"/>
  <c r="O61" i="9"/>
  <c r="N61" i="9"/>
  <c r="M61" i="9"/>
  <c r="L61" i="9"/>
  <c r="K61" i="9"/>
  <c r="J61" i="9"/>
  <c r="I61" i="9"/>
  <c r="H61" i="9"/>
  <c r="G61" i="9"/>
  <c r="F61" i="9"/>
  <c r="E61" i="9"/>
  <c r="D61" i="9"/>
  <c r="Q27" i="9"/>
  <c r="Q40" i="9" s="1"/>
  <c r="P27" i="9"/>
  <c r="P40" i="9" s="1"/>
  <c r="N27" i="9"/>
  <c r="M27" i="9"/>
  <c r="M40" i="9" s="1"/>
  <c r="L27" i="9"/>
  <c r="K27" i="9"/>
  <c r="K40" i="9" s="1"/>
  <c r="J27" i="9"/>
  <c r="J40" i="9" s="1"/>
  <c r="I27" i="9"/>
  <c r="I40" i="9" s="1"/>
  <c r="H27" i="9"/>
  <c r="H40" i="9" s="1"/>
  <c r="G27" i="9"/>
  <c r="G40" i="9" s="1"/>
  <c r="F27" i="9"/>
  <c r="F40" i="9" s="1"/>
  <c r="E27" i="9"/>
  <c r="E40" i="9" s="1"/>
  <c r="D27" i="9"/>
  <c r="D40" i="9" s="1"/>
  <c r="D49" i="9" s="1"/>
  <c r="Q36" i="8"/>
  <c r="P36" i="8"/>
  <c r="Q28" i="8"/>
  <c r="P28" i="8"/>
  <c r="O28" i="8"/>
  <c r="N28" i="8"/>
  <c r="M28" i="8"/>
  <c r="L28" i="8"/>
  <c r="K28" i="8"/>
  <c r="J28" i="8"/>
  <c r="I28" i="8"/>
  <c r="H28" i="8"/>
  <c r="G28" i="8"/>
  <c r="F28" i="8"/>
  <c r="E28" i="8"/>
  <c r="D28" i="8"/>
  <c r="Q20" i="8"/>
  <c r="P20" i="8"/>
  <c r="O20" i="8"/>
  <c r="N20" i="8"/>
  <c r="M20" i="8"/>
  <c r="L20" i="8"/>
  <c r="K20" i="8"/>
  <c r="J20" i="8"/>
  <c r="I20" i="8"/>
  <c r="H20" i="8"/>
  <c r="G20" i="8"/>
  <c r="F20" i="8"/>
  <c r="E20" i="8"/>
  <c r="D20" i="8"/>
  <c r="Q9" i="8"/>
  <c r="Q15" i="8" s="1"/>
  <c r="P9" i="8"/>
  <c r="P15" i="8" s="1"/>
  <c r="O9" i="8"/>
  <c r="O15" i="8" s="1"/>
  <c r="N9" i="8"/>
  <c r="N15" i="8" s="1"/>
  <c r="M9" i="8"/>
  <c r="M15" i="8" s="1"/>
  <c r="L9" i="8"/>
  <c r="L15" i="8" s="1"/>
  <c r="K9" i="8"/>
  <c r="K15" i="8" s="1"/>
  <c r="J9" i="8"/>
  <c r="J15" i="8" s="1"/>
  <c r="I9" i="8"/>
  <c r="I15" i="8" s="1"/>
  <c r="H9" i="8"/>
  <c r="H15" i="8" s="1"/>
  <c r="G9" i="8"/>
  <c r="G15" i="8" s="1"/>
  <c r="F9" i="8"/>
  <c r="F15" i="8" s="1"/>
  <c r="E9" i="8"/>
  <c r="E15" i="8" s="1"/>
  <c r="E24" i="8" s="1"/>
  <c r="E30" i="8" s="1"/>
  <c r="D9" i="8"/>
  <c r="D15" i="8" s="1"/>
  <c r="K58" i="7"/>
  <c r="J58" i="7"/>
  <c r="I58" i="7"/>
  <c r="H58" i="7"/>
  <c r="G58" i="7"/>
  <c r="F58" i="7"/>
  <c r="E58" i="7"/>
  <c r="D58" i="7"/>
  <c r="L58" i="7"/>
  <c r="K47" i="7"/>
  <c r="J47" i="7"/>
  <c r="I47" i="7"/>
  <c r="H47" i="7"/>
  <c r="G47" i="7"/>
  <c r="F47" i="7"/>
  <c r="E47" i="7"/>
  <c r="D47" i="7"/>
  <c r="L47" i="7"/>
  <c r="K17" i="7"/>
  <c r="J17" i="7"/>
  <c r="I17" i="7"/>
  <c r="H17" i="7"/>
  <c r="G17" i="7"/>
  <c r="F17" i="7"/>
  <c r="E17" i="7"/>
  <c r="D17" i="7"/>
  <c r="L17" i="7"/>
  <c r="L67" i="7"/>
  <c r="L69" i="7" s="1"/>
  <c r="K67" i="7"/>
  <c r="K69" i="7" s="1"/>
  <c r="J67" i="7"/>
  <c r="J69" i="7" s="1"/>
  <c r="I67" i="7"/>
  <c r="I69" i="7" s="1"/>
  <c r="H67" i="7"/>
  <c r="H69" i="7" s="1"/>
  <c r="G67" i="7"/>
  <c r="G69" i="7" s="1"/>
  <c r="F67" i="7"/>
  <c r="F69" i="7" s="1"/>
  <c r="E67" i="7"/>
  <c r="E69" i="7" s="1"/>
  <c r="D67" i="7"/>
  <c r="D69" i="7" s="1"/>
  <c r="J49" i="9" l="1"/>
  <c r="J59" i="10"/>
  <c r="K49" i="9"/>
  <c r="K82" i="9" s="1"/>
  <c r="K59" i="10"/>
  <c r="E49" i="9"/>
  <c r="E59" i="10"/>
  <c r="M49" i="9"/>
  <c r="M82" i="9" s="1"/>
  <c r="M59" i="10"/>
  <c r="O49" i="9"/>
  <c r="O59" i="10"/>
  <c r="F49" i="9"/>
  <c r="F82" i="9" s="1"/>
  <c r="F59" i="10"/>
  <c r="G49" i="9"/>
  <c r="G82" i="9" s="1"/>
  <c r="G59" i="10"/>
  <c r="P49" i="9"/>
  <c r="P82" i="9" s="1"/>
  <c r="P59" i="10"/>
  <c r="H49" i="9"/>
  <c r="H59" i="10"/>
  <c r="Q49" i="9"/>
  <c r="Q59" i="10"/>
  <c r="I49" i="9"/>
  <c r="I59" i="10"/>
  <c r="F20" i="10"/>
  <c r="F57" i="10" s="1"/>
  <c r="N20" i="10"/>
  <c r="N23" i="10" s="1"/>
  <c r="H22" i="10"/>
  <c r="H20" i="10"/>
  <c r="P22" i="10"/>
  <c r="P20" i="10"/>
  <c r="J20" i="10"/>
  <c r="J57" i="10" s="1"/>
  <c r="L22" i="10"/>
  <c r="L20" i="10"/>
  <c r="G23" i="10"/>
  <c r="O23" i="10"/>
  <c r="I23" i="10"/>
  <c r="Q23" i="10"/>
  <c r="K23" i="10"/>
  <c r="E23" i="10"/>
  <c r="M23" i="10"/>
  <c r="H24" i="8"/>
  <c r="H30" i="8" s="1"/>
  <c r="P24" i="8"/>
  <c r="P30" i="8" s="1"/>
  <c r="F24" i="8"/>
  <c r="F30" i="8" s="1"/>
  <c r="Q24" i="8"/>
  <c r="Q30" i="8" s="1"/>
  <c r="I24" i="8"/>
  <c r="I30" i="8" s="1"/>
  <c r="L24" i="8"/>
  <c r="L30" i="8" s="1"/>
  <c r="M24" i="8"/>
  <c r="M30" i="8" s="1"/>
  <c r="E22" i="10"/>
  <c r="I22" i="10"/>
  <c r="M22" i="10"/>
  <c r="J82" i="9"/>
  <c r="J22" i="10"/>
  <c r="L71" i="7"/>
  <c r="H82" i="9"/>
  <c r="Q82" i="9"/>
  <c r="G22" i="10"/>
  <c r="K22" i="10"/>
  <c r="O22" i="10"/>
  <c r="O82" i="9"/>
  <c r="F22" i="10"/>
  <c r="N22" i="10"/>
  <c r="E71" i="7"/>
  <c r="I71" i="7"/>
  <c r="E82" i="9"/>
  <c r="I82" i="9"/>
  <c r="Q22" i="10"/>
  <c r="L40" i="9"/>
  <c r="L59" i="10" s="1"/>
  <c r="N40" i="9"/>
  <c r="N59" i="10" s="1"/>
  <c r="D24" i="8"/>
  <c r="D30" i="8" s="1"/>
  <c r="G24" i="8"/>
  <c r="G30" i="8" s="1"/>
  <c r="K24" i="8"/>
  <c r="K30" i="8" s="1"/>
  <c r="O24" i="8"/>
  <c r="O30" i="8" s="1"/>
  <c r="J24" i="8"/>
  <c r="J30" i="8" s="1"/>
  <c r="N24" i="8"/>
  <c r="N30" i="8" s="1"/>
  <c r="F71" i="7"/>
  <c r="J71" i="7"/>
  <c r="G71" i="7"/>
  <c r="K71" i="7"/>
  <c r="E32" i="7"/>
  <c r="D82" i="9"/>
  <c r="D71" i="7"/>
  <c r="H71" i="7"/>
  <c r="D32" i="7"/>
  <c r="H32" i="7"/>
  <c r="I32" i="7"/>
  <c r="F32" i="7"/>
  <c r="J32" i="7"/>
  <c r="L32" i="7"/>
  <c r="G32" i="7"/>
  <c r="K32" i="7"/>
  <c r="I62" i="10" l="1"/>
  <c r="Q62" i="10"/>
  <c r="K62" i="10"/>
  <c r="M62" i="10"/>
  <c r="E62" i="10"/>
  <c r="F62" i="10"/>
  <c r="P62" i="10"/>
  <c r="G62" i="10"/>
  <c r="H62" i="10"/>
  <c r="O62" i="10"/>
  <c r="J62" i="10"/>
  <c r="N62" i="10"/>
  <c r="L62" i="10"/>
  <c r="F23" i="10"/>
  <c r="N57" i="10"/>
  <c r="J23" i="10"/>
  <c r="M57" i="10"/>
  <c r="I57" i="10"/>
  <c r="K57" i="10"/>
  <c r="G57" i="10"/>
  <c r="E57" i="10"/>
  <c r="Q57" i="10"/>
  <c r="O57" i="10"/>
  <c r="P23" i="10"/>
  <c r="H23" i="10"/>
  <c r="L23" i="10"/>
  <c r="L49" i="9"/>
  <c r="L82" i="9" s="1"/>
  <c r="N49" i="9"/>
  <c r="N82" i="9" s="1"/>
  <c r="F67" i="10" l="1"/>
  <c r="F71" i="10" s="1"/>
  <c r="F77" i="10"/>
  <c r="F79" i="10" s="1"/>
  <c r="K67" i="10"/>
  <c r="K71" i="10" s="1"/>
  <c r="K77" i="10"/>
  <c r="K79" i="10" s="1"/>
  <c r="E67" i="10"/>
  <c r="E71" i="10" s="1"/>
  <c r="E74" i="10" s="1"/>
  <c r="E77" i="10"/>
  <c r="E79" i="10" s="1"/>
  <c r="Q67" i="10"/>
  <c r="Q71" i="10" s="1"/>
  <c r="Q74" i="10" s="1"/>
  <c r="Q77" i="10"/>
  <c r="Q79" i="10" s="1"/>
  <c r="G67" i="10"/>
  <c r="G71" i="10" s="1"/>
  <c r="G77" i="10"/>
  <c r="G79" i="10" s="1"/>
  <c r="P67" i="10"/>
  <c r="P71" i="10" s="1"/>
  <c r="P74" i="10" s="1"/>
  <c r="P77" i="10"/>
  <c r="P79" i="10" s="1"/>
  <c r="L67" i="10"/>
  <c r="L71" i="10" s="1"/>
  <c r="L74" i="10" s="1"/>
  <c r="L77" i="10"/>
  <c r="L79" i="10" s="1"/>
  <c r="N67" i="10"/>
  <c r="N71" i="10" s="1"/>
  <c r="N74" i="10" s="1"/>
  <c r="N77" i="10"/>
  <c r="N79" i="10" s="1"/>
  <c r="M67" i="10"/>
  <c r="M71" i="10" s="1"/>
  <c r="M77" i="10"/>
  <c r="M79" i="10" s="1"/>
  <c r="J67" i="10"/>
  <c r="J71" i="10" s="1"/>
  <c r="J77" i="10"/>
  <c r="J79" i="10" s="1"/>
  <c r="O67" i="10"/>
  <c r="O71" i="10" s="1"/>
  <c r="O74" i="10" s="1"/>
  <c r="O77" i="10"/>
  <c r="O79" i="10" s="1"/>
  <c r="H67" i="10"/>
  <c r="H71" i="10" s="1"/>
  <c r="H74" i="10" s="1"/>
  <c r="H77" i="10"/>
  <c r="H79" i="10" s="1"/>
  <c r="I67" i="10"/>
  <c r="I71" i="10" s="1"/>
  <c r="I77" i="10"/>
  <c r="I79" i="10" s="1"/>
  <c r="G74" i="10"/>
  <c r="K74" i="10"/>
  <c r="F74" i="10"/>
  <c r="J74" i="10"/>
  <c r="I74" i="10"/>
  <c r="M74" i="10"/>
  <c r="L57" i="10"/>
  <c r="H57" i="10"/>
  <c r="P57" i="10"/>
  <c r="Z10" i="12"/>
  <c r="Z20" i="12" l="1"/>
  <c r="Z21" i="12" s="1"/>
  <c r="Z45" i="12" l="1"/>
  <c r="Z46" i="12" s="1"/>
  <c r="Z69" i="12" l="1"/>
  <c r="Z70" i="12" s="1"/>
  <c r="AA9" i="12"/>
  <c r="AA10" i="12" s="1"/>
  <c r="AA20" i="12" s="1"/>
  <c r="Z75" i="12" l="1"/>
  <c r="Z76" i="12" s="1"/>
  <c r="AA21" i="12"/>
  <c r="AA45" i="12"/>
  <c r="AA69" i="12" s="1"/>
  <c r="AA70" i="12" s="1"/>
  <c r="AA46" i="12" l="1"/>
  <c r="AA75" i="12"/>
  <c r="AA76" i="12" s="1"/>
  <c r="AB43" i="10"/>
  <c r="AB47" i="10" l="1"/>
  <c r="AB49" i="10"/>
  <c r="AB50" i="10" l="1"/>
</calcChain>
</file>

<file path=xl/sharedStrings.xml><?xml version="1.0" encoding="utf-8"?>
<sst xmlns="http://schemas.openxmlformats.org/spreadsheetml/2006/main" count="469" uniqueCount="277">
  <si>
    <t>Consolidated statements of financial position</t>
  </si>
  <si>
    <t>(In thousands of reais)</t>
  </si>
  <si>
    <t>Assets</t>
  </si>
  <si>
    <t>Current</t>
  </si>
  <si>
    <t>Cash and cash equivalents</t>
  </si>
  <si>
    <t>Financial investments</t>
  </si>
  <si>
    <t>Trade receivables</t>
  </si>
  <si>
    <t>Inventories</t>
  </si>
  <si>
    <t>Loans to related parties</t>
  </si>
  <si>
    <t>Other assets</t>
  </si>
  <si>
    <t>Non-current</t>
  </si>
  <si>
    <t>Deferred income tax</t>
  </si>
  <si>
    <t>Investments and interests in other entities</t>
  </si>
  <si>
    <t>Property and equipment</t>
  </si>
  <si>
    <t>Right-of-use assets</t>
  </si>
  <si>
    <t>Intangible assets</t>
  </si>
  <si>
    <t>Total assets</t>
  </si>
  <si>
    <t>Liabilities</t>
  </si>
  <si>
    <t>Trade payables</t>
  </si>
  <si>
    <t>Labor and social obligations</t>
  </si>
  <si>
    <t>Taxes and contributions payable</t>
  </si>
  <si>
    <t>Income taxes payable</t>
  </si>
  <si>
    <t>Dividends payable</t>
  </si>
  <si>
    <t>Advances from customers</t>
  </si>
  <si>
    <t>Accounts payable to selling shareholders</t>
  </si>
  <si>
    <t>Lease liabilities</t>
  </si>
  <si>
    <t>Other liabilities</t>
  </si>
  <si>
    <t>Equity</t>
  </si>
  <si>
    <t>Share capital</t>
  </si>
  <si>
    <t>Capital reserves</t>
  </si>
  <si>
    <t>Share-based compensation reserve</t>
  </si>
  <si>
    <t>Retained earnings</t>
  </si>
  <si>
    <t>Noncontrolling interests</t>
  </si>
  <si>
    <t>Total equity</t>
  </si>
  <si>
    <t>Total liabilities and equity</t>
  </si>
  <si>
    <t>Consolidated statements of profit and loss and other comprehensive income</t>
  </si>
  <si>
    <t>(In thousands of reais, unless stated otherwise)</t>
  </si>
  <si>
    <t>FY17</t>
  </si>
  <si>
    <t>1Q18</t>
  </si>
  <si>
    <t>2Q18</t>
  </si>
  <si>
    <t>3Q18</t>
  </si>
  <si>
    <t>4Q18</t>
  </si>
  <si>
    <t>FY18</t>
  </si>
  <si>
    <t>1Q19</t>
  </si>
  <si>
    <t>2Q19</t>
  </si>
  <si>
    <t>3Q19</t>
  </si>
  <si>
    <t>Cost of sales</t>
  </si>
  <si>
    <t>Gross profit</t>
  </si>
  <si>
    <t>Selling expenses</t>
  </si>
  <si>
    <t>General and administrative expenses</t>
  </si>
  <si>
    <t>Finance income</t>
  </si>
  <si>
    <t>Finance costs</t>
  </si>
  <si>
    <t>Deferred</t>
  </si>
  <si>
    <t>Income tax and social contribution</t>
  </si>
  <si>
    <t>Non-controlling interests</t>
  </si>
  <si>
    <t>Consolidated statements of cash flows</t>
  </si>
  <si>
    <t>Operating activities</t>
  </si>
  <si>
    <t>Depreciation and amortization</t>
  </si>
  <si>
    <t>Inventory reserves</t>
  </si>
  <si>
    <t>Allowance for doubtful accounts</t>
  </si>
  <si>
    <t>Share of profit (loss) of equity-accounted investees</t>
  </si>
  <si>
    <t>Share-based compensation plan</t>
  </si>
  <si>
    <t>Adjusted net income</t>
  </si>
  <si>
    <t>Cash generated from operations</t>
  </si>
  <si>
    <t>Income taxes paid</t>
  </si>
  <si>
    <t>Investing activities</t>
  </si>
  <si>
    <t>Acquisition of intangible assets</t>
  </si>
  <si>
    <t>Financial instruments - liabilities</t>
  </si>
  <si>
    <t>Net cash flows from (used in) investing activities</t>
  </si>
  <si>
    <t>Financing activities</t>
  </si>
  <si>
    <t>Capital increase</t>
  </si>
  <si>
    <t>Dividends paid</t>
  </si>
  <si>
    <t>4Q19</t>
  </si>
  <si>
    <t>FY19</t>
  </si>
  <si>
    <t>Adjusted EBITDA reconciliation</t>
  </si>
  <si>
    <t>(+/-) Finance result</t>
  </si>
  <si>
    <t>(+) Depreciation and amortization</t>
  </si>
  <si>
    <t>Net Revenue</t>
  </si>
  <si>
    <t>Adjusted net income reconciliation</t>
  </si>
  <si>
    <t>(+/-) Foreign exchange on cash and cash equivalents</t>
  </si>
  <si>
    <t xml:space="preserve">Free Cash Flow reconciliation </t>
  </si>
  <si>
    <t>Reconciliation of Non-GAAP Measures</t>
  </si>
  <si>
    <t>Core</t>
  </si>
  <si>
    <t>Supplemental</t>
  </si>
  <si>
    <t>Number of schools</t>
  </si>
  <si>
    <t>ACV Bookings</t>
  </si>
  <si>
    <t>3Q17</t>
  </si>
  <si>
    <t>4Q17</t>
  </si>
  <si>
    <t>FY16</t>
  </si>
  <si>
    <t>Related parties</t>
  </si>
  <si>
    <t>Total current assets</t>
  </si>
  <si>
    <t>Total non-current assets</t>
  </si>
  <si>
    <t>Total current liabilities</t>
  </si>
  <si>
    <t>Loans and financing</t>
  </si>
  <si>
    <t>Provision for legal proceedings</t>
  </si>
  <si>
    <t>Accumulated losses</t>
  </si>
  <si>
    <t>Equity attributable to equity holders of the parent</t>
  </si>
  <si>
    <t>Equity holders of the parent</t>
  </si>
  <si>
    <t>Profit (loss) before income taxes</t>
  </si>
  <si>
    <t>Adjustments to reconcile (loss) profit before income taxes</t>
  </si>
  <si>
    <t>Changes in accounts payable to selling shareholders</t>
  </si>
  <si>
    <t>Changes in fair value of step acquisitions</t>
  </si>
  <si>
    <t>Interest on lease liabilities</t>
  </si>
  <si>
    <t>Changes in assets and liabilities</t>
  </si>
  <si>
    <t>Recoverable taxes</t>
  </si>
  <si>
    <t>Interest paid on lease liabilities</t>
  </si>
  <si>
    <t>Net cash flows from (used in) operating activities</t>
  </si>
  <si>
    <t>Capital increase - proceeds from public offering</t>
  </si>
  <si>
    <t>Share issuance costs</t>
  </si>
  <si>
    <t>Payment of lease liabilities</t>
  </si>
  <si>
    <t>Payment of loans and financing</t>
  </si>
  <si>
    <t>Foreign exchange effects on cash and cash equivalents</t>
  </si>
  <si>
    <t>Increase (decrease) in cash and cash equivalents</t>
  </si>
  <si>
    <t>Profit (loss) for the period</t>
  </si>
  <si>
    <t>EBITDA</t>
  </si>
  <si>
    <t>Adjusted EBITDA Margin</t>
  </si>
  <si>
    <t>(-) Income tax paid</t>
  </si>
  <si>
    <t>Adjusted Net Income Margin</t>
  </si>
  <si>
    <t>EBITDA Margin</t>
  </si>
  <si>
    <t>Accounts receivable from selling shareholders</t>
  </si>
  <si>
    <t>1Q20</t>
  </si>
  <si>
    <t>(+) Non-recurring expenses</t>
  </si>
  <si>
    <t>(+) Effects related to Covid-19 pandemic</t>
  </si>
  <si>
    <t>Profit (loss) before income tax and social contribution</t>
  </si>
  <si>
    <t>Net profit (loss) for the period/year</t>
  </si>
  <si>
    <t>Provision for payroll taxes (restricted stock units)</t>
  </si>
  <si>
    <t>Dividends paid by subsidiaries</t>
  </si>
  <si>
    <t>Total non-current liabilities</t>
  </si>
  <si>
    <t>2Q20</t>
  </si>
  <si>
    <t>Finance result</t>
  </si>
  <si>
    <t>3Q20</t>
  </si>
  <si>
    <t>Interest paid on loans and financing</t>
  </si>
  <si>
    <t>Payment of investments and interests in other entities</t>
  </si>
  <si>
    <t>Operating profit (loss)</t>
  </si>
  <si>
    <t>Other income (expense), net</t>
  </si>
  <si>
    <t>Profit (loss) attributable to</t>
  </si>
  <si>
    <t>(+/-) Income taxes</t>
  </si>
  <si>
    <t>(+/-) Share of profit (loss) of equity-accounted investees</t>
  </si>
  <si>
    <t>4Q20</t>
  </si>
  <si>
    <t>FY20</t>
  </si>
  <si>
    <t>Payments for contingent consideration</t>
  </si>
  <si>
    <t>Payment to owners to acquire entity’s shares</t>
  </si>
  <si>
    <t>(-) Payments for contingent consideration</t>
  </si>
  <si>
    <t>Core segment</t>
  </si>
  <si>
    <t>Supplemental segment</t>
  </si>
  <si>
    <r>
      <t>Number of Enrolled Students</t>
    </r>
    <r>
      <rPr>
        <sz val="10"/>
        <color theme="1"/>
        <rFont val="Calibri"/>
        <family val="2"/>
        <scheme val="minor"/>
      </rPr>
      <t xml:space="preserve"> (as of March 31)</t>
    </r>
  </si>
  <si>
    <r>
      <t>ACV Bookings</t>
    </r>
    <r>
      <rPr>
        <sz val="10"/>
        <color theme="1"/>
        <rFont val="Calibri"/>
        <family val="2"/>
        <scheme val="minor"/>
      </rPr>
      <t xml:space="preserve"> (in millions) (as of March 31)</t>
    </r>
  </si>
  <si>
    <t>1Q21</t>
  </si>
  <si>
    <t>Purchase of treasury shares</t>
  </si>
  <si>
    <t>Taxable Income Reconciliation</t>
  </si>
  <si>
    <t>Profit before income taxes</t>
  </si>
  <si>
    <t>(+) Share-based compensation plan, RSU and provision for payroll taxes¹</t>
  </si>
  <si>
    <t>(+) Amortization of intangible assets from business combinations before incorporation¹</t>
  </si>
  <si>
    <t>(+/-) Changes in accounts payable to selling shareholders¹</t>
  </si>
  <si>
    <t>(+) Net income from Arco Platform (Cayman)</t>
  </si>
  <si>
    <t>(+) Fiscal loss without deferred</t>
  </si>
  <si>
    <t>(+/-) Provisions booked in the period</t>
  </si>
  <si>
    <t>(+) Tax loss carryforward</t>
  </si>
  <si>
    <t>(+) Others</t>
  </si>
  <si>
    <t>Taxable income</t>
  </si>
  <si>
    <t>Current income tax under actual profit method</t>
  </si>
  <si>
    <t xml:space="preserve">% Tax rate under actual profit method </t>
  </si>
  <si>
    <t>(+) Effect of presumed profit benefit</t>
  </si>
  <si>
    <t>Effective current income tax</t>
  </si>
  <si>
    <t>% Effective tax rate</t>
  </si>
  <si>
    <t>(+) Recognition of tax-deductible amortization of goodwill and added value²</t>
  </si>
  <si>
    <t>(+/-) Other additions (exclusions)</t>
  </si>
  <si>
    <t>Effective current income tax accounted for goodwill benefit</t>
  </si>
  <si>
    <t>% Effective tax rate accounting for goodwill benefit</t>
  </si>
  <si>
    <t>2Q21</t>
  </si>
  <si>
    <t>(+/-) Adjustments related to business combination </t>
  </si>
  <si>
    <t xml:space="preserve">     (+) Amortization of intangible assets from business combinations</t>
  </si>
  <si>
    <t xml:space="preserve">     (+/-) Interest on acquisition of investments, net (linked to a fixed rate)</t>
  </si>
  <si>
    <t xml:space="preserve">     (+/-) Changes in accounts payable to selling shareholders</t>
  </si>
  <si>
    <t>(+/-) Tax effects</t>
  </si>
  <si>
    <t>Educational content</t>
  </si>
  <si>
    <t>Other</t>
  </si>
  <si>
    <t>Deduction:</t>
  </si>
  <si>
    <t>Taxes</t>
  </si>
  <si>
    <t>Content providing</t>
  </si>
  <si>
    <t>Operations personnel</t>
  </si>
  <si>
    <t>Freight</t>
  </si>
  <si>
    <t>Sales personnel</t>
  </si>
  <si>
    <t>Sales &amp; marketing</t>
  </si>
  <si>
    <t>Customer support</t>
  </si>
  <si>
    <t>Real estate rentals</t>
  </si>
  <si>
    <t>Corporate personnel</t>
  </si>
  <si>
    <t>Third party services</t>
  </si>
  <si>
    <t>Real estate rents</t>
  </si>
  <si>
    <t>Travel expenses</t>
  </si>
  <si>
    <t>Tax expenses</t>
  </si>
  <si>
    <t>Software licenses</t>
  </si>
  <si>
    <t>Income from financial investments</t>
  </si>
  <si>
    <t>Interest income</t>
  </si>
  <si>
    <t>Bank fees</t>
  </si>
  <si>
    <t>Interest on loans and financing</t>
  </si>
  <si>
    <t>Changes in fair value of financial investments</t>
  </si>
  <si>
    <t>Changes in fair value of derivative instruments</t>
  </si>
  <si>
    <t>Interest on acquisition of investments</t>
  </si>
  <si>
    <t>3Q21</t>
  </si>
  <si>
    <t>Treasury shares</t>
  </si>
  <si>
    <t>4Q21</t>
  </si>
  <si>
    <t>FY21</t>
  </si>
  <si>
    <t>Foreign exchange gains</t>
  </si>
  <si>
    <t>Foreign exchange loss</t>
  </si>
  <si>
    <t>Derivative financial instruments</t>
  </si>
  <si>
    <t>(+/-) Interest on acquisition of investments, net (linked to a fixed rate)</t>
  </si>
  <si>
    <t>Adjusted Net Income Margin (previous method, until Q3'2021)</t>
  </si>
  <si>
    <t>Adjusted net income (previous method, until Q3'2021)</t>
  </si>
  <si>
    <t>(+) Provision for payroll taxes (restricted stock units)</t>
  </si>
  <si>
    <t>1Q22</t>
  </si>
  <si>
    <t>2Q22</t>
  </si>
  <si>
    <t>3Q22</t>
  </si>
  <si>
    <t>4Q22</t>
  </si>
  <si>
    <t>FY22</t>
  </si>
  <si>
    <t>Revenue</t>
  </si>
  <si>
    <t>Gain on changes of interest of investment</t>
  </si>
  <si>
    <t>Non-cash adjustments to reconcile Adj. EBITDA to cash from operations</t>
  </si>
  <si>
    <t>Working capital (Changes in assets and liabilities)</t>
  </si>
  <si>
    <t>(-) CAPEX¹</t>
  </si>
  <si>
    <t>(-) Interest paid on accounts payable to selling shareholders</t>
  </si>
  <si>
    <t>Accrued interest on loans and financing</t>
  </si>
  <si>
    <t xml:space="preserve">     (+) Interest expenses, net (adjusted by fair value)</t>
  </si>
  <si>
    <t xml:space="preserve">     (+) Provision for payroll taxes (restricted stock units)</t>
  </si>
  <si>
    <t>(+) Share-based compensation plan</t>
  </si>
  <si>
    <t xml:space="preserve">     (+) Share-based compensation plan and restricted stock units </t>
  </si>
  <si>
    <r>
      <t xml:space="preserve">(+/-) Non-cash adjustments related to derivative instruments and convertible notes </t>
    </r>
    <r>
      <rPr>
        <i/>
        <sz val="10"/>
        <color theme="1"/>
        <rFont val="Calibri"/>
        <family val="2"/>
        <scheme val="minor"/>
      </rPr>
      <t>³</t>
    </r>
  </si>
  <si>
    <t>(+) M&amp;A expenses</t>
  </si>
  <si>
    <t>(-) Other changes to equity accounted investees</t>
  </si>
  <si>
    <t>June 30, 2022</t>
  </si>
  <si>
    <t xml:space="preserve">   </t>
  </si>
  <si>
    <t>Share of loss of equity-accounted investees</t>
  </si>
  <si>
    <t>Foreign exchange (income) expenses, net</t>
  </si>
  <si>
    <t>Other financial expense (income), net</t>
  </si>
  <si>
    <t>Cash from operations</t>
  </si>
  <si>
    <t xml:space="preserve">Interest paid on accounts payable to selling shareholders </t>
  </si>
  <si>
    <t>Acquisition of property and equipment</t>
  </si>
  <si>
    <t>Acquisition of subsidiaries. net of cash acquired</t>
  </si>
  <si>
    <t>Payments of accounts payable to selling shareholders</t>
  </si>
  <si>
    <t>Maturity of financial investments</t>
  </si>
  <si>
    <t>Net cash flows used in financing activities</t>
  </si>
  <si>
    <t>At the beginning of the period</t>
  </si>
  <si>
    <t>At the end of the period</t>
  </si>
  <si>
    <t>Profit for the period</t>
  </si>
  <si>
    <t>(+) Share of loss of equity-accounted investees</t>
  </si>
  <si>
    <t>(+) Share-based compensation plan and restricted stock units</t>
  </si>
  <si>
    <t>Adjusted EBITDA</t>
  </si>
  <si>
    <t>(+/-) Share of loss of equity accounted investees</t>
  </si>
  <si>
    <t>Payments of stock options</t>
  </si>
  <si>
    <t>(Loss) profit before income taxes</t>
  </si>
  <si>
    <t>Free Cash Flow (previous method, until Q2'2022)</t>
  </si>
  <si>
    <t>(-) M&amp;A classified as intangible assets acquisition (CAPEX)</t>
  </si>
  <si>
    <t>September 30, 2022</t>
  </si>
  <si>
    <t>Weighted avarage shares</t>
  </si>
  <si>
    <t>Adjusted EPS</t>
  </si>
  <si>
    <t>Loans and financings - additions</t>
  </si>
  <si>
    <t>Loans and financings – payment</t>
  </si>
  <si>
    <t>Loans and financings - costs</t>
  </si>
  <si>
    <t>Labor and social security</t>
  </si>
  <si>
    <t>Provision (reversal) for expected credit losses</t>
  </si>
  <si>
    <t>Loss (profit) on sale/disposal of property and equipment and intangible</t>
  </si>
  <si>
    <t>Fair value change in financial derivative</t>
  </si>
  <si>
    <t xml:space="preserve">Depreciation and amortization </t>
  </si>
  <si>
    <t>Fair value adjustment in accounts payable to selling shareholders</t>
  </si>
  <si>
    <t>Interest accretion on accounts payable to selling shareholders</t>
  </si>
  <si>
    <t>Interest from financial investment</t>
  </si>
  <si>
    <t>Free cash flow to firm</t>
  </si>
  <si>
    <t xml:space="preserve">(-) Interest paid on loans and financings &amp; lease liabilities </t>
  </si>
  <si>
    <t>(-) Payments of stock options¹</t>
  </si>
  <si>
    <t>Free Cash Flow</t>
  </si>
  <si>
    <t>(-) M&amp;A classified as Payments of stock options¹</t>
  </si>
  <si>
    <t>(-) M&amp;A classified as CAPEX²</t>
  </si>
  <si>
    <t>(-) M&amp;A classified as payments for contingent consideration³</t>
  </si>
  <si>
    <t>Free cash flow (managerial)</t>
  </si>
  <si>
    <t>(+) M&amp;A classified as CAPEX¹</t>
  </si>
  <si>
    <t>Free cash flow to firm (managerial)</t>
  </si>
  <si>
    <r>
      <t>Net Revenues for the cycle</t>
    </r>
    <r>
      <rPr>
        <sz val="10"/>
        <color theme="1"/>
        <rFont val="Calibri"/>
        <family val="2"/>
        <scheme val="minor"/>
      </rPr>
      <t xml:space="preserve"> (in millions) (as of Sep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</si>
</sst>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 #,##0_);_(* \(#,##0\);_(* &quot;-&quot;??_);_(@_)"/>
    <numFmt numFmtId="166" formatCode="0.0%"/>
    <numFmt numFmtId="167" formatCode="0.000"/>
    <numFmt numFmtId="168" formatCode="[$-409]mmm\ d\,\ yyyy;@"/>
    <numFmt numFmtId="169" formatCode="0;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0"/>
      <name val="Calibri"/>
      <family val="2"/>
      <scheme val="minor"/>
    </font>
    <font>
      <sz val="10"/>
      <color theme="0" tint="-0.499984740745262"/>
      <name val="Calibri"/>
      <family val="2"/>
      <scheme val="minor"/>
    </font>
    <font>
      <sz val="10"/>
      <color rgb="FFFF0000"/>
      <name val="Calibri"/>
      <family val="2"/>
      <scheme val="minor"/>
    </font>
    <font>
      <i/>
      <sz val="10"/>
      <color theme="1"/>
      <name val="Calibri"/>
      <family val="2"/>
      <scheme val="minor"/>
    </font>
    <font>
      <sz val="10"/>
      <name val="Calibri"/>
      <family val="2"/>
      <scheme val="minor"/>
    </font>
    <font>
      <b/>
      <sz val="10"/>
      <color rgb="FF000000"/>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6">
    <xf numFmtId="0" fontId="0" fillId="0" borderId="0" xfId="0"/>
    <xf numFmtId="0" fontId="2" fillId="0" borderId="0" xfId="0" applyFont="1"/>
    <xf numFmtId="165" fontId="2" fillId="0" borderId="0" xfId="1" applyNumberFormat="1" applyFont="1" applyFill="1"/>
    <xf numFmtId="165" fontId="2" fillId="0" borderId="1" xfId="1" applyNumberFormat="1" applyFont="1" applyFill="1" applyBorder="1"/>
    <xf numFmtId="165" fontId="2" fillId="0" borderId="0" xfId="1" applyNumberFormat="1" applyFont="1" applyFill="1" applyBorder="1"/>
    <xf numFmtId="165" fontId="2" fillId="0" borderId="2" xfId="1" applyNumberFormat="1" applyFont="1" applyFill="1" applyBorder="1"/>
    <xf numFmtId="165" fontId="2" fillId="0" borderId="3" xfId="1" applyNumberFormat="1" applyFont="1" applyFill="1" applyBorder="1"/>
    <xf numFmtId="0" fontId="4" fillId="0" borderId="0" xfId="0" applyFont="1"/>
    <xf numFmtId="0" fontId="3" fillId="0" borderId="0" xfId="0" applyFont="1"/>
    <xf numFmtId="165" fontId="2" fillId="0" borderId="0" xfId="0" applyNumberFormat="1" applyFont="1"/>
    <xf numFmtId="165" fontId="4" fillId="0" borderId="1" xfId="1" applyNumberFormat="1" applyFont="1" applyFill="1" applyBorder="1"/>
    <xf numFmtId="165" fontId="4" fillId="0" borderId="0" xfId="1" applyNumberFormat="1" applyFont="1" applyFill="1"/>
    <xf numFmtId="165" fontId="2" fillId="0" borderId="0" xfId="1" quotePrefix="1" applyNumberFormat="1" applyFont="1" applyFill="1"/>
    <xf numFmtId="165" fontId="4" fillId="0" borderId="2" xfId="1" applyNumberFormat="1" applyFont="1" applyFill="1" applyBorder="1"/>
    <xf numFmtId="165" fontId="5" fillId="0" borderId="2" xfId="1" applyNumberFormat="1" applyFont="1" applyFill="1" applyBorder="1"/>
    <xf numFmtId="166" fontId="2" fillId="0" borderId="0" xfId="2" applyNumberFormat="1" applyFont="1" applyFill="1"/>
    <xf numFmtId="166" fontId="4" fillId="0" borderId="0" xfId="2" applyNumberFormat="1" applyFont="1" applyFill="1"/>
    <xf numFmtId="167" fontId="2" fillId="0" borderId="0" xfId="0" applyNumberFormat="1" applyFont="1"/>
    <xf numFmtId="0" fontId="2" fillId="2" borderId="0" xfId="0" applyFont="1" applyFill="1"/>
    <xf numFmtId="0" fontId="4" fillId="2" borderId="0" xfId="0" applyFont="1" applyFill="1"/>
    <xf numFmtId="165" fontId="2" fillId="2" borderId="0" xfId="0" applyNumberFormat="1" applyFont="1" applyFill="1"/>
    <xf numFmtId="165" fontId="4" fillId="2" borderId="0" xfId="1" applyNumberFormat="1" applyFont="1" applyFill="1"/>
    <xf numFmtId="165" fontId="2" fillId="2" borderId="0" xfId="1" applyNumberFormat="1" applyFont="1" applyFill="1"/>
    <xf numFmtId="165" fontId="2" fillId="2" borderId="1" xfId="1" applyNumberFormat="1" applyFont="1" applyFill="1" applyBorder="1"/>
    <xf numFmtId="165" fontId="2" fillId="2" borderId="0" xfId="1" applyNumberFormat="1" applyFont="1" applyFill="1" applyBorder="1"/>
    <xf numFmtId="165" fontId="2" fillId="2" borderId="2" xfId="1" applyNumberFormat="1" applyFont="1" applyFill="1" applyBorder="1"/>
    <xf numFmtId="165" fontId="2" fillId="2" borderId="3" xfId="1" applyNumberFormat="1" applyFont="1" applyFill="1" applyBorder="1"/>
    <xf numFmtId="3" fontId="2" fillId="2" borderId="0" xfId="0" applyNumberFormat="1" applyFont="1" applyFill="1"/>
    <xf numFmtId="0" fontId="2" fillId="0" borderId="0" xfId="0" applyFont="1" applyAlignment="1">
      <alignment horizontal="left" indent="1"/>
    </xf>
    <xf numFmtId="0" fontId="2" fillId="0" borderId="0" xfId="0" applyFont="1" applyAlignment="1">
      <alignment horizontal="right"/>
    </xf>
    <xf numFmtId="168" fontId="4" fillId="0" borderId="0" xfId="0" applyNumberFormat="1" applyFont="1" applyAlignment="1">
      <alignment horizontal="right"/>
    </xf>
    <xf numFmtId="168" fontId="4" fillId="2" borderId="0" xfId="0" applyNumberFormat="1" applyFont="1" applyFill="1" applyAlignment="1">
      <alignment horizontal="right"/>
    </xf>
    <xf numFmtId="169" fontId="4" fillId="0" borderId="0" xfId="0" applyNumberFormat="1" applyFont="1" applyAlignment="1">
      <alignment horizontal="right"/>
    </xf>
    <xf numFmtId="169" fontId="4" fillId="2" borderId="0" xfId="0" applyNumberFormat="1" applyFont="1" applyFill="1" applyAlignment="1">
      <alignment horizontal="right"/>
    </xf>
    <xf numFmtId="3" fontId="2" fillId="0" borderId="0" xfId="0" applyNumberFormat="1" applyFont="1"/>
    <xf numFmtId="0" fontId="4" fillId="0" borderId="0" xfId="0" applyFont="1" applyAlignment="1">
      <alignment horizontal="left" indent="1"/>
    </xf>
    <xf numFmtId="0" fontId="2" fillId="0" borderId="0" xfId="0" applyFont="1" applyAlignment="1">
      <alignment horizontal="left" indent="2"/>
    </xf>
    <xf numFmtId="0" fontId="2" fillId="0" borderId="0" xfId="0" applyFont="1" applyAlignment="1">
      <alignment horizontal="center"/>
    </xf>
    <xf numFmtId="169" fontId="4" fillId="0" borderId="0" xfId="0" applyNumberFormat="1" applyFont="1" applyAlignment="1">
      <alignment horizontal="center"/>
    </xf>
    <xf numFmtId="169" fontId="4" fillId="2" borderId="0" xfId="0" applyNumberFormat="1" applyFont="1" applyFill="1" applyAlignment="1">
      <alignment horizontal="center"/>
    </xf>
    <xf numFmtId="165" fontId="4" fillId="0" borderId="0" xfId="0" applyNumberFormat="1" applyFont="1"/>
    <xf numFmtId="0" fontId="6" fillId="0" borderId="0" xfId="0" applyFont="1"/>
    <xf numFmtId="165" fontId="6" fillId="0" borderId="0" xfId="1" applyNumberFormat="1" applyFont="1" applyFill="1"/>
    <xf numFmtId="0" fontId="3" fillId="0" borderId="0" xfId="0" applyFont="1" applyAlignment="1">
      <alignment vertical="center"/>
    </xf>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center" vertical="center"/>
    </xf>
    <xf numFmtId="169" fontId="4" fillId="0" borderId="0" xfId="0" applyNumberFormat="1" applyFont="1" applyAlignment="1">
      <alignment horizontal="center" vertical="center"/>
    </xf>
    <xf numFmtId="169" fontId="4" fillId="2" borderId="0" xfId="0" applyNumberFormat="1" applyFont="1" applyFill="1" applyAlignment="1">
      <alignment horizontal="center" vertical="center"/>
    </xf>
    <xf numFmtId="165" fontId="2" fillId="0" borderId="0" xfId="0" applyNumberFormat="1" applyFont="1" applyAlignment="1">
      <alignment vertical="center"/>
    </xf>
    <xf numFmtId="165" fontId="4" fillId="0" borderId="0" xfId="0" applyNumberFormat="1"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165" fontId="4" fillId="0" borderId="0" xfId="1" applyNumberFormat="1" applyFont="1" applyFill="1" applyBorder="1" applyAlignment="1">
      <alignment vertical="center"/>
    </xf>
    <xf numFmtId="165" fontId="4" fillId="0" borderId="1" xfId="1" applyNumberFormat="1" applyFont="1" applyFill="1" applyBorder="1" applyAlignment="1">
      <alignment vertical="center"/>
    </xf>
    <xf numFmtId="165" fontId="7" fillId="0" borderId="0" xfId="0" applyNumberFormat="1" applyFont="1" applyAlignment="1">
      <alignment vertical="center"/>
    </xf>
    <xf numFmtId="165" fontId="7" fillId="0" borderId="0" xfId="1" applyNumberFormat="1" applyFont="1" applyFill="1" applyAlignment="1">
      <alignment vertical="center"/>
    </xf>
    <xf numFmtId="165" fontId="2" fillId="0" borderId="0" xfId="1" applyNumberFormat="1" applyFont="1" applyFill="1" applyAlignment="1">
      <alignment vertical="center"/>
    </xf>
    <xf numFmtId="165" fontId="4" fillId="0" borderId="5" xfId="1" applyNumberFormat="1" applyFont="1" applyFill="1" applyBorder="1" applyAlignment="1">
      <alignment vertical="center"/>
    </xf>
    <xf numFmtId="165" fontId="2" fillId="2" borderId="4" xfId="1" applyNumberFormat="1" applyFont="1" applyFill="1" applyBorder="1"/>
    <xf numFmtId="0" fontId="5" fillId="0" borderId="0" xfId="0" applyFont="1"/>
    <xf numFmtId="165" fontId="5" fillId="0" borderId="0" xfId="1" applyNumberFormat="1" applyFont="1" applyFill="1"/>
    <xf numFmtId="165" fontId="5" fillId="2" borderId="0" xfId="0" applyNumberFormat="1" applyFont="1" applyFill="1"/>
    <xf numFmtId="3" fontId="6" fillId="0" borderId="0" xfId="0" applyNumberFormat="1" applyFont="1"/>
    <xf numFmtId="165" fontId="6" fillId="0" borderId="0" xfId="0" applyNumberFormat="1" applyFont="1"/>
    <xf numFmtId="165" fontId="2" fillId="0" borderId="0" xfId="1" applyNumberFormat="1" applyFont="1" applyFill="1" applyBorder="1" applyAlignment="1"/>
    <xf numFmtId="165" fontId="5" fillId="0" borderId="0" xfId="0" applyNumberFormat="1" applyFont="1"/>
    <xf numFmtId="165" fontId="2" fillId="2" borderId="0" xfId="1" applyNumberFormat="1" applyFont="1" applyFill="1" applyBorder="1" applyAlignment="1"/>
    <xf numFmtId="0" fontId="6" fillId="0" borderId="0" xfId="0" applyFont="1" applyAlignment="1">
      <alignment horizontal="left" indent="1"/>
    </xf>
    <xf numFmtId="0" fontId="9" fillId="0" borderId="0" xfId="0" applyFont="1"/>
    <xf numFmtId="2" fontId="4" fillId="2" borderId="0" xfId="0" applyNumberFormat="1" applyFont="1" applyFill="1"/>
    <xf numFmtId="0" fontId="10" fillId="0" borderId="0" xfId="0" applyFont="1" applyAlignment="1">
      <alignment vertical="center" wrapText="1"/>
    </xf>
    <xf numFmtId="0" fontId="2" fillId="0" borderId="0" xfId="0" applyFont="1" applyFill="1"/>
    <xf numFmtId="165" fontId="2" fillId="0" borderId="0" xfId="1" applyNumberFormat="1" applyFont="1" applyFill="1" applyAlignment="1">
      <alignment horizontal="right"/>
    </xf>
    <xf numFmtId="165" fontId="2" fillId="0" borderId="0" xfId="1" applyNumberFormat="1" applyFont="1"/>
    <xf numFmtId="166" fontId="2" fillId="0" borderId="0" xfId="2" applyNumberFormat="1" applyFont="1"/>
  </cellXfs>
  <cellStyles count="4">
    <cellStyle name="Comma" xfId="1" builtinId="3"/>
    <cellStyle name="Normal" xfId="0" builtinId="0"/>
    <cellStyle name="Percent" xfId="2" builtinId="5"/>
    <cellStyle name="Vírgula 2" xfId="3" xr:uid="{9A55C99A-CACF-43CF-B6C2-B77D24CAF0E8}"/>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571500</xdr:colOff>
      <xdr:row>10</xdr:row>
      <xdr:rowOff>28575</xdr:rowOff>
    </xdr:from>
    <xdr:to>
      <xdr:col>19</xdr:col>
      <xdr:colOff>57150</xdr:colOff>
      <xdr:row>32</xdr:row>
      <xdr:rowOff>76200</xdr:rowOff>
    </xdr:to>
    <xdr:sp macro="" textlink="">
      <xdr:nvSpPr>
        <xdr:cNvPr id="2" name="TextBox 1">
          <a:extLst>
            <a:ext uri="{FF2B5EF4-FFF2-40B4-BE49-F238E27FC236}">
              <a16:creationId xmlns:a16="http://schemas.microsoft.com/office/drawing/2014/main" id="{AC0FA14A-E0FB-4B30-9165-E3BC398DC5B2}"/>
            </a:ext>
          </a:extLst>
        </xdr:cNvPr>
        <xdr:cNvSpPr txBox="1"/>
      </xdr:nvSpPr>
      <xdr:spPr>
        <a:xfrm>
          <a:off x="571500" y="1933575"/>
          <a:ext cx="11068050" cy="423862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t>The information provided in this document has been prepared solely for information and reference purposes and shall, under no circumstances, intended to be used or considered as financial or investment guidance, nor as an investment research. Likewise, this document does not constitute or form a part of, and should not be construed as, an offer to purchase, sell or exchange any security, a solicitation of any offer to purchase, sell or exchange any security, or a recommendation or advice regarding any security and as such it is not and will not be registered with, or authorized by, the applicable enforcement authority. Additionally, this document does not constitute a recommendation regarding the securities of Arco Platform Limited. This presentation does not constitute a prospectus in whole or in part.</a:t>
          </a:r>
        </a:p>
        <a:p>
          <a:r>
            <a:rPr lang="pt-BR" sz="1100"/>
            <a:t> </a:t>
          </a:r>
        </a:p>
        <a:p>
          <a:r>
            <a:rPr lang="pt-BR" sz="1100"/>
            <a:t>In addition to financial information prepared in accordance with IFRS, this document includes certain non-GAAP financial measures, including Adjusted EBITDA, Margin Adjusted EBITDA, Adjusted Net Income and Free Cash Flow. These non-GAAP measures are in addition to, not a substitute for or superior to, measures of financial performance prepared in accordance with IFRS. The non-GAAP financial measures used by the us may differ from the non-GAAP financial measures used by other companies. A reconciliation of these measures to the most directly comparable IFRS measure is included in this document.</a:t>
          </a:r>
        </a:p>
        <a:p>
          <a:r>
            <a:rPr lang="pt-BR" sz="1100"/>
            <a:t> </a:t>
          </a:r>
        </a:p>
        <a:p>
          <a:r>
            <a:rPr lang="pt-BR" sz="1100"/>
            <a:t>This document contains forward-looking statements. All statements other than statements of historical fact could be deemed forward looking statements and subject to risks and uncertainties, including estimates based on assumptions or statements regarding plans, objectives and expectations. We undertake no obligation to update any forward-looking statements made in this document to reflect events or circumstances after the date of this document or to reflect new information or the occurrence of unanticipated events, except as required by law. The achievement or success of the matters covered by such forward-looking statements involves known and unknown risks, uncertainties and assumptions. If any such risks or uncertainties materialize or if any of the assumptions prove incorrect, our results could differ materially from the results expressed or implied by the forward-looking statements we make. You should not rely upon forward-looking statements as predictions of future events. Forward-looking statements represent our management’s beliefs and assumptions only as of the date such statements are made. </a:t>
          </a:r>
        </a:p>
        <a:p>
          <a:r>
            <a:rPr lang="pt-BR" sz="1100"/>
            <a:t> </a:t>
          </a:r>
        </a:p>
        <a:p>
          <a:r>
            <a:rPr lang="pt-BR" sz="1100"/>
            <a:t>Further information on these and other factors that could affect our financial results is included in filings we make with the U.S. Securities and Exchange Commission from time to time. You should read such documents for more complete information about Arco Platform Limited and its affiliates. These documents are available on EDGAR on the SEC website at: https://www.sec.gov/cgi-bin/browse-edgar?company=Arco+Platform&amp;owner=exclude&amp;action=getcompany or on the SEC Filings section of the Investor Relations section of our website at: https://arcoeducacao.gcs-web.com/.</a:t>
          </a:r>
        </a:p>
        <a:p>
          <a:r>
            <a:rPr lang="pt-BR" sz="1100"/>
            <a:t> </a:t>
          </a:r>
        </a:p>
        <a:p>
          <a:endParaRPr lang="pt-BR" sz="1100"/>
        </a:p>
      </xdr:txBody>
    </xdr:sp>
    <xdr:clientData/>
  </xdr:twoCellAnchor>
  <xdr:twoCellAnchor editAs="oneCell">
    <xdr:from>
      <xdr:col>7</xdr:col>
      <xdr:colOff>416842</xdr:colOff>
      <xdr:row>0</xdr:row>
      <xdr:rowOff>180975</xdr:rowOff>
    </xdr:from>
    <xdr:to>
      <xdr:col>12</xdr:col>
      <xdr:colOff>211808</xdr:colOff>
      <xdr:row>9</xdr:row>
      <xdr:rowOff>81927</xdr:rowOff>
    </xdr:to>
    <xdr:pic>
      <xdr:nvPicPr>
        <xdr:cNvPr id="3" name="Gráfico 6">
          <a:extLst>
            <a:ext uri="{FF2B5EF4-FFF2-40B4-BE49-F238E27FC236}">
              <a16:creationId xmlns:a16="http://schemas.microsoft.com/office/drawing/2014/main" id="{82196C55-43AA-4EBC-B292-B20749C32D79}"/>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4268"/>
        <a:stretch/>
      </xdr:blipFill>
      <xdr:spPr>
        <a:xfrm>
          <a:off x="4684042" y="180975"/>
          <a:ext cx="2842966" cy="16154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
  <sheetViews>
    <sheetView showGridLines="0" topLeftCell="A19" zoomScale="70" zoomScaleNormal="70" workbookViewId="0"/>
  </sheetViews>
  <sheetFormatPr defaultRowHeight="15" x14ac:dyDescent="0.25"/>
  <cols>
    <col min="1" max="1" width="1.7109375" customWidth="1"/>
  </cols>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tabColor rgb="FF92D050"/>
  </sheetPr>
  <dimension ref="B2:W73"/>
  <sheetViews>
    <sheetView showGridLines="0" zoomScale="85" zoomScaleNormal="85" workbookViewId="0">
      <pane xSplit="3" ySplit="5" topLeftCell="O72" activePane="bottomRight" state="frozen"/>
      <selection activeCell="V43" sqref="V43"/>
      <selection pane="topRight" activeCell="V43" sqref="V43"/>
      <selection pane="bottomLeft" activeCell="V43" sqref="V43"/>
      <selection pane="bottomRight" activeCell="W67" sqref="W67"/>
    </sheetView>
  </sheetViews>
  <sheetFormatPr defaultColWidth="14.7109375" defaultRowHeight="15" customHeight="1" x14ac:dyDescent="0.2"/>
  <cols>
    <col min="1" max="1" width="2.85546875" style="1" customWidth="1"/>
    <col min="2" max="2" width="61" style="1" bestFit="1" customWidth="1"/>
    <col min="3" max="3" width="2.7109375" style="1" customWidth="1"/>
    <col min="4" max="14" width="14.7109375" style="1"/>
    <col min="15" max="16" width="14.7109375" style="18"/>
    <col min="17" max="22" width="14.7109375" style="1"/>
    <col min="23" max="23" width="17.42578125" style="1" bestFit="1" customWidth="1"/>
    <col min="24" max="16384" width="14.7109375" style="1"/>
  </cols>
  <sheetData>
    <row r="2" spans="2:23" ht="15" customHeight="1" x14ac:dyDescent="0.25">
      <c r="B2" s="8" t="s">
        <v>0</v>
      </c>
    </row>
    <row r="3" spans="2:23" ht="15" customHeight="1" x14ac:dyDescent="0.2">
      <c r="B3" s="1" t="s">
        <v>1</v>
      </c>
    </row>
    <row r="5" spans="2:23" s="29" customFormat="1" ht="15" customHeight="1" x14ac:dyDescent="0.2">
      <c r="D5" s="30">
        <v>42735</v>
      </c>
      <c r="E5" s="30">
        <v>43100</v>
      </c>
      <c r="F5" s="30">
        <v>43281</v>
      </c>
      <c r="G5" s="30">
        <v>43373</v>
      </c>
      <c r="H5" s="30">
        <v>43465</v>
      </c>
      <c r="I5" s="30">
        <v>43555</v>
      </c>
      <c r="J5" s="30">
        <v>43646</v>
      </c>
      <c r="K5" s="30">
        <v>43738</v>
      </c>
      <c r="L5" s="30">
        <v>43830</v>
      </c>
      <c r="M5" s="30">
        <v>43921</v>
      </c>
      <c r="N5" s="30">
        <v>44012</v>
      </c>
      <c r="O5" s="31">
        <v>44104</v>
      </c>
      <c r="P5" s="31">
        <v>44196</v>
      </c>
      <c r="Q5" s="30">
        <v>44286</v>
      </c>
      <c r="R5" s="30">
        <v>44377</v>
      </c>
      <c r="S5" s="30">
        <v>44469</v>
      </c>
      <c r="T5" s="30">
        <v>44561</v>
      </c>
      <c r="U5" s="30">
        <v>44651</v>
      </c>
      <c r="V5" s="30" t="s">
        <v>229</v>
      </c>
      <c r="W5" s="30" t="s">
        <v>252</v>
      </c>
    </row>
    <row r="6" spans="2:23" ht="15" customHeight="1" x14ac:dyDescent="0.2">
      <c r="B6" s="7" t="s">
        <v>2</v>
      </c>
    </row>
    <row r="7" spans="2:23" ht="15" customHeight="1" x14ac:dyDescent="0.2">
      <c r="B7" s="7" t="s">
        <v>3</v>
      </c>
    </row>
    <row r="8" spans="2:23" ht="15" customHeight="1" x14ac:dyDescent="0.2">
      <c r="B8" s="1" t="s">
        <v>4</v>
      </c>
      <c r="D8" s="2">
        <v>4358</v>
      </c>
      <c r="E8" s="2">
        <v>834</v>
      </c>
      <c r="F8" s="2">
        <v>5644</v>
      </c>
      <c r="G8" s="2">
        <v>849455</v>
      </c>
      <c r="H8" s="2">
        <v>12301</v>
      </c>
      <c r="I8" s="2">
        <v>4357</v>
      </c>
      <c r="J8" s="2">
        <v>8530</v>
      </c>
      <c r="K8" s="2">
        <v>2568</v>
      </c>
      <c r="L8" s="2">
        <v>48900</v>
      </c>
      <c r="M8" s="2">
        <v>72991</v>
      </c>
      <c r="N8" s="2">
        <v>188894</v>
      </c>
      <c r="O8" s="22">
        <v>526844</v>
      </c>
      <c r="P8" s="22">
        <v>424410</v>
      </c>
      <c r="Q8" s="22">
        <v>360356</v>
      </c>
      <c r="R8" s="22">
        <v>314692</v>
      </c>
      <c r="S8" s="22">
        <v>1322334</v>
      </c>
      <c r="T8" s="22">
        <v>211143</v>
      </c>
      <c r="U8" s="22">
        <v>209304</v>
      </c>
      <c r="V8" s="22">
        <v>375753</v>
      </c>
      <c r="W8" s="22">
        <v>314015</v>
      </c>
    </row>
    <row r="9" spans="2:23" ht="15" customHeight="1" x14ac:dyDescent="0.2">
      <c r="B9" s="1" t="s">
        <v>5</v>
      </c>
      <c r="D9" s="2">
        <v>65615</v>
      </c>
      <c r="E9" s="2">
        <v>83009</v>
      </c>
      <c r="F9" s="2">
        <v>49516</v>
      </c>
      <c r="G9" s="2">
        <v>54339</v>
      </c>
      <c r="H9" s="2">
        <v>806789</v>
      </c>
      <c r="I9" s="2">
        <v>832956</v>
      </c>
      <c r="J9" s="2">
        <v>869141</v>
      </c>
      <c r="K9" s="2">
        <v>894938</v>
      </c>
      <c r="L9" s="2">
        <v>574804</v>
      </c>
      <c r="M9" s="2">
        <v>759944</v>
      </c>
      <c r="N9" s="2">
        <v>702761</v>
      </c>
      <c r="O9" s="22">
        <v>906671</v>
      </c>
      <c r="P9" s="22">
        <v>712645</v>
      </c>
      <c r="Q9" s="22">
        <v>657348</v>
      </c>
      <c r="R9" s="22">
        <v>550936</v>
      </c>
      <c r="S9" s="22">
        <v>333166</v>
      </c>
      <c r="T9" s="22">
        <v>973294</v>
      </c>
      <c r="U9" s="22">
        <v>748329</v>
      </c>
      <c r="V9" s="22">
        <v>378134</v>
      </c>
      <c r="W9" s="22">
        <v>661465</v>
      </c>
    </row>
    <row r="10" spans="2:23" ht="15" customHeight="1" x14ac:dyDescent="0.2">
      <c r="B10" s="1" t="s">
        <v>6</v>
      </c>
      <c r="D10" s="2">
        <v>65240</v>
      </c>
      <c r="E10" s="2">
        <v>94936</v>
      </c>
      <c r="F10" s="2">
        <v>82955</v>
      </c>
      <c r="G10" s="2">
        <v>57046</v>
      </c>
      <c r="H10" s="2">
        <v>136611</v>
      </c>
      <c r="I10" s="2">
        <v>151159</v>
      </c>
      <c r="J10" s="2">
        <v>142943</v>
      </c>
      <c r="K10" s="2">
        <v>87461</v>
      </c>
      <c r="L10" s="2">
        <v>329428</v>
      </c>
      <c r="M10" s="2">
        <v>343973</v>
      </c>
      <c r="N10" s="2">
        <v>298407</v>
      </c>
      <c r="O10" s="22">
        <v>260576</v>
      </c>
      <c r="P10" s="22">
        <v>415282</v>
      </c>
      <c r="Q10" s="22">
        <v>522522</v>
      </c>
      <c r="R10" s="22">
        <v>406408</v>
      </c>
      <c r="S10" s="22">
        <v>305149</v>
      </c>
      <c r="T10" s="22">
        <v>593263</v>
      </c>
      <c r="U10" s="22">
        <v>806201</v>
      </c>
      <c r="V10" s="22">
        <v>607826</v>
      </c>
      <c r="W10" s="22">
        <v>433491</v>
      </c>
    </row>
    <row r="11" spans="2:23" ht="15" customHeight="1" x14ac:dyDescent="0.2">
      <c r="B11" s="1" t="s">
        <v>7</v>
      </c>
      <c r="D11" s="2">
        <v>12550</v>
      </c>
      <c r="E11" s="2">
        <v>18820</v>
      </c>
      <c r="F11" s="2">
        <v>16525</v>
      </c>
      <c r="G11" s="2">
        <v>21482</v>
      </c>
      <c r="H11" s="2">
        <v>15131</v>
      </c>
      <c r="I11" s="2">
        <v>13768</v>
      </c>
      <c r="J11" s="2">
        <v>14598</v>
      </c>
      <c r="K11" s="2">
        <v>25175</v>
      </c>
      <c r="L11" s="2">
        <v>40106</v>
      </c>
      <c r="M11" s="2">
        <v>41120</v>
      </c>
      <c r="N11" s="2">
        <v>47175</v>
      </c>
      <c r="O11" s="22">
        <v>52714</v>
      </c>
      <c r="P11" s="22">
        <v>74076</v>
      </c>
      <c r="Q11" s="22">
        <v>69230</v>
      </c>
      <c r="R11" s="22">
        <v>86410</v>
      </c>
      <c r="S11" s="22">
        <v>99692</v>
      </c>
      <c r="T11" s="22">
        <v>158582</v>
      </c>
      <c r="U11" s="22">
        <v>158220</v>
      </c>
      <c r="V11" s="22">
        <v>174021</v>
      </c>
      <c r="W11" s="22">
        <v>231470</v>
      </c>
    </row>
    <row r="12" spans="2:23" ht="15" customHeight="1" x14ac:dyDescent="0.2">
      <c r="B12" s="1" t="s">
        <v>104</v>
      </c>
      <c r="D12" s="2">
        <v>3155</v>
      </c>
      <c r="E12" s="2">
        <v>5112</v>
      </c>
      <c r="F12" s="2">
        <v>8003</v>
      </c>
      <c r="G12" s="2">
        <v>11171</v>
      </c>
      <c r="H12" s="2">
        <v>11227</v>
      </c>
      <c r="I12" s="2">
        <v>16770</v>
      </c>
      <c r="J12" s="2">
        <v>20690</v>
      </c>
      <c r="K12" s="2">
        <v>28471</v>
      </c>
      <c r="L12" s="2">
        <v>15612</v>
      </c>
      <c r="M12" s="2">
        <v>23382</v>
      </c>
      <c r="N12" s="2">
        <v>29175</v>
      </c>
      <c r="O12" s="22">
        <v>27688</v>
      </c>
      <c r="P12" s="22">
        <v>19304</v>
      </c>
      <c r="Q12" s="22">
        <v>22113</v>
      </c>
      <c r="R12" s="22">
        <v>20377</v>
      </c>
      <c r="S12" s="22">
        <v>44591</v>
      </c>
      <c r="T12" s="22">
        <v>38811</v>
      </c>
      <c r="U12" s="22">
        <v>37409</v>
      </c>
      <c r="V12" s="22">
        <v>39055</v>
      </c>
      <c r="W12" s="22">
        <v>65069</v>
      </c>
    </row>
    <row r="13" spans="2:23" ht="15" customHeight="1" x14ac:dyDescent="0.2">
      <c r="B13" s="1" t="s">
        <v>205</v>
      </c>
      <c r="D13" s="2">
        <v>4542</v>
      </c>
      <c r="E13" s="2">
        <v>0</v>
      </c>
      <c r="F13" s="2">
        <v>0</v>
      </c>
      <c r="G13" s="2">
        <v>0</v>
      </c>
      <c r="H13" s="2">
        <v>0</v>
      </c>
      <c r="I13" s="2">
        <v>0</v>
      </c>
      <c r="J13" s="2">
        <v>0</v>
      </c>
      <c r="K13" s="2">
        <v>2004</v>
      </c>
      <c r="L13" s="2">
        <v>3794</v>
      </c>
      <c r="M13" s="2">
        <v>3957</v>
      </c>
      <c r="N13" s="2">
        <v>0</v>
      </c>
      <c r="O13" s="22">
        <v>0</v>
      </c>
      <c r="P13" s="22">
        <v>0</v>
      </c>
      <c r="Q13" s="22">
        <v>0</v>
      </c>
      <c r="R13" s="22">
        <v>0</v>
      </c>
      <c r="S13" s="22">
        <v>0</v>
      </c>
      <c r="T13" s="22">
        <v>301</v>
      </c>
      <c r="U13" s="22">
        <v>0</v>
      </c>
      <c r="V13" s="22">
        <v>0</v>
      </c>
      <c r="W13" s="22">
        <v>0</v>
      </c>
    </row>
    <row r="14" spans="2:23" ht="15" customHeight="1" x14ac:dyDescent="0.2">
      <c r="B14" s="1" t="s">
        <v>119</v>
      </c>
      <c r="D14" s="2">
        <v>2501</v>
      </c>
      <c r="E14" s="2">
        <v>0</v>
      </c>
      <c r="F14" s="2">
        <v>0</v>
      </c>
      <c r="G14" s="2">
        <v>0</v>
      </c>
      <c r="H14" s="2">
        <v>0</v>
      </c>
      <c r="I14" s="2">
        <v>0</v>
      </c>
      <c r="J14" s="2">
        <v>0</v>
      </c>
      <c r="K14" s="2">
        <v>0</v>
      </c>
      <c r="L14" s="2">
        <v>0</v>
      </c>
      <c r="M14" s="2">
        <v>0</v>
      </c>
      <c r="N14" s="2">
        <v>0</v>
      </c>
      <c r="O14" s="22">
        <v>0</v>
      </c>
      <c r="P14" s="22">
        <v>0</v>
      </c>
      <c r="Q14" s="22">
        <v>0</v>
      </c>
      <c r="R14" s="22">
        <v>0</v>
      </c>
      <c r="S14" s="22">
        <v>0</v>
      </c>
      <c r="T14" s="22">
        <v>0</v>
      </c>
      <c r="U14" s="22">
        <v>0</v>
      </c>
      <c r="V14" s="22">
        <v>0</v>
      </c>
      <c r="W14" s="22">
        <v>0</v>
      </c>
    </row>
    <row r="15" spans="2:23" ht="15" customHeight="1" x14ac:dyDescent="0.2">
      <c r="B15" s="1" t="s">
        <v>89</v>
      </c>
      <c r="D15" s="2">
        <v>0</v>
      </c>
      <c r="E15" s="2">
        <v>0</v>
      </c>
      <c r="F15" s="2">
        <v>0</v>
      </c>
      <c r="G15" s="2">
        <v>0</v>
      </c>
      <c r="H15" s="2">
        <v>0</v>
      </c>
      <c r="I15" s="2">
        <v>0</v>
      </c>
      <c r="J15" s="2">
        <v>0</v>
      </c>
      <c r="K15" s="2">
        <v>1282</v>
      </c>
      <c r="L15" s="2">
        <v>1298</v>
      </c>
      <c r="M15" s="2">
        <v>1311</v>
      </c>
      <c r="N15" s="2">
        <v>1321</v>
      </c>
      <c r="O15" s="22">
        <v>0</v>
      </c>
      <c r="P15" s="22">
        <v>9970</v>
      </c>
      <c r="Q15" s="22">
        <v>3838</v>
      </c>
      <c r="R15" s="22">
        <v>4421</v>
      </c>
      <c r="S15" s="22">
        <v>4481</v>
      </c>
      <c r="T15" s="22">
        <v>4571</v>
      </c>
      <c r="U15" s="22">
        <v>4693</v>
      </c>
      <c r="V15" s="22">
        <v>0</v>
      </c>
      <c r="W15" s="22">
        <v>3838</v>
      </c>
    </row>
    <row r="16" spans="2:23" ht="15" customHeight="1" x14ac:dyDescent="0.2">
      <c r="B16" s="1" t="s">
        <v>9</v>
      </c>
      <c r="D16" s="3">
        <v>4059</v>
      </c>
      <c r="E16" s="3">
        <v>7329</v>
      </c>
      <c r="F16" s="3">
        <v>15592</v>
      </c>
      <c r="G16" s="3">
        <v>9679</v>
      </c>
      <c r="H16" s="3">
        <v>6091</v>
      </c>
      <c r="I16" s="3">
        <v>4665</v>
      </c>
      <c r="J16" s="3">
        <v>12838</v>
      </c>
      <c r="K16" s="3">
        <v>9228</v>
      </c>
      <c r="L16" s="3">
        <v>14630</v>
      </c>
      <c r="M16" s="3">
        <v>31286</v>
      </c>
      <c r="N16" s="3">
        <v>32207</v>
      </c>
      <c r="O16" s="23">
        <v>20089</v>
      </c>
      <c r="P16" s="23">
        <v>24073</v>
      </c>
      <c r="Q16" s="23">
        <v>30581</v>
      </c>
      <c r="R16" s="23">
        <v>35363</v>
      </c>
      <c r="S16" s="23">
        <v>35622</v>
      </c>
      <c r="T16" s="23">
        <v>66962</v>
      </c>
      <c r="U16" s="23">
        <v>76474</v>
      </c>
      <c r="V16" s="23">
        <v>95378</v>
      </c>
      <c r="W16" s="23">
        <v>87948</v>
      </c>
    </row>
    <row r="17" spans="2:23" ht="15" customHeight="1" x14ac:dyDescent="0.2">
      <c r="B17" s="1" t="s">
        <v>90</v>
      </c>
      <c r="D17" s="3">
        <f t="shared" ref="D17:K17" si="0">SUM(D8:D16)</f>
        <v>162020</v>
      </c>
      <c r="E17" s="3">
        <f t="shared" si="0"/>
        <v>210040</v>
      </c>
      <c r="F17" s="3">
        <f t="shared" si="0"/>
        <v>178235</v>
      </c>
      <c r="G17" s="3">
        <f t="shared" si="0"/>
        <v>1003172</v>
      </c>
      <c r="H17" s="3">
        <f t="shared" si="0"/>
        <v>988150</v>
      </c>
      <c r="I17" s="3">
        <f t="shared" si="0"/>
        <v>1023675</v>
      </c>
      <c r="J17" s="3">
        <f t="shared" si="0"/>
        <v>1068740</v>
      </c>
      <c r="K17" s="3">
        <f t="shared" si="0"/>
        <v>1051127</v>
      </c>
      <c r="L17" s="3">
        <f t="shared" ref="L17:S17" si="1">SUM(L8:L16)</f>
        <v>1028572</v>
      </c>
      <c r="M17" s="3">
        <f t="shared" si="1"/>
        <v>1277964</v>
      </c>
      <c r="N17" s="3">
        <f t="shared" si="1"/>
        <v>1299940</v>
      </c>
      <c r="O17" s="23">
        <f t="shared" si="1"/>
        <v>1794582</v>
      </c>
      <c r="P17" s="23">
        <f t="shared" si="1"/>
        <v>1679760</v>
      </c>
      <c r="Q17" s="23">
        <f t="shared" si="1"/>
        <v>1665988</v>
      </c>
      <c r="R17" s="23">
        <f t="shared" si="1"/>
        <v>1418607</v>
      </c>
      <c r="S17" s="23">
        <f t="shared" si="1"/>
        <v>2145035</v>
      </c>
      <c r="T17" s="23">
        <f>SUM(T8:T16)</f>
        <v>2046927</v>
      </c>
      <c r="U17" s="23">
        <f>SUM(U8:U16)</f>
        <v>2040630</v>
      </c>
      <c r="V17" s="23">
        <f>SUM(V8:V16)</f>
        <v>1670167</v>
      </c>
      <c r="W17" s="23">
        <f>SUM(W8:W16)</f>
        <v>1797296</v>
      </c>
    </row>
    <row r="18" spans="2:23" ht="15" customHeight="1" x14ac:dyDescent="0.2">
      <c r="D18" s="4"/>
      <c r="E18" s="4"/>
      <c r="F18" s="4"/>
      <c r="G18" s="4"/>
      <c r="H18" s="4"/>
      <c r="I18" s="4"/>
      <c r="J18" s="4"/>
      <c r="K18" s="4"/>
      <c r="L18" s="4"/>
      <c r="M18" s="4"/>
      <c r="N18" s="4"/>
      <c r="O18" s="24"/>
      <c r="P18" s="24"/>
      <c r="Q18" s="24"/>
      <c r="R18" s="24"/>
      <c r="S18" s="24"/>
      <c r="T18" s="24"/>
      <c r="U18" s="24"/>
      <c r="V18" s="24"/>
      <c r="W18" s="24"/>
    </row>
    <row r="19" spans="2:23" ht="15" customHeight="1" x14ac:dyDescent="0.2">
      <c r="B19" s="7" t="s">
        <v>10</v>
      </c>
      <c r="D19" s="2"/>
      <c r="E19" s="2"/>
      <c r="F19" s="2"/>
      <c r="G19" s="2"/>
      <c r="H19" s="2"/>
      <c r="I19" s="2"/>
      <c r="J19" s="2"/>
      <c r="K19" s="2"/>
      <c r="L19" s="2"/>
      <c r="M19" s="2"/>
      <c r="N19" s="2"/>
      <c r="O19" s="22"/>
      <c r="P19" s="22"/>
      <c r="Q19" s="22"/>
      <c r="R19" s="22"/>
      <c r="S19" s="22"/>
      <c r="T19" s="22"/>
      <c r="U19" s="22"/>
      <c r="V19" s="22"/>
      <c r="W19" s="22"/>
    </row>
    <row r="20" spans="2:23" ht="15" customHeight="1" x14ac:dyDescent="0.2">
      <c r="B20" s="1" t="s">
        <v>11</v>
      </c>
      <c r="D20" s="2">
        <v>3719</v>
      </c>
      <c r="E20" s="2">
        <v>5860</v>
      </c>
      <c r="F20" s="2">
        <v>7758</v>
      </c>
      <c r="G20" s="2">
        <v>53548</v>
      </c>
      <c r="H20" s="2">
        <v>99460</v>
      </c>
      <c r="I20" s="2">
        <v>112647</v>
      </c>
      <c r="J20" s="2">
        <v>133419</v>
      </c>
      <c r="K20" s="2">
        <v>178163</v>
      </c>
      <c r="L20" s="2">
        <v>156748</v>
      </c>
      <c r="M20" s="2">
        <v>182327</v>
      </c>
      <c r="N20" s="2">
        <v>198377</v>
      </c>
      <c r="O20" s="22">
        <v>223784</v>
      </c>
      <c r="P20" s="22">
        <v>236903</v>
      </c>
      <c r="Q20" s="22">
        <v>243656</v>
      </c>
      <c r="R20" s="22">
        <v>269015</v>
      </c>
      <c r="S20" s="22">
        <v>322305</v>
      </c>
      <c r="T20" s="22">
        <v>321223</v>
      </c>
      <c r="U20" s="22">
        <v>336839</v>
      </c>
      <c r="V20" s="22">
        <v>327574</v>
      </c>
      <c r="W20" s="22">
        <v>367340</v>
      </c>
    </row>
    <row r="21" spans="2:23" ht="15" customHeight="1" x14ac:dyDescent="0.2">
      <c r="B21" s="1" t="s">
        <v>104</v>
      </c>
      <c r="D21" s="2">
        <v>2295</v>
      </c>
      <c r="E21" s="2">
        <v>3288</v>
      </c>
      <c r="F21" s="2">
        <v>1587</v>
      </c>
      <c r="G21" s="2">
        <v>3080</v>
      </c>
      <c r="H21" s="2">
        <v>1033</v>
      </c>
      <c r="I21" s="2">
        <v>1033</v>
      </c>
      <c r="J21" s="2">
        <v>1033</v>
      </c>
      <c r="K21" s="2">
        <v>946</v>
      </c>
      <c r="L21" s="2">
        <v>6613</v>
      </c>
      <c r="M21" s="2">
        <v>6483</v>
      </c>
      <c r="N21" s="2">
        <v>9531</v>
      </c>
      <c r="O21" s="22">
        <v>9528</v>
      </c>
      <c r="P21" s="22">
        <v>1121</v>
      </c>
      <c r="Q21" s="22">
        <v>1121</v>
      </c>
      <c r="R21" s="22">
        <v>1122</v>
      </c>
      <c r="S21" s="22">
        <v>1122</v>
      </c>
      <c r="T21" s="22">
        <v>22216</v>
      </c>
      <c r="U21" s="22">
        <v>22216</v>
      </c>
      <c r="V21" s="22">
        <v>22216</v>
      </c>
      <c r="W21" s="22">
        <v>12657</v>
      </c>
    </row>
    <row r="22" spans="2:23" ht="15" customHeight="1" x14ac:dyDescent="0.2">
      <c r="B22" s="1" t="s">
        <v>5</v>
      </c>
      <c r="D22" s="2">
        <v>232</v>
      </c>
      <c r="E22" s="2">
        <v>199</v>
      </c>
      <c r="F22" s="2">
        <v>222</v>
      </c>
      <c r="G22" s="2">
        <v>347</v>
      </c>
      <c r="H22" s="2">
        <v>4370</v>
      </c>
      <c r="I22" s="2">
        <v>4421</v>
      </c>
      <c r="J22" s="2">
        <v>4473</v>
      </c>
      <c r="K22" s="2">
        <v>4579</v>
      </c>
      <c r="L22" s="2">
        <v>4690</v>
      </c>
      <c r="M22" s="2">
        <v>4765</v>
      </c>
      <c r="N22" s="2">
        <v>4791</v>
      </c>
      <c r="O22" s="22">
        <v>4820</v>
      </c>
      <c r="P22" s="22">
        <v>10349</v>
      </c>
      <c r="Q22" s="22">
        <v>14294</v>
      </c>
      <c r="R22" s="22">
        <v>27618</v>
      </c>
      <c r="S22" s="22">
        <v>38434</v>
      </c>
      <c r="T22" s="22">
        <v>40762</v>
      </c>
      <c r="U22" s="22">
        <v>27582</v>
      </c>
      <c r="V22" s="22">
        <v>33382</v>
      </c>
      <c r="W22" s="22">
        <v>39057</v>
      </c>
    </row>
    <row r="23" spans="2:23" ht="15" customHeight="1" x14ac:dyDescent="0.2">
      <c r="B23" s="1" t="s">
        <v>205</v>
      </c>
      <c r="D23" s="2">
        <v>16068</v>
      </c>
      <c r="E23" s="2">
        <v>12511</v>
      </c>
      <c r="F23" s="2">
        <v>14293</v>
      </c>
      <c r="G23" s="2">
        <v>15629</v>
      </c>
      <c r="H23" s="2">
        <v>26630</v>
      </c>
      <c r="I23" s="2">
        <v>21261</v>
      </c>
      <c r="J23" s="2">
        <v>21261</v>
      </c>
      <c r="K23" s="2">
        <v>21374</v>
      </c>
      <c r="L23" s="2">
        <v>32152</v>
      </c>
      <c r="M23" s="2">
        <v>27893</v>
      </c>
      <c r="N23" s="2">
        <v>32311</v>
      </c>
      <c r="O23" s="22">
        <v>27887</v>
      </c>
      <c r="P23" s="22">
        <v>0</v>
      </c>
      <c r="Q23" s="22">
        <v>0</v>
      </c>
      <c r="R23" s="22">
        <v>0</v>
      </c>
      <c r="S23" s="22">
        <v>0</v>
      </c>
      <c r="T23" s="22">
        <v>560</v>
      </c>
      <c r="U23" s="22">
        <v>0</v>
      </c>
      <c r="V23" s="22">
        <v>0</v>
      </c>
      <c r="W23" s="22">
        <v>0</v>
      </c>
    </row>
    <row r="24" spans="2:23" ht="15" customHeight="1" x14ac:dyDescent="0.2">
      <c r="B24" s="1" t="s">
        <v>89</v>
      </c>
      <c r="D24" s="2">
        <v>0</v>
      </c>
      <c r="E24" s="2">
        <v>0</v>
      </c>
      <c r="F24" s="2">
        <v>0</v>
      </c>
      <c r="G24" s="2">
        <v>0</v>
      </c>
      <c r="H24" s="2">
        <v>1226</v>
      </c>
      <c r="I24" s="2">
        <v>15378</v>
      </c>
      <c r="J24" s="2">
        <v>15631</v>
      </c>
      <c r="K24" s="2">
        <v>14613</v>
      </c>
      <c r="L24" s="2">
        <v>14813</v>
      </c>
      <c r="M24" s="2">
        <v>14980</v>
      </c>
      <c r="N24" s="2">
        <v>15106</v>
      </c>
      <c r="O24" s="22">
        <v>15186</v>
      </c>
      <c r="P24" s="22">
        <v>10508</v>
      </c>
      <c r="Q24" s="22">
        <v>11731</v>
      </c>
      <c r="R24" s="22">
        <v>6554</v>
      </c>
      <c r="S24" s="22">
        <v>6733</v>
      </c>
      <c r="T24" s="22">
        <v>6819</v>
      </c>
      <c r="U24" s="22">
        <v>6929</v>
      </c>
      <c r="V24" s="22">
        <v>3722</v>
      </c>
      <c r="W24" s="22">
        <v>0</v>
      </c>
    </row>
    <row r="25" spans="2:23" ht="15" customHeight="1" x14ac:dyDescent="0.2">
      <c r="B25" s="1" t="s">
        <v>9</v>
      </c>
      <c r="D25" s="2">
        <v>798</v>
      </c>
      <c r="E25" s="2">
        <v>1295</v>
      </c>
      <c r="F25" s="2">
        <v>1588</v>
      </c>
      <c r="G25" s="2">
        <v>1667</v>
      </c>
      <c r="H25" s="2">
        <v>1060</v>
      </c>
      <c r="I25" s="2">
        <v>4812</v>
      </c>
      <c r="J25" s="2">
        <v>6027</v>
      </c>
      <c r="K25" s="2">
        <v>8466</v>
      </c>
      <c r="L25" s="2">
        <v>14399</v>
      </c>
      <c r="M25" s="2">
        <v>14915</v>
      </c>
      <c r="N25" s="2">
        <v>16136</v>
      </c>
      <c r="O25" s="22">
        <v>17164</v>
      </c>
      <c r="P25" s="22">
        <v>22239</v>
      </c>
      <c r="Q25" s="22">
        <v>25280</v>
      </c>
      <c r="R25" s="22">
        <v>31044</v>
      </c>
      <c r="S25" s="22">
        <v>41365</v>
      </c>
      <c r="T25" s="22">
        <v>57534</v>
      </c>
      <c r="U25" s="22">
        <v>56503</v>
      </c>
      <c r="V25" s="22">
        <v>69835</v>
      </c>
      <c r="W25" s="22">
        <v>73916</v>
      </c>
    </row>
    <row r="26" spans="2:23" ht="15" customHeight="1" x14ac:dyDescent="0.2">
      <c r="B26" s="1" t="s">
        <v>12</v>
      </c>
      <c r="D26" s="2">
        <v>45774</v>
      </c>
      <c r="E26" s="2">
        <v>12654</v>
      </c>
      <c r="F26" s="2">
        <v>12360</v>
      </c>
      <c r="G26" s="2">
        <v>12105</v>
      </c>
      <c r="H26" s="2">
        <v>11862</v>
      </c>
      <c r="I26" s="2">
        <v>11370</v>
      </c>
      <c r="J26" s="2">
        <v>58113</v>
      </c>
      <c r="K26" s="2">
        <v>58505</v>
      </c>
      <c r="L26" s="2">
        <v>48574</v>
      </c>
      <c r="M26" s="2">
        <v>60543</v>
      </c>
      <c r="N26" s="2">
        <v>57250</v>
      </c>
      <c r="O26" s="22">
        <v>70252</v>
      </c>
      <c r="P26" s="22">
        <v>9654</v>
      </c>
      <c r="Q26" s="22">
        <v>33638</v>
      </c>
      <c r="R26" s="22">
        <v>80248</v>
      </c>
      <c r="S26" s="22">
        <v>128202</v>
      </c>
      <c r="T26" s="22">
        <v>126873</v>
      </c>
      <c r="U26" s="22">
        <v>137655</v>
      </c>
      <c r="V26" s="22">
        <v>126116</v>
      </c>
      <c r="W26" s="22">
        <v>121787</v>
      </c>
    </row>
    <row r="27" spans="2:23" ht="15" customHeight="1" x14ac:dyDescent="0.2">
      <c r="B27" s="1" t="s">
        <v>13</v>
      </c>
      <c r="D27" s="2">
        <v>5699</v>
      </c>
      <c r="E27" s="2">
        <v>9079</v>
      </c>
      <c r="F27" s="2">
        <v>9953</v>
      </c>
      <c r="G27" s="2">
        <v>11245</v>
      </c>
      <c r="H27" s="2">
        <v>13347</v>
      </c>
      <c r="I27" s="2">
        <v>13738</v>
      </c>
      <c r="J27" s="2">
        <v>15959</v>
      </c>
      <c r="K27" s="2">
        <v>16726</v>
      </c>
      <c r="L27" s="2">
        <v>21328</v>
      </c>
      <c r="M27" s="2">
        <v>22169</v>
      </c>
      <c r="N27" s="2">
        <v>22082</v>
      </c>
      <c r="O27" s="22">
        <v>21988</v>
      </c>
      <c r="P27" s="22">
        <v>26087</v>
      </c>
      <c r="Q27" s="22">
        <v>26481</v>
      </c>
      <c r="R27" s="22">
        <v>26222</v>
      </c>
      <c r="S27" s="22">
        <v>27335</v>
      </c>
      <c r="T27" s="22">
        <v>73885</v>
      </c>
      <c r="U27" s="22">
        <v>73565</v>
      </c>
      <c r="V27" s="22">
        <v>67932</v>
      </c>
      <c r="W27" s="22">
        <v>64558</v>
      </c>
    </row>
    <row r="28" spans="2:23" ht="15" customHeight="1" x14ac:dyDescent="0.2">
      <c r="B28" s="1" t="s">
        <v>14</v>
      </c>
      <c r="D28" s="2">
        <v>0</v>
      </c>
      <c r="E28" s="2">
        <v>0</v>
      </c>
      <c r="F28" s="2">
        <v>0</v>
      </c>
      <c r="G28" s="2">
        <v>0</v>
      </c>
      <c r="H28" s="2">
        <v>0</v>
      </c>
      <c r="I28" s="2">
        <v>18403</v>
      </c>
      <c r="J28" s="2">
        <v>17593</v>
      </c>
      <c r="K28" s="2">
        <v>19684</v>
      </c>
      <c r="L28" s="2">
        <v>21631</v>
      </c>
      <c r="M28" s="2">
        <v>20471</v>
      </c>
      <c r="N28" s="2">
        <v>19409</v>
      </c>
      <c r="O28" s="22">
        <v>19351</v>
      </c>
      <c r="P28" s="22">
        <v>30022</v>
      </c>
      <c r="Q28" s="22">
        <v>34773</v>
      </c>
      <c r="R28" s="22">
        <v>39057</v>
      </c>
      <c r="S28" s="22">
        <v>36748</v>
      </c>
      <c r="T28" s="22">
        <v>35960</v>
      </c>
      <c r="U28" s="22">
        <v>31667</v>
      </c>
      <c r="V28" s="22">
        <v>29160</v>
      </c>
      <c r="W28" s="22">
        <v>25229</v>
      </c>
    </row>
    <row r="29" spans="2:23" ht="15" customHeight="1" x14ac:dyDescent="0.2">
      <c r="B29" s="1" t="s">
        <v>15</v>
      </c>
      <c r="D29" s="3">
        <v>86264</v>
      </c>
      <c r="E29" s="3">
        <v>175483</v>
      </c>
      <c r="F29" s="3">
        <v>172638</v>
      </c>
      <c r="G29" s="3">
        <v>173215</v>
      </c>
      <c r="H29" s="3">
        <v>187740</v>
      </c>
      <c r="I29" s="3">
        <v>178339</v>
      </c>
      <c r="J29" s="3">
        <v>157960</v>
      </c>
      <c r="K29" s="3">
        <v>157467</v>
      </c>
      <c r="L29" s="3">
        <v>1811903</v>
      </c>
      <c r="M29" s="3">
        <v>1800352</v>
      </c>
      <c r="N29" s="3">
        <v>1793850</v>
      </c>
      <c r="O29" s="23">
        <v>1830999</v>
      </c>
      <c r="P29" s="23">
        <v>2549637</v>
      </c>
      <c r="Q29" s="23">
        <v>2575577</v>
      </c>
      <c r="R29" s="23">
        <v>2567100</v>
      </c>
      <c r="S29" s="23">
        <v>2541254</v>
      </c>
      <c r="T29" s="23">
        <v>3257360</v>
      </c>
      <c r="U29" s="23">
        <v>3253894</v>
      </c>
      <c r="V29" s="23">
        <v>3237964</v>
      </c>
      <c r="W29" s="23">
        <v>3202214</v>
      </c>
    </row>
    <row r="30" spans="2:23" ht="15" customHeight="1" x14ac:dyDescent="0.2">
      <c r="B30" s="1" t="s">
        <v>91</v>
      </c>
      <c r="D30" s="23">
        <f t="shared" ref="D30:V30" si="2">SUM(D20:D29)</f>
        <v>160849</v>
      </c>
      <c r="E30" s="23">
        <f t="shared" si="2"/>
        <v>220369</v>
      </c>
      <c r="F30" s="23">
        <f t="shared" si="2"/>
        <v>220399</v>
      </c>
      <c r="G30" s="23">
        <f t="shared" si="2"/>
        <v>270836</v>
      </c>
      <c r="H30" s="23">
        <f t="shared" si="2"/>
        <v>346728</v>
      </c>
      <c r="I30" s="23">
        <f t="shared" si="2"/>
        <v>381402</v>
      </c>
      <c r="J30" s="23">
        <f t="shared" si="2"/>
        <v>431469</v>
      </c>
      <c r="K30" s="23">
        <f t="shared" si="2"/>
        <v>480523</v>
      </c>
      <c r="L30" s="23">
        <f t="shared" si="2"/>
        <v>2132851</v>
      </c>
      <c r="M30" s="23">
        <f t="shared" si="2"/>
        <v>2154898</v>
      </c>
      <c r="N30" s="23">
        <f t="shared" si="2"/>
        <v>2168843</v>
      </c>
      <c r="O30" s="23">
        <f t="shared" si="2"/>
        <v>2240959</v>
      </c>
      <c r="P30" s="23">
        <f t="shared" si="2"/>
        <v>2896520</v>
      </c>
      <c r="Q30" s="23">
        <f t="shared" si="2"/>
        <v>2966551</v>
      </c>
      <c r="R30" s="23">
        <f t="shared" si="2"/>
        <v>3047980</v>
      </c>
      <c r="S30" s="23">
        <f t="shared" si="2"/>
        <v>3143498</v>
      </c>
      <c r="T30" s="23">
        <f t="shared" si="2"/>
        <v>3943192</v>
      </c>
      <c r="U30" s="23">
        <f t="shared" si="2"/>
        <v>3946850</v>
      </c>
      <c r="V30" s="23">
        <f t="shared" si="2"/>
        <v>3917901</v>
      </c>
      <c r="W30" s="23">
        <f>SUM(W20:W29)</f>
        <v>3906758</v>
      </c>
    </row>
    <row r="31" spans="2:23" ht="15" customHeight="1" x14ac:dyDescent="0.2">
      <c r="D31" s="2"/>
      <c r="E31" s="2"/>
      <c r="F31" s="2"/>
      <c r="G31" s="2"/>
      <c r="H31" s="2"/>
      <c r="I31" s="2"/>
      <c r="J31" s="2"/>
      <c r="K31" s="2"/>
      <c r="L31" s="2"/>
      <c r="M31" s="2"/>
      <c r="N31" s="2"/>
      <c r="O31" s="22"/>
      <c r="P31" s="22"/>
      <c r="Q31" s="22"/>
      <c r="R31" s="22"/>
      <c r="S31" s="22"/>
      <c r="T31" s="22"/>
      <c r="U31" s="22"/>
      <c r="V31" s="22"/>
      <c r="W31" s="22"/>
    </row>
    <row r="32" spans="2:23" ht="15" customHeight="1" thickBot="1" x14ac:dyDescent="0.25">
      <c r="B32" s="7" t="s">
        <v>16</v>
      </c>
      <c r="D32" s="5">
        <f t="shared" ref="D32:N32" si="3">SUM(D30+D17)</f>
        <v>322869</v>
      </c>
      <c r="E32" s="5">
        <f t="shared" si="3"/>
        <v>430409</v>
      </c>
      <c r="F32" s="5">
        <f t="shared" si="3"/>
        <v>398634</v>
      </c>
      <c r="G32" s="5">
        <f t="shared" si="3"/>
        <v>1274008</v>
      </c>
      <c r="H32" s="5">
        <f t="shared" si="3"/>
        <v>1334878</v>
      </c>
      <c r="I32" s="5">
        <f t="shared" si="3"/>
        <v>1405077</v>
      </c>
      <c r="J32" s="5">
        <f t="shared" si="3"/>
        <v>1500209</v>
      </c>
      <c r="K32" s="5">
        <f t="shared" si="3"/>
        <v>1531650</v>
      </c>
      <c r="L32" s="5">
        <f t="shared" si="3"/>
        <v>3161423</v>
      </c>
      <c r="M32" s="5">
        <f t="shared" si="3"/>
        <v>3432862</v>
      </c>
      <c r="N32" s="5">
        <f t="shared" si="3"/>
        <v>3468783</v>
      </c>
      <c r="O32" s="25">
        <f t="shared" ref="O32:W32" si="4">SUM(O30,O17)</f>
        <v>4035541</v>
      </c>
      <c r="P32" s="25">
        <f t="shared" si="4"/>
        <v>4576280</v>
      </c>
      <c r="Q32" s="25">
        <f t="shared" si="4"/>
        <v>4632539</v>
      </c>
      <c r="R32" s="25">
        <f t="shared" si="4"/>
        <v>4466587</v>
      </c>
      <c r="S32" s="25">
        <f t="shared" si="4"/>
        <v>5288533</v>
      </c>
      <c r="T32" s="25">
        <f t="shared" si="4"/>
        <v>5990119</v>
      </c>
      <c r="U32" s="25">
        <f t="shared" si="4"/>
        <v>5987480</v>
      </c>
      <c r="V32" s="25">
        <f t="shared" si="4"/>
        <v>5588068</v>
      </c>
      <c r="W32" s="25">
        <f t="shared" si="4"/>
        <v>5704054</v>
      </c>
    </row>
    <row r="33" spans="2:23" ht="15" customHeight="1" thickTop="1" x14ac:dyDescent="0.2">
      <c r="D33" s="2"/>
      <c r="E33" s="2"/>
      <c r="F33" s="2"/>
      <c r="G33" s="2"/>
      <c r="H33" s="2"/>
      <c r="I33" s="2"/>
      <c r="J33" s="2"/>
      <c r="K33" s="2"/>
      <c r="L33" s="2"/>
      <c r="M33" s="2"/>
      <c r="N33" s="2"/>
      <c r="O33" s="22"/>
      <c r="P33" s="22"/>
      <c r="Q33" s="22"/>
      <c r="R33" s="22"/>
      <c r="S33" s="22"/>
      <c r="T33" s="22"/>
      <c r="U33" s="22"/>
      <c r="V33" s="22"/>
      <c r="W33" s="22"/>
    </row>
    <row r="34" spans="2:23" ht="15" customHeight="1" x14ac:dyDescent="0.2">
      <c r="B34" s="7" t="s">
        <v>17</v>
      </c>
      <c r="D34" s="2"/>
      <c r="E34" s="2"/>
      <c r="F34" s="2"/>
      <c r="G34" s="2"/>
      <c r="H34" s="2"/>
      <c r="I34" s="2"/>
      <c r="J34" s="2"/>
      <c r="K34" s="2"/>
      <c r="L34" s="2"/>
      <c r="M34" s="2"/>
      <c r="N34" s="2"/>
      <c r="O34" s="22"/>
      <c r="P34" s="22"/>
      <c r="Q34" s="22"/>
      <c r="R34" s="22"/>
      <c r="S34" s="22"/>
      <c r="T34" s="22"/>
      <c r="U34" s="22"/>
      <c r="V34" s="22"/>
      <c r="W34" s="22"/>
    </row>
    <row r="35" spans="2:23" ht="15" customHeight="1" x14ac:dyDescent="0.2">
      <c r="B35" s="7" t="s">
        <v>3</v>
      </c>
      <c r="D35" s="2"/>
      <c r="E35" s="2"/>
      <c r="F35" s="2"/>
      <c r="G35" s="2"/>
      <c r="H35" s="2"/>
      <c r="I35" s="2"/>
      <c r="J35" s="2"/>
      <c r="K35" s="2"/>
      <c r="L35" s="2"/>
      <c r="M35" s="2"/>
      <c r="N35" s="2"/>
      <c r="O35" s="22"/>
      <c r="P35" s="22"/>
      <c r="Q35" s="22"/>
      <c r="R35" s="22"/>
      <c r="S35" s="22"/>
      <c r="T35" s="22"/>
      <c r="U35" s="22"/>
      <c r="V35" s="22"/>
      <c r="W35" s="22"/>
    </row>
    <row r="36" spans="2:23" s="72" customFormat="1" ht="15" customHeight="1" x14ac:dyDescent="0.2">
      <c r="B36" s="72" t="s">
        <v>18</v>
      </c>
      <c r="D36" s="2">
        <v>3103</v>
      </c>
      <c r="E36" s="2">
        <v>3918</v>
      </c>
      <c r="F36" s="2">
        <v>5492</v>
      </c>
      <c r="G36" s="2">
        <v>18203</v>
      </c>
      <c r="H36" s="2">
        <v>14845</v>
      </c>
      <c r="I36" s="2">
        <v>13970</v>
      </c>
      <c r="J36" s="2">
        <v>13991</v>
      </c>
      <c r="K36" s="2">
        <v>21824</v>
      </c>
      <c r="L36" s="2">
        <v>34521</v>
      </c>
      <c r="M36" s="2">
        <v>47159</v>
      </c>
      <c r="N36" s="2">
        <v>30806</v>
      </c>
      <c r="O36" s="2">
        <v>30799</v>
      </c>
      <c r="P36" s="2">
        <v>40925</v>
      </c>
      <c r="Q36" s="2">
        <v>53657</v>
      </c>
      <c r="R36" s="2">
        <v>48764</v>
      </c>
      <c r="S36" s="2">
        <v>70674</v>
      </c>
      <c r="T36" s="2">
        <v>103292</v>
      </c>
      <c r="U36" s="2">
        <v>132747</v>
      </c>
      <c r="V36" s="2">
        <v>154929</v>
      </c>
      <c r="W36" s="2">
        <v>152336</v>
      </c>
    </row>
    <row r="37" spans="2:23" s="72" customFormat="1" ht="15" customHeight="1" x14ac:dyDescent="0.2">
      <c r="B37" s="72" t="s">
        <v>19</v>
      </c>
      <c r="D37" s="2">
        <v>4942</v>
      </c>
      <c r="E37" s="2">
        <v>8719</v>
      </c>
      <c r="F37" s="2">
        <v>12476</v>
      </c>
      <c r="G37" s="2">
        <v>14048</v>
      </c>
      <c r="H37" s="2">
        <v>15888</v>
      </c>
      <c r="I37" s="2">
        <v>20513</v>
      </c>
      <c r="J37" s="2">
        <v>31786</v>
      </c>
      <c r="K37" s="2">
        <v>52183</v>
      </c>
      <c r="L37" s="2">
        <v>68511</v>
      </c>
      <c r="M37" s="2">
        <v>66716</v>
      </c>
      <c r="N37" s="2">
        <v>89645</v>
      </c>
      <c r="O37" s="2">
        <v>115146</v>
      </c>
      <c r="P37" s="2">
        <v>85069</v>
      </c>
      <c r="Q37" s="2">
        <v>87102</v>
      </c>
      <c r="R37" s="2">
        <v>96711</v>
      </c>
      <c r="S37" s="2">
        <v>167783</v>
      </c>
      <c r="T37" s="2">
        <v>157601</v>
      </c>
      <c r="U37" s="2">
        <v>171427</v>
      </c>
      <c r="V37" s="2">
        <v>104422</v>
      </c>
      <c r="W37" s="2">
        <v>108087</v>
      </c>
    </row>
    <row r="38" spans="2:23" s="72" customFormat="1" ht="15" customHeight="1" x14ac:dyDescent="0.2">
      <c r="B38" s="72" t="s">
        <v>20</v>
      </c>
      <c r="D38" s="2">
        <v>407</v>
      </c>
      <c r="E38" s="2">
        <v>1079</v>
      </c>
      <c r="F38" s="2">
        <v>1718</v>
      </c>
      <c r="G38" s="2">
        <v>4582</v>
      </c>
      <c r="H38" s="2">
        <v>2555</v>
      </c>
      <c r="I38" s="2">
        <v>1922</v>
      </c>
      <c r="J38" s="2">
        <v>1509</v>
      </c>
      <c r="K38" s="2">
        <v>2018</v>
      </c>
      <c r="L38" s="2">
        <v>7508</v>
      </c>
      <c r="M38" s="2">
        <v>4948</v>
      </c>
      <c r="N38" s="2">
        <v>4729</v>
      </c>
      <c r="O38" s="2">
        <v>17513</v>
      </c>
      <c r="P38" s="2">
        <v>9676</v>
      </c>
      <c r="Q38" s="2">
        <v>7022</v>
      </c>
      <c r="R38" s="2">
        <v>4883</v>
      </c>
      <c r="S38" s="2">
        <v>3974</v>
      </c>
      <c r="T38" s="2">
        <v>7953</v>
      </c>
      <c r="U38" s="2">
        <v>6762</v>
      </c>
      <c r="V38" s="2">
        <v>7047</v>
      </c>
      <c r="W38" s="2">
        <v>5384</v>
      </c>
    </row>
    <row r="39" spans="2:23" s="72" customFormat="1" ht="15" customHeight="1" x14ac:dyDescent="0.2">
      <c r="B39" s="72" t="s">
        <v>21</v>
      </c>
      <c r="D39" s="2">
        <v>2628</v>
      </c>
      <c r="E39" s="2">
        <v>17375</v>
      </c>
      <c r="F39" s="2">
        <v>17223</v>
      </c>
      <c r="G39" s="2">
        <v>20943</v>
      </c>
      <c r="H39" s="2">
        <v>17294</v>
      </c>
      <c r="I39" s="2">
        <v>18134</v>
      </c>
      <c r="J39" s="2">
        <v>26731</v>
      </c>
      <c r="K39" s="2">
        <v>29891</v>
      </c>
      <c r="L39" s="2">
        <v>52038</v>
      </c>
      <c r="M39" s="2">
        <v>32391</v>
      </c>
      <c r="N39" s="2">
        <v>54506</v>
      </c>
      <c r="O39" s="2">
        <v>38162</v>
      </c>
      <c r="P39" s="2">
        <v>44731</v>
      </c>
      <c r="Q39" s="2">
        <v>17389</v>
      </c>
      <c r="R39" s="2">
        <v>32584</v>
      </c>
      <c r="S39" s="2">
        <v>33274</v>
      </c>
      <c r="T39" s="2">
        <v>37775</v>
      </c>
      <c r="U39" s="2">
        <v>18498</v>
      </c>
      <c r="V39" s="2">
        <v>12404</v>
      </c>
      <c r="W39" s="2">
        <v>13468</v>
      </c>
    </row>
    <row r="40" spans="2:23" s="72" customFormat="1" ht="15" customHeight="1" x14ac:dyDescent="0.2">
      <c r="B40" s="72" t="s">
        <v>22</v>
      </c>
      <c r="D40" s="2">
        <v>17843</v>
      </c>
      <c r="E40" s="2">
        <v>10511</v>
      </c>
      <c r="F40" s="2">
        <v>0</v>
      </c>
      <c r="G40" s="2">
        <v>0</v>
      </c>
      <c r="H40" s="2">
        <v>0</v>
      </c>
      <c r="I40" s="2">
        <v>0</v>
      </c>
      <c r="J40" s="2">
        <v>0</v>
      </c>
      <c r="K40" s="2">
        <v>0</v>
      </c>
      <c r="L40" s="2">
        <v>0</v>
      </c>
      <c r="M40" s="2">
        <v>0</v>
      </c>
      <c r="N40" s="2">
        <v>0</v>
      </c>
      <c r="O40" s="2">
        <v>0</v>
      </c>
      <c r="P40" s="2">
        <v>0</v>
      </c>
      <c r="Q40" s="2">
        <v>0</v>
      </c>
      <c r="R40" s="2">
        <v>0</v>
      </c>
      <c r="S40" s="2">
        <v>0</v>
      </c>
      <c r="T40" s="2">
        <v>0</v>
      </c>
      <c r="U40" s="2">
        <v>0</v>
      </c>
      <c r="V40" s="2">
        <v>0</v>
      </c>
      <c r="W40" s="2">
        <v>0</v>
      </c>
    </row>
    <row r="41" spans="2:23" s="72" customFormat="1" ht="15" customHeight="1" x14ac:dyDescent="0.2">
      <c r="B41" s="72" t="s">
        <v>23</v>
      </c>
      <c r="D41" s="2">
        <v>1948</v>
      </c>
      <c r="E41" s="2">
        <v>5898</v>
      </c>
      <c r="F41" s="2">
        <v>13543</v>
      </c>
      <c r="G41" s="2">
        <v>3969</v>
      </c>
      <c r="H41" s="2">
        <v>5997</v>
      </c>
      <c r="I41" s="2">
        <v>26332</v>
      </c>
      <c r="J41" s="2">
        <v>20506</v>
      </c>
      <c r="K41" s="2">
        <v>3171</v>
      </c>
      <c r="L41" s="2">
        <v>25626</v>
      </c>
      <c r="M41" s="2">
        <v>75106</v>
      </c>
      <c r="N41" s="2">
        <v>36452</v>
      </c>
      <c r="O41" s="2">
        <v>5481</v>
      </c>
      <c r="P41" s="2">
        <v>23080</v>
      </c>
      <c r="Q41" s="2">
        <v>97185</v>
      </c>
      <c r="R41" s="2">
        <v>43387</v>
      </c>
      <c r="S41" s="2">
        <v>6850</v>
      </c>
      <c r="T41" s="2">
        <v>35291</v>
      </c>
      <c r="U41" s="2">
        <v>170461</v>
      </c>
      <c r="V41" s="2">
        <v>60932</v>
      </c>
      <c r="W41" s="2">
        <v>5731</v>
      </c>
    </row>
    <row r="42" spans="2:23" s="72" customFormat="1" ht="15" customHeight="1" x14ac:dyDescent="0.2">
      <c r="B42" s="72" t="s">
        <v>25</v>
      </c>
      <c r="D42" s="2">
        <v>0</v>
      </c>
      <c r="E42" s="2">
        <v>0</v>
      </c>
      <c r="F42" s="2">
        <v>0</v>
      </c>
      <c r="G42" s="2">
        <v>0</v>
      </c>
      <c r="H42" s="2">
        <v>0</v>
      </c>
      <c r="I42" s="2">
        <v>4232</v>
      </c>
      <c r="J42" s="2">
        <v>4736</v>
      </c>
      <c r="K42" s="2">
        <v>5453</v>
      </c>
      <c r="L42" s="2">
        <v>6845</v>
      </c>
      <c r="M42" s="2">
        <v>6774</v>
      </c>
      <c r="N42" s="2">
        <v>7639</v>
      </c>
      <c r="O42" s="2">
        <v>8501</v>
      </c>
      <c r="P42" s="2">
        <v>12742</v>
      </c>
      <c r="Q42" s="2">
        <v>14565</v>
      </c>
      <c r="R42" s="2">
        <v>16622</v>
      </c>
      <c r="S42" s="2">
        <v>16052</v>
      </c>
      <c r="T42" s="2">
        <v>20122</v>
      </c>
      <c r="U42" s="2">
        <v>18513</v>
      </c>
      <c r="V42" s="2">
        <v>19251</v>
      </c>
      <c r="W42" s="2">
        <v>20688</v>
      </c>
    </row>
    <row r="43" spans="2:23" s="72" customFormat="1" ht="15" customHeight="1" x14ac:dyDescent="0.2">
      <c r="B43" s="72" t="s">
        <v>93</v>
      </c>
      <c r="D43" s="4">
        <v>0</v>
      </c>
      <c r="E43" s="4">
        <v>0</v>
      </c>
      <c r="F43" s="4">
        <v>0</v>
      </c>
      <c r="G43" s="4">
        <v>0</v>
      </c>
      <c r="H43" s="4">
        <v>0</v>
      </c>
      <c r="I43" s="4">
        <v>0</v>
      </c>
      <c r="J43" s="4">
        <v>161</v>
      </c>
      <c r="K43" s="4">
        <v>157</v>
      </c>
      <c r="L43" s="4">
        <v>98561</v>
      </c>
      <c r="M43" s="4">
        <v>298069</v>
      </c>
      <c r="N43" s="4">
        <v>302682</v>
      </c>
      <c r="O43" s="4">
        <v>2186</v>
      </c>
      <c r="P43" s="4">
        <v>107706</v>
      </c>
      <c r="Q43" s="4">
        <v>306476</v>
      </c>
      <c r="R43" s="4">
        <v>305587</v>
      </c>
      <c r="S43" s="2">
        <v>305305</v>
      </c>
      <c r="T43" s="2">
        <v>228448</v>
      </c>
      <c r="U43" s="2">
        <v>26032</v>
      </c>
      <c r="V43" s="2">
        <v>28466</v>
      </c>
      <c r="W43" s="2">
        <v>58772</v>
      </c>
    </row>
    <row r="44" spans="2:23" s="72" customFormat="1" ht="15" customHeight="1" x14ac:dyDescent="0.2">
      <c r="B44" s="72" t="s">
        <v>205</v>
      </c>
      <c r="D44" s="2">
        <v>4704</v>
      </c>
      <c r="E44" s="2">
        <v>1784</v>
      </c>
      <c r="F44" s="2">
        <v>2051</v>
      </c>
      <c r="G44" s="2">
        <v>51</v>
      </c>
      <c r="H44" s="2">
        <v>51</v>
      </c>
      <c r="I44" s="2">
        <v>0</v>
      </c>
      <c r="J44" s="2">
        <v>15562</v>
      </c>
      <c r="K44" s="2">
        <v>22576</v>
      </c>
      <c r="L44" s="2">
        <v>0</v>
      </c>
      <c r="M44" s="2">
        <v>0</v>
      </c>
      <c r="N44" s="2">
        <v>0</v>
      </c>
      <c r="O44" s="2">
        <v>0</v>
      </c>
      <c r="P44" s="2">
        <v>0</v>
      </c>
      <c r="Q44" s="2">
        <v>0</v>
      </c>
      <c r="R44" s="2">
        <v>0</v>
      </c>
      <c r="S44" s="2">
        <v>0</v>
      </c>
      <c r="T44" s="2">
        <v>0</v>
      </c>
      <c r="U44" s="2">
        <v>3452</v>
      </c>
      <c r="V44" s="2">
        <v>2394</v>
      </c>
      <c r="W44" s="2">
        <v>2671</v>
      </c>
    </row>
    <row r="45" spans="2:23" s="72" customFormat="1" ht="15" customHeight="1" x14ac:dyDescent="0.2">
      <c r="B45" s="72" t="s">
        <v>24</v>
      </c>
      <c r="D45" s="2">
        <v>8143</v>
      </c>
      <c r="E45" s="2">
        <v>14936</v>
      </c>
      <c r="F45" s="2">
        <v>908</v>
      </c>
      <c r="G45" s="2">
        <v>923</v>
      </c>
      <c r="H45" s="2">
        <v>830</v>
      </c>
      <c r="I45" s="2">
        <v>841</v>
      </c>
      <c r="J45" s="2">
        <v>90829</v>
      </c>
      <c r="K45" s="2">
        <v>112548</v>
      </c>
      <c r="L45" s="2">
        <v>117959</v>
      </c>
      <c r="M45" s="2">
        <v>143089</v>
      </c>
      <c r="N45" s="2">
        <v>344214</v>
      </c>
      <c r="O45" s="2">
        <v>376310</v>
      </c>
      <c r="P45" s="2">
        <v>656014</v>
      </c>
      <c r="Q45" s="2">
        <v>648172</v>
      </c>
      <c r="R45" s="2">
        <v>676378</v>
      </c>
      <c r="S45" s="4">
        <v>775464</v>
      </c>
      <c r="T45" s="4">
        <v>799553</v>
      </c>
      <c r="U45" s="2">
        <v>823154</v>
      </c>
      <c r="V45" s="2">
        <v>857979</v>
      </c>
      <c r="W45" s="2">
        <v>879418</v>
      </c>
    </row>
    <row r="46" spans="2:23" s="72" customFormat="1" ht="15" customHeight="1" x14ac:dyDescent="0.2">
      <c r="B46" s="72" t="s">
        <v>26</v>
      </c>
      <c r="D46" s="3">
        <v>6378</v>
      </c>
      <c r="E46" s="3">
        <v>5454</v>
      </c>
      <c r="F46" s="3">
        <v>4448</v>
      </c>
      <c r="G46" s="3">
        <v>177</v>
      </c>
      <c r="H46" s="3">
        <v>428</v>
      </c>
      <c r="I46" s="3">
        <v>127</v>
      </c>
      <c r="J46" s="3">
        <v>138</v>
      </c>
      <c r="K46" s="3">
        <v>125</v>
      </c>
      <c r="L46" s="3">
        <v>607</v>
      </c>
      <c r="M46" s="3">
        <v>567</v>
      </c>
      <c r="N46" s="3">
        <v>757</v>
      </c>
      <c r="O46" s="3">
        <v>847</v>
      </c>
      <c r="P46" s="3">
        <v>331</v>
      </c>
      <c r="Q46" s="3">
        <v>3042</v>
      </c>
      <c r="R46" s="3">
        <v>4781</v>
      </c>
      <c r="S46" s="2">
        <v>4363</v>
      </c>
      <c r="T46" s="2">
        <v>3176</v>
      </c>
      <c r="U46" s="4">
        <v>21278</v>
      </c>
      <c r="V46" s="2">
        <v>12140</v>
      </c>
      <c r="W46" s="2">
        <v>5188</v>
      </c>
    </row>
    <row r="47" spans="2:23" ht="15" customHeight="1" x14ac:dyDescent="0.2">
      <c r="B47" s="1" t="s">
        <v>92</v>
      </c>
      <c r="D47" s="4">
        <f t="shared" ref="D47:K47" si="5">SUM(D36:D46)</f>
        <v>50096</v>
      </c>
      <c r="E47" s="4">
        <f t="shared" si="5"/>
        <v>69674</v>
      </c>
      <c r="F47" s="4">
        <f t="shared" si="5"/>
        <v>57859</v>
      </c>
      <c r="G47" s="4">
        <f t="shared" si="5"/>
        <v>62896</v>
      </c>
      <c r="H47" s="4">
        <f t="shared" si="5"/>
        <v>57888</v>
      </c>
      <c r="I47" s="4">
        <f t="shared" si="5"/>
        <v>86071</v>
      </c>
      <c r="J47" s="4">
        <f t="shared" si="5"/>
        <v>205949</v>
      </c>
      <c r="K47" s="4">
        <f t="shared" si="5"/>
        <v>249946</v>
      </c>
      <c r="L47" s="4">
        <f t="shared" ref="L47:S47" si="6">SUM(L36:L46)</f>
        <v>412176</v>
      </c>
      <c r="M47" s="4">
        <f t="shared" si="6"/>
        <v>674819</v>
      </c>
      <c r="N47" s="4">
        <f t="shared" si="6"/>
        <v>871430</v>
      </c>
      <c r="O47" s="24">
        <f t="shared" si="6"/>
        <v>594945</v>
      </c>
      <c r="P47" s="24">
        <f t="shared" si="6"/>
        <v>980274</v>
      </c>
      <c r="Q47" s="24">
        <f t="shared" si="6"/>
        <v>1234610</v>
      </c>
      <c r="R47" s="24">
        <f t="shared" si="6"/>
        <v>1229697</v>
      </c>
      <c r="S47" s="59">
        <f t="shared" si="6"/>
        <v>1383739</v>
      </c>
      <c r="T47" s="59">
        <f>SUM(T36:T46)</f>
        <v>1393211</v>
      </c>
      <c r="U47" s="59">
        <f>SUM(U36:U46)</f>
        <v>1392324</v>
      </c>
      <c r="V47" s="59">
        <f>SUM(V36:V46)</f>
        <v>1259964</v>
      </c>
      <c r="W47" s="59">
        <f>SUM(W36:W46)</f>
        <v>1251743</v>
      </c>
    </row>
    <row r="48" spans="2:23" ht="15" customHeight="1" x14ac:dyDescent="0.2">
      <c r="D48" s="4"/>
      <c r="E48" s="4"/>
      <c r="F48" s="4"/>
      <c r="G48" s="4"/>
      <c r="H48" s="4"/>
      <c r="I48" s="4"/>
      <c r="J48" s="4"/>
      <c r="K48" s="4"/>
      <c r="L48" s="4"/>
      <c r="M48" s="4"/>
      <c r="N48" s="4"/>
      <c r="O48" s="24"/>
      <c r="P48" s="24"/>
      <c r="Q48" s="24"/>
      <c r="R48" s="24"/>
      <c r="S48" s="24"/>
      <c r="T48" s="24"/>
      <c r="U48" s="24"/>
      <c r="V48" s="24"/>
      <c r="W48" s="24"/>
    </row>
    <row r="49" spans="2:23" ht="15" customHeight="1" x14ac:dyDescent="0.2">
      <c r="B49" s="7" t="s">
        <v>10</v>
      </c>
      <c r="D49" s="2"/>
      <c r="E49" s="2"/>
      <c r="F49" s="2"/>
      <c r="G49" s="2"/>
      <c r="H49" s="2"/>
      <c r="I49" s="2"/>
      <c r="J49" s="2"/>
      <c r="K49" s="2"/>
      <c r="L49" s="2"/>
      <c r="M49" s="2"/>
      <c r="N49" s="2"/>
      <c r="O49" s="22"/>
      <c r="P49" s="22"/>
      <c r="Q49" s="22"/>
      <c r="R49" s="22"/>
      <c r="S49" s="22"/>
      <c r="T49" s="22"/>
      <c r="U49" s="22"/>
      <c r="V49" s="22"/>
      <c r="W49" s="22"/>
    </row>
    <row r="50" spans="2:23" ht="15" customHeight="1" x14ac:dyDescent="0.2">
      <c r="B50" s="1" t="s">
        <v>258</v>
      </c>
      <c r="D50" s="2">
        <v>0</v>
      </c>
      <c r="E50" s="2">
        <v>0</v>
      </c>
      <c r="F50" s="2">
        <v>0</v>
      </c>
      <c r="G50" s="2">
        <v>0</v>
      </c>
      <c r="H50" s="2">
        <v>0</v>
      </c>
      <c r="I50" s="2">
        <v>0</v>
      </c>
      <c r="J50" s="2">
        <v>2064</v>
      </c>
      <c r="K50" s="2">
        <v>5535</v>
      </c>
      <c r="L50" s="2">
        <v>2801</v>
      </c>
      <c r="M50" s="2">
        <v>4942</v>
      </c>
      <c r="N50" s="2">
        <v>6335</v>
      </c>
      <c r="O50" s="22">
        <v>296</v>
      </c>
      <c r="P50" s="22">
        <v>36570</v>
      </c>
      <c r="Q50" s="22">
        <v>37642</v>
      </c>
      <c r="R50" s="22">
        <v>39815</v>
      </c>
      <c r="S50" s="22">
        <v>346</v>
      </c>
      <c r="T50" s="22">
        <v>661</v>
      </c>
      <c r="U50" s="22">
        <v>295</v>
      </c>
      <c r="V50" s="22">
        <v>651</v>
      </c>
      <c r="W50" s="22">
        <v>1179</v>
      </c>
    </row>
    <row r="51" spans="2:23" ht="15" customHeight="1" x14ac:dyDescent="0.2">
      <c r="B51" s="1" t="s">
        <v>25</v>
      </c>
      <c r="D51" s="2">
        <v>0</v>
      </c>
      <c r="E51" s="2">
        <v>0</v>
      </c>
      <c r="F51" s="2">
        <v>0</v>
      </c>
      <c r="G51" s="2">
        <v>0</v>
      </c>
      <c r="H51" s="2">
        <v>0</v>
      </c>
      <c r="I51" s="2">
        <v>17410</v>
      </c>
      <c r="J51" s="2">
        <v>16752</v>
      </c>
      <c r="K51" s="2">
        <v>18131</v>
      </c>
      <c r="L51" s="2">
        <v>19012</v>
      </c>
      <c r="M51" s="2">
        <v>17714</v>
      </c>
      <c r="N51" s="2">
        <v>16758</v>
      </c>
      <c r="O51" s="22">
        <v>15922</v>
      </c>
      <c r="P51" s="22">
        <v>22478</v>
      </c>
      <c r="Q51" s="22">
        <v>25593</v>
      </c>
      <c r="R51" s="22">
        <v>28982</v>
      </c>
      <c r="S51" s="22">
        <v>27502</v>
      </c>
      <c r="T51" s="22">
        <v>22996</v>
      </c>
      <c r="U51" s="22">
        <v>18749</v>
      </c>
      <c r="V51" s="22">
        <v>15210</v>
      </c>
      <c r="W51" s="22">
        <v>10611</v>
      </c>
    </row>
    <row r="52" spans="2:23" ht="15" customHeight="1" x14ac:dyDescent="0.2">
      <c r="B52" s="1" t="s">
        <v>93</v>
      </c>
      <c r="D52" s="2">
        <v>0</v>
      </c>
      <c r="E52" s="2">
        <v>0</v>
      </c>
      <c r="F52" s="2">
        <v>0</v>
      </c>
      <c r="G52" s="2">
        <v>0</v>
      </c>
      <c r="H52" s="2">
        <v>0</v>
      </c>
      <c r="I52" s="2">
        <v>0</v>
      </c>
      <c r="J52" s="2">
        <v>376</v>
      </c>
      <c r="K52" s="2">
        <v>353</v>
      </c>
      <c r="L52" s="2">
        <v>0</v>
      </c>
      <c r="M52" s="2">
        <v>1211</v>
      </c>
      <c r="N52" s="2">
        <v>1226</v>
      </c>
      <c r="O52" s="22">
        <v>300618</v>
      </c>
      <c r="P52" s="22">
        <v>203413</v>
      </c>
      <c r="Q52" s="22">
        <v>3157</v>
      </c>
      <c r="R52" s="22">
        <v>3142</v>
      </c>
      <c r="S52" s="22">
        <v>900902</v>
      </c>
      <c r="T52" s="22">
        <v>1602879</v>
      </c>
      <c r="U52" s="22">
        <v>1525580</v>
      </c>
      <c r="V52" s="22">
        <v>1621957</v>
      </c>
      <c r="W52" s="22">
        <v>1853495</v>
      </c>
    </row>
    <row r="53" spans="2:23" ht="15" customHeight="1" x14ac:dyDescent="0.2">
      <c r="B53" s="1" t="s">
        <v>205</v>
      </c>
      <c r="D53" s="2">
        <v>25372</v>
      </c>
      <c r="E53" s="2">
        <v>11853</v>
      </c>
      <c r="F53" s="2">
        <v>11394</v>
      </c>
      <c r="G53" s="2">
        <v>11802</v>
      </c>
      <c r="H53" s="2">
        <v>25046</v>
      </c>
      <c r="I53" s="2">
        <v>21594</v>
      </c>
      <c r="J53" s="2">
        <v>49242</v>
      </c>
      <c r="K53" s="2">
        <v>54861</v>
      </c>
      <c r="L53" s="2">
        <v>33940</v>
      </c>
      <c r="M53" s="2">
        <v>29899</v>
      </c>
      <c r="N53" s="2">
        <v>29446</v>
      </c>
      <c r="O53" s="22">
        <v>25234</v>
      </c>
      <c r="P53" s="22">
        <v>0</v>
      </c>
      <c r="Q53" s="22">
        <v>0</v>
      </c>
      <c r="R53" s="22">
        <v>0</v>
      </c>
      <c r="S53" s="22">
        <v>0</v>
      </c>
      <c r="T53" s="22">
        <v>223561</v>
      </c>
      <c r="U53" s="22">
        <v>207308</v>
      </c>
      <c r="V53" s="22">
        <v>123513</v>
      </c>
      <c r="W53" s="22">
        <v>63947</v>
      </c>
    </row>
    <row r="54" spans="2:23" ht="15" customHeight="1" x14ac:dyDescent="0.2">
      <c r="B54" s="1" t="s">
        <v>94</v>
      </c>
      <c r="D54" s="2">
        <v>0</v>
      </c>
      <c r="E54" s="2">
        <v>0</v>
      </c>
      <c r="F54" s="2">
        <v>76</v>
      </c>
      <c r="G54" s="2">
        <v>141</v>
      </c>
      <c r="H54" s="2">
        <v>131</v>
      </c>
      <c r="I54" s="2">
        <v>210</v>
      </c>
      <c r="J54" s="2">
        <v>342</v>
      </c>
      <c r="K54" s="2">
        <v>231</v>
      </c>
      <c r="L54" s="2">
        <v>251</v>
      </c>
      <c r="M54" s="2">
        <v>284</v>
      </c>
      <c r="N54" s="2">
        <v>845</v>
      </c>
      <c r="O54" s="22">
        <v>774</v>
      </c>
      <c r="P54" s="22">
        <v>1366</v>
      </c>
      <c r="Q54" s="22">
        <v>2201</v>
      </c>
      <c r="R54" s="22">
        <v>1853</v>
      </c>
      <c r="S54" s="22">
        <v>2066</v>
      </c>
      <c r="T54" s="22">
        <v>1398</v>
      </c>
      <c r="U54" s="22">
        <v>1274</v>
      </c>
      <c r="V54" s="22">
        <v>1292</v>
      </c>
      <c r="W54" s="22">
        <v>2821</v>
      </c>
    </row>
    <row r="55" spans="2:23" ht="15" customHeight="1" x14ac:dyDescent="0.2">
      <c r="B55" s="1" t="s">
        <v>11</v>
      </c>
      <c r="D55" s="2">
        <v>6233</v>
      </c>
      <c r="E55" s="2">
        <v>80</v>
      </c>
      <c r="F55" s="2">
        <v>0</v>
      </c>
      <c r="G55" s="2">
        <v>1855</v>
      </c>
      <c r="H55" s="2">
        <v>1378</v>
      </c>
      <c r="I55" s="2">
        <v>1167</v>
      </c>
      <c r="J55" s="2">
        <v>1560</v>
      </c>
      <c r="K55" s="2">
        <v>871</v>
      </c>
      <c r="L55" s="2">
        <v>0</v>
      </c>
      <c r="M55" s="2">
        <v>0</v>
      </c>
      <c r="N55" s="2">
        <v>0</v>
      </c>
      <c r="O55" s="22">
        <v>0</v>
      </c>
      <c r="P55" s="22">
        <v>0</v>
      </c>
      <c r="Q55" s="22">
        <v>0</v>
      </c>
      <c r="R55" s="22">
        <v>0</v>
      </c>
      <c r="S55" s="22">
        <v>0</v>
      </c>
      <c r="T55" s="22">
        <v>0</v>
      </c>
      <c r="U55" s="22">
        <v>0</v>
      </c>
      <c r="V55" s="22">
        <v>0</v>
      </c>
      <c r="W55" s="22">
        <v>0</v>
      </c>
    </row>
    <row r="56" spans="2:23" ht="15" customHeight="1" x14ac:dyDescent="0.2">
      <c r="B56" s="1" t="s">
        <v>24</v>
      </c>
      <c r="D56" s="4">
        <v>0</v>
      </c>
      <c r="E56" s="4">
        <v>43067</v>
      </c>
      <c r="F56" s="4">
        <v>47327</v>
      </c>
      <c r="G56" s="4">
        <v>49586</v>
      </c>
      <c r="H56" s="4">
        <v>180551</v>
      </c>
      <c r="I56" s="4">
        <v>187201</v>
      </c>
      <c r="J56" s="4">
        <v>106931</v>
      </c>
      <c r="K56" s="4">
        <v>175220</v>
      </c>
      <c r="L56" s="4">
        <v>1098273</v>
      </c>
      <c r="M56" s="4">
        <v>1096313</v>
      </c>
      <c r="N56" s="4">
        <v>911192</v>
      </c>
      <c r="O56" s="24">
        <v>919712</v>
      </c>
      <c r="P56" s="24">
        <v>1130501</v>
      </c>
      <c r="Q56" s="24">
        <v>1160408</v>
      </c>
      <c r="R56" s="24">
        <v>1066610</v>
      </c>
      <c r="S56" s="22">
        <v>1033318</v>
      </c>
      <c r="T56" s="22">
        <v>869233</v>
      </c>
      <c r="U56" s="22">
        <v>894234</v>
      </c>
      <c r="V56" s="22">
        <v>642086</v>
      </c>
      <c r="W56" s="22">
        <v>653917</v>
      </c>
    </row>
    <row r="57" spans="2:23" ht="15" customHeight="1" x14ac:dyDescent="0.2">
      <c r="B57" s="1" t="s">
        <v>26</v>
      </c>
      <c r="D57" s="2">
        <v>0</v>
      </c>
      <c r="E57" s="2">
        <v>0</v>
      </c>
      <c r="F57" s="2">
        <v>0</v>
      </c>
      <c r="G57" s="2">
        <v>0</v>
      </c>
      <c r="H57" s="2">
        <v>0</v>
      </c>
      <c r="I57" s="2">
        <v>0</v>
      </c>
      <c r="J57" s="2">
        <v>125</v>
      </c>
      <c r="K57" s="2">
        <v>122</v>
      </c>
      <c r="L57" s="2">
        <v>160</v>
      </c>
      <c r="M57" s="2">
        <v>142</v>
      </c>
      <c r="N57" s="2">
        <v>787</v>
      </c>
      <c r="O57" s="22">
        <v>825</v>
      </c>
      <c r="P57" s="22">
        <v>794</v>
      </c>
      <c r="Q57" s="22">
        <v>889</v>
      </c>
      <c r="R57" s="22">
        <v>772</v>
      </c>
      <c r="S57" s="22">
        <v>1134</v>
      </c>
      <c r="T57" s="22">
        <v>946</v>
      </c>
      <c r="U57" s="22">
        <v>956</v>
      </c>
      <c r="V57" s="22">
        <v>1140</v>
      </c>
      <c r="W57" s="22">
        <v>365</v>
      </c>
    </row>
    <row r="58" spans="2:23" ht="15" customHeight="1" x14ac:dyDescent="0.2">
      <c r="B58" s="1" t="s">
        <v>127</v>
      </c>
      <c r="D58" s="6">
        <f t="shared" ref="D58:L58" si="7">SUM(D50:D57)</f>
        <v>31605</v>
      </c>
      <c r="E58" s="6">
        <f t="shared" si="7"/>
        <v>55000</v>
      </c>
      <c r="F58" s="6">
        <f t="shared" si="7"/>
        <v>58797</v>
      </c>
      <c r="G58" s="6">
        <f t="shared" si="7"/>
        <v>63384</v>
      </c>
      <c r="H58" s="6">
        <f t="shared" si="7"/>
        <v>207106</v>
      </c>
      <c r="I58" s="6">
        <f t="shared" si="7"/>
        <v>227582</v>
      </c>
      <c r="J58" s="6">
        <f t="shared" si="7"/>
        <v>177392</v>
      </c>
      <c r="K58" s="6">
        <f t="shared" si="7"/>
        <v>255324</v>
      </c>
      <c r="L58" s="6">
        <f t="shared" si="7"/>
        <v>1154437</v>
      </c>
      <c r="M58" s="6">
        <f>SUM(M50:M57)</f>
        <v>1150505</v>
      </c>
      <c r="N58" s="6">
        <f t="shared" ref="N58:S58" si="8">SUM(N50:N57)</f>
        <v>966589</v>
      </c>
      <c r="O58" s="26">
        <f t="shared" si="8"/>
        <v>1263381</v>
      </c>
      <c r="P58" s="26">
        <f t="shared" si="8"/>
        <v>1395122</v>
      </c>
      <c r="Q58" s="26">
        <f t="shared" si="8"/>
        <v>1229890</v>
      </c>
      <c r="R58" s="26">
        <f t="shared" si="8"/>
        <v>1141174</v>
      </c>
      <c r="S58" s="26">
        <f t="shared" si="8"/>
        <v>1965268</v>
      </c>
      <c r="T58" s="26">
        <f>SUM(T50:T57)</f>
        <v>2721674</v>
      </c>
      <c r="U58" s="26">
        <f>SUM(U50:U57)</f>
        <v>2648396</v>
      </c>
      <c r="V58" s="26">
        <f>SUM(V50:V57)</f>
        <v>2405849</v>
      </c>
      <c r="W58" s="26">
        <f>SUM(W50:W57)</f>
        <v>2586335</v>
      </c>
    </row>
    <row r="59" spans="2:23" ht="15" customHeight="1" x14ac:dyDescent="0.2">
      <c r="E59" s="4"/>
      <c r="F59" s="4"/>
      <c r="G59" s="4"/>
      <c r="H59" s="4"/>
      <c r="I59" s="4"/>
      <c r="J59" s="4"/>
      <c r="K59" s="4"/>
      <c r="L59" s="4"/>
      <c r="M59" s="4"/>
      <c r="N59" s="4"/>
      <c r="O59" s="24"/>
      <c r="P59" s="24"/>
      <c r="Q59" s="24"/>
      <c r="R59" s="24"/>
      <c r="S59" s="24"/>
      <c r="T59" s="24"/>
      <c r="U59" s="24"/>
      <c r="V59" s="24"/>
      <c r="W59" s="24"/>
    </row>
    <row r="60" spans="2:23" ht="15" customHeight="1" x14ac:dyDescent="0.2">
      <c r="B60" s="7" t="s">
        <v>27</v>
      </c>
      <c r="D60" s="2"/>
      <c r="E60" s="2"/>
      <c r="F60" s="2"/>
      <c r="G60" s="2"/>
      <c r="H60" s="2"/>
      <c r="I60" s="2"/>
      <c r="J60" s="2"/>
      <c r="K60" s="2"/>
      <c r="L60" s="2"/>
      <c r="M60" s="2"/>
      <c r="N60" s="2"/>
      <c r="O60" s="22"/>
      <c r="P60" s="22"/>
      <c r="Q60" s="22"/>
      <c r="R60" s="22"/>
      <c r="S60" s="22"/>
      <c r="T60" s="22"/>
      <c r="U60" s="22"/>
      <c r="V60" s="22"/>
      <c r="W60" s="22"/>
    </row>
    <row r="61" spans="2:23" ht="15" customHeight="1" x14ac:dyDescent="0.2">
      <c r="B61" s="1" t="s">
        <v>28</v>
      </c>
      <c r="D61" s="2">
        <v>48517</v>
      </c>
      <c r="E61" s="2">
        <v>55897</v>
      </c>
      <c r="F61" s="2">
        <v>55897</v>
      </c>
      <c r="G61" s="2">
        <v>10</v>
      </c>
      <c r="H61" s="2">
        <v>10</v>
      </c>
      <c r="I61" s="2">
        <v>10</v>
      </c>
      <c r="J61" s="2">
        <v>10</v>
      </c>
      <c r="K61" s="2">
        <v>10</v>
      </c>
      <c r="L61" s="2">
        <v>11</v>
      </c>
      <c r="M61" s="2">
        <v>11</v>
      </c>
      <c r="N61" s="2">
        <v>11</v>
      </c>
      <c r="O61" s="22">
        <v>11</v>
      </c>
      <c r="P61" s="22">
        <v>11</v>
      </c>
      <c r="Q61" s="22">
        <v>11</v>
      </c>
      <c r="R61" s="22">
        <v>11</v>
      </c>
      <c r="S61" s="22">
        <v>11</v>
      </c>
      <c r="T61" s="22">
        <v>11</v>
      </c>
      <c r="U61" s="22">
        <v>11</v>
      </c>
      <c r="V61" s="22">
        <v>11</v>
      </c>
      <c r="W61" s="22">
        <v>11</v>
      </c>
    </row>
    <row r="62" spans="2:23" ht="15" customHeight="1" x14ac:dyDescent="0.2">
      <c r="B62" s="1" t="s">
        <v>29</v>
      </c>
      <c r="D62" s="2">
        <v>81914</v>
      </c>
      <c r="E62" s="2">
        <v>160682</v>
      </c>
      <c r="F62" s="2">
        <v>160682</v>
      </c>
      <c r="G62" s="2">
        <v>1090616</v>
      </c>
      <c r="H62" s="2">
        <v>1089505</v>
      </c>
      <c r="I62" s="2">
        <v>1081261</v>
      </c>
      <c r="J62" s="2">
        <v>1066710</v>
      </c>
      <c r="K62" s="2">
        <v>1066710</v>
      </c>
      <c r="L62" s="2">
        <v>1607622</v>
      </c>
      <c r="M62" s="2">
        <v>1607622</v>
      </c>
      <c r="N62" s="2">
        <v>1608499</v>
      </c>
      <c r="O62" s="22">
        <v>2201316</v>
      </c>
      <c r="P62" s="22">
        <v>2200645</v>
      </c>
      <c r="Q62" s="22">
        <v>2149419</v>
      </c>
      <c r="R62" s="22">
        <v>2203141</v>
      </c>
      <c r="S62" s="22">
        <v>2203167</v>
      </c>
      <c r="T62" s="22">
        <v>2203857</v>
      </c>
      <c r="U62" s="22">
        <v>2203857</v>
      </c>
      <c r="V62" s="22">
        <v>2222912</v>
      </c>
      <c r="W62" s="22">
        <v>2103699</v>
      </c>
    </row>
    <row r="63" spans="2:23" ht="15" customHeight="1" x14ac:dyDescent="0.2">
      <c r="B63" s="1" t="s">
        <v>200</v>
      </c>
      <c r="D63" s="22">
        <v>0</v>
      </c>
      <c r="E63" s="22">
        <v>0</v>
      </c>
      <c r="F63" s="22">
        <v>0</v>
      </c>
      <c r="G63" s="22">
        <v>0</v>
      </c>
      <c r="H63" s="22">
        <v>0</v>
      </c>
      <c r="I63" s="22">
        <v>0</v>
      </c>
      <c r="J63" s="22">
        <v>0</v>
      </c>
      <c r="K63" s="22">
        <v>0</v>
      </c>
      <c r="L63" s="22">
        <v>0</v>
      </c>
      <c r="M63" s="22">
        <v>0</v>
      </c>
      <c r="N63" s="22">
        <v>0</v>
      </c>
      <c r="O63" s="22">
        <v>0</v>
      </c>
      <c r="P63" s="22">
        <v>0</v>
      </c>
      <c r="Q63" s="22">
        <v>0</v>
      </c>
      <c r="R63" s="22">
        <v>-107936</v>
      </c>
      <c r="S63" s="22">
        <v>-132929</v>
      </c>
      <c r="T63" s="22">
        <v>-180775</v>
      </c>
      <c r="U63" s="22">
        <v>-199809</v>
      </c>
      <c r="V63" s="22">
        <v>-232391</v>
      </c>
      <c r="W63" s="22">
        <v>-114701</v>
      </c>
    </row>
    <row r="64" spans="2:23" ht="15" customHeight="1" x14ac:dyDescent="0.2">
      <c r="B64" s="1" t="s">
        <v>30</v>
      </c>
      <c r="D64" s="2">
        <v>5163</v>
      </c>
      <c r="E64" s="2">
        <v>7053</v>
      </c>
      <c r="F64" s="2">
        <v>7740</v>
      </c>
      <c r="G64" s="2">
        <v>67212</v>
      </c>
      <c r="H64" s="2">
        <v>67350</v>
      </c>
      <c r="I64" s="2">
        <v>67487</v>
      </c>
      <c r="J64" s="2">
        <v>81783</v>
      </c>
      <c r="K64" s="2">
        <v>99781</v>
      </c>
      <c r="L64" s="2">
        <v>84546</v>
      </c>
      <c r="M64" s="2">
        <v>93453</v>
      </c>
      <c r="N64" s="2">
        <v>99558</v>
      </c>
      <c r="O64" s="22">
        <v>80680</v>
      </c>
      <c r="P64" s="22">
        <v>80817</v>
      </c>
      <c r="Q64" s="22">
        <v>87387</v>
      </c>
      <c r="R64" s="22">
        <v>89297</v>
      </c>
      <c r="S64" s="22">
        <v>102134</v>
      </c>
      <c r="T64" s="22">
        <v>90813</v>
      </c>
      <c r="U64" s="22">
        <v>78714</v>
      </c>
      <c r="V64" s="22">
        <v>81077</v>
      </c>
      <c r="W64" s="22">
        <v>98785</v>
      </c>
    </row>
    <row r="65" spans="2:23" ht="15" customHeight="1" x14ac:dyDescent="0.2">
      <c r="B65" s="1" t="s">
        <v>95</v>
      </c>
      <c r="D65" s="4">
        <v>105458</v>
      </c>
      <c r="E65" s="4">
        <v>81992</v>
      </c>
      <c r="F65" s="4">
        <v>8165</v>
      </c>
      <c r="G65" s="4">
        <v>0</v>
      </c>
      <c r="H65" s="4">
        <v>-86687</v>
      </c>
      <c r="I65" s="4">
        <v>-57334</v>
      </c>
      <c r="J65" s="4">
        <v>-31635</v>
      </c>
      <c r="K65" s="4">
        <v>-140121</v>
      </c>
      <c r="L65" s="4">
        <v>-97369</v>
      </c>
      <c r="M65" s="4">
        <v>-93548</v>
      </c>
      <c r="N65" s="4">
        <v>-77304</v>
      </c>
      <c r="O65" s="22">
        <v>-104792</v>
      </c>
      <c r="P65" s="22">
        <v>-80589</v>
      </c>
      <c r="Q65" s="22">
        <v>-68778</v>
      </c>
      <c r="R65" s="22">
        <v>-88797</v>
      </c>
      <c r="S65" s="22">
        <v>-232857</v>
      </c>
      <c r="T65" s="22">
        <v>-238672</v>
      </c>
      <c r="U65" s="22">
        <v>-136013</v>
      </c>
      <c r="V65" s="22">
        <v>-149354</v>
      </c>
      <c r="W65" s="22">
        <v>-221818</v>
      </c>
    </row>
    <row r="66" spans="2:23" ht="15" customHeight="1" x14ac:dyDescent="0.2">
      <c r="B66" s="1" t="s">
        <v>31</v>
      </c>
      <c r="D66" s="3">
        <v>0</v>
      </c>
      <c r="E66" s="3">
        <v>0</v>
      </c>
      <c r="F66" s="3">
        <v>49663</v>
      </c>
      <c r="G66" s="3">
        <v>-9868</v>
      </c>
      <c r="H66" s="3">
        <v>0</v>
      </c>
      <c r="I66" s="3">
        <v>0</v>
      </c>
      <c r="J66" s="3">
        <v>0</v>
      </c>
      <c r="K66" s="3">
        <v>0</v>
      </c>
      <c r="L66" s="3">
        <v>0</v>
      </c>
      <c r="M66" s="3">
        <v>0</v>
      </c>
      <c r="N66" s="3">
        <v>0</v>
      </c>
      <c r="O66" s="23">
        <v>0</v>
      </c>
      <c r="P66" s="23">
        <v>0</v>
      </c>
      <c r="Q66" s="23">
        <v>0</v>
      </c>
      <c r="R66" s="23">
        <v>0</v>
      </c>
      <c r="S66" s="23">
        <v>0</v>
      </c>
      <c r="T66" s="23">
        <v>0</v>
      </c>
      <c r="U66" s="23">
        <v>0</v>
      </c>
      <c r="V66" s="23">
        <v>0</v>
      </c>
      <c r="W66" s="23">
        <v>0</v>
      </c>
    </row>
    <row r="67" spans="2:23" ht="15" customHeight="1" x14ac:dyDescent="0.2">
      <c r="B67" s="1" t="s">
        <v>96</v>
      </c>
      <c r="D67" s="3">
        <f t="shared" ref="D67:L67" si="9">SUM(D61:D66)</f>
        <v>241052</v>
      </c>
      <c r="E67" s="3">
        <f t="shared" si="9"/>
        <v>305624</v>
      </c>
      <c r="F67" s="3">
        <f t="shared" si="9"/>
        <v>282147</v>
      </c>
      <c r="G67" s="3">
        <f t="shared" si="9"/>
        <v>1147970</v>
      </c>
      <c r="H67" s="3">
        <f t="shared" si="9"/>
        <v>1070178</v>
      </c>
      <c r="I67" s="3">
        <f t="shared" si="9"/>
        <v>1091424</v>
      </c>
      <c r="J67" s="3">
        <f t="shared" si="9"/>
        <v>1116868</v>
      </c>
      <c r="K67" s="3">
        <f t="shared" si="9"/>
        <v>1026380</v>
      </c>
      <c r="L67" s="3">
        <f t="shared" si="9"/>
        <v>1594810</v>
      </c>
      <c r="M67" s="3">
        <f>SUM(M61:M66)</f>
        <v>1607538</v>
      </c>
      <c r="N67" s="3">
        <f t="shared" ref="N67:S67" si="10">SUM(N61:N66)</f>
        <v>1630764</v>
      </c>
      <c r="O67" s="23">
        <f t="shared" si="10"/>
        <v>2177215</v>
      </c>
      <c r="P67" s="23">
        <f t="shared" si="10"/>
        <v>2200884</v>
      </c>
      <c r="Q67" s="23">
        <f t="shared" si="10"/>
        <v>2168039</v>
      </c>
      <c r="R67" s="23">
        <f t="shared" si="10"/>
        <v>2095716</v>
      </c>
      <c r="S67" s="23">
        <f t="shared" si="10"/>
        <v>1939526</v>
      </c>
      <c r="T67" s="23">
        <f>SUM(T61:T66)</f>
        <v>1875234</v>
      </c>
      <c r="U67" s="23">
        <f>SUM(U61:U66)</f>
        <v>1946760</v>
      </c>
      <c r="V67" s="23">
        <f>SUM(V61:V66)</f>
        <v>1922255</v>
      </c>
      <c r="W67" s="23">
        <f>SUM(W61:W66)</f>
        <v>1865976</v>
      </c>
    </row>
    <row r="68" spans="2:23" ht="15" customHeight="1" x14ac:dyDescent="0.2">
      <c r="B68" s="1" t="s">
        <v>32</v>
      </c>
      <c r="D68" s="3">
        <v>116</v>
      </c>
      <c r="E68" s="3">
        <v>111</v>
      </c>
      <c r="F68" s="3">
        <v>-169</v>
      </c>
      <c r="G68" s="3">
        <v>-242</v>
      </c>
      <c r="H68" s="3">
        <v>-294</v>
      </c>
      <c r="I68" s="3">
        <v>0</v>
      </c>
      <c r="J68" s="3">
        <v>0</v>
      </c>
      <c r="K68" s="3">
        <v>0</v>
      </c>
      <c r="L68" s="3">
        <v>0</v>
      </c>
      <c r="M68" s="3">
        <v>0</v>
      </c>
      <c r="N68" s="3">
        <v>0</v>
      </c>
      <c r="O68" s="23">
        <v>0</v>
      </c>
      <c r="P68" s="23">
        <v>0</v>
      </c>
      <c r="Q68" s="23">
        <v>0</v>
      </c>
      <c r="R68" s="23">
        <v>0</v>
      </c>
      <c r="S68" s="23">
        <v>0</v>
      </c>
      <c r="T68" s="23">
        <v>0</v>
      </c>
      <c r="U68" s="23">
        <v>0</v>
      </c>
      <c r="V68" s="23">
        <v>0</v>
      </c>
      <c r="W68" s="23">
        <v>0</v>
      </c>
    </row>
    <row r="69" spans="2:23" ht="15" customHeight="1" x14ac:dyDescent="0.2">
      <c r="B69" s="1" t="s">
        <v>33</v>
      </c>
      <c r="D69" s="3">
        <f>SUM(D68+D67)</f>
        <v>241168</v>
      </c>
      <c r="E69" s="3">
        <f t="shared" ref="E69:L69" si="11">SUM(E68+E67)</f>
        <v>305735</v>
      </c>
      <c r="F69" s="3">
        <f t="shared" si="11"/>
        <v>281978</v>
      </c>
      <c r="G69" s="3">
        <f t="shared" si="11"/>
        <v>1147728</v>
      </c>
      <c r="H69" s="3">
        <f t="shared" si="11"/>
        <v>1069884</v>
      </c>
      <c r="I69" s="3">
        <f t="shared" si="11"/>
        <v>1091424</v>
      </c>
      <c r="J69" s="3">
        <f t="shared" si="11"/>
        <v>1116868</v>
      </c>
      <c r="K69" s="3">
        <f t="shared" si="11"/>
        <v>1026380</v>
      </c>
      <c r="L69" s="3">
        <f t="shared" si="11"/>
        <v>1594810</v>
      </c>
      <c r="M69" s="3">
        <f>SUM(M68+M67)</f>
        <v>1607538</v>
      </c>
      <c r="N69" s="3">
        <f>SUM(N68+N67)</f>
        <v>1630764</v>
      </c>
      <c r="O69" s="23">
        <f t="shared" ref="O69:V69" si="12">SUM(O67:O68)</f>
        <v>2177215</v>
      </c>
      <c r="P69" s="23">
        <f t="shared" si="12"/>
        <v>2200884</v>
      </c>
      <c r="Q69" s="23">
        <f t="shared" si="12"/>
        <v>2168039</v>
      </c>
      <c r="R69" s="23">
        <f t="shared" si="12"/>
        <v>2095716</v>
      </c>
      <c r="S69" s="23">
        <f t="shared" si="12"/>
        <v>1939526</v>
      </c>
      <c r="T69" s="23">
        <f t="shared" si="12"/>
        <v>1875234</v>
      </c>
      <c r="U69" s="23">
        <f t="shared" si="12"/>
        <v>1946760</v>
      </c>
      <c r="V69" s="23">
        <f t="shared" si="12"/>
        <v>1922255</v>
      </c>
      <c r="W69" s="23">
        <f t="shared" ref="W69" si="13">SUM(W67:W68)</f>
        <v>1865976</v>
      </c>
    </row>
    <row r="70" spans="2:23" ht="15" customHeight="1" x14ac:dyDescent="0.2">
      <c r="D70" s="2"/>
      <c r="E70" s="2"/>
      <c r="F70" s="2"/>
      <c r="G70" s="2"/>
      <c r="H70" s="2"/>
      <c r="I70" s="2"/>
      <c r="J70" s="2"/>
      <c r="K70" s="2"/>
      <c r="L70" s="2"/>
      <c r="M70" s="2"/>
      <c r="N70" s="2"/>
      <c r="O70" s="22"/>
      <c r="P70" s="22"/>
      <c r="Q70" s="22"/>
      <c r="R70" s="22"/>
      <c r="S70" s="22"/>
      <c r="T70" s="22"/>
      <c r="U70" s="22"/>
      <c r="V70" s="22"/>
      <c r="W70" s="22"/>
    </row>
    <row r="71" spans="2:23" ht="15" customHeight="1" thickBot="1" x14ac:dyDescent="0.25">
      <c r="B71" s="7" t="s">
        <v>34</v>
      </c>
      <c r="D71" s="5">
        <f t="shared" ref="D71:L71" si="14">D69+D58+D47</f>
        <v>322869</v>
      </c>
      <c r="E71" s="5">
        <f t="shared" si="14"/>
        <v>430409</v>
      </c>
      <c r="F71" s="5">
        <f t="shared" si="14"/>
        <v>398634</v>
      </c>
      <c r="G71" s="5">
        <f t="shared" si="14"/>
        <v>1274008</v>
      </c>
      <c r="H71" s="5">
        <f t="shared" si="14"/>
        <v>1334878</v>
      </c>
      <c r="I71" s="5">
        <f t="shared" si="14"/>
        <v>1405077</v>
      </c>
      <c r="J71" s="5">
        <f t="shared" si="14"/>
        <v>1500209</v>
      </c>
      <c r="K71" s="5">
        <f t="shared" si="14"/>
        <v>1531650</v>
      </c>
      <c r="L71" s="5">
        <f t="shared" si="14"/>
        <v>3161423</v>
      </c>
      <c r="M71" s="5">
        <f>M69+M58+M47</f>
        <v>3432862</v>
      </c>
      <c r="N71" s="5">
        <f>N69+N58+N47</f>
        <v>3468783</v>
      </c>
      <c r="O71" s="25">
        <f t="shared" ref="O71:V71" si="15">SUM(O69,O58,O47)</f>
        <v>4035541</v>
      </c>
      <c r="P71" s="25">
        <f t="shared" si="15"/>
        <v>4576280</v>
      </c>
      <c r="Q71" s="25">
        <f t="shared" si="15"/>
        <v>4632539</v>
      </c>
      <c r="R71" s="25">
        <f t="shared" si="15"/>
        <v>4466587</v>
      </c>
      <c r="S71" s="25">
        <f t="shared" si="15"/>
        <v>5288533</v>
      </c>
      <c r="T71" s="25">
        <f t="shared" si="15"/>
        <v>5990119</v>
      </c>
      <c r="U71" s="25">
        <f t="shared" si="15"/>
        <v>5987480</v>
      </c>
      <c r="V71" s="25">
        <f t="shared" si="15"/>
        <v>5588068</v>
      </c>
      <c r="W71" s="25">
        <f t="shared" ref="W71" si="16">SUM(W69,W58,W47)</f>
        <v>5704054</v>
      </c>
    </row>
    <row r="72" spans="2:23" ht="15" customHeight="1" thickTop="1" x14ac:dyDescent="0.2"/>
    <row r="73" spans="2:23" ht="15" customHeight="1" x14ac:dyDescent="0.2">
      <c r="D73" s="9"/>
      <c r="E73" s="9"/>
      <c r="F73" s="9"/>
      <c r="G73" s="9"/>
      <c r="H73" s="9"/>
      <c r="I73" s="9"/>
      <c r="J73" s="9"/>
      <c r="K73" s="9"/>
      <c r="L73" s="9"/>
      <c r="M73" s="9"/>
      <c r="N73" s="9"/>
      <c r="O73" s="9"/>
      <c r="P73" s="9"/>
      <c r="Q73" s="9"/>
      <c r="R73" s="9"/>
      <c r="S73" s="9"/>
      <c r="T73" s="9"/>
      <c r="U73" s="9"/>
      <c r="V73" s="9"/>
      <c r="W73" s="9"/>
    </row>
  </sheetData>
  <pageMargins left="0.25" right="0.25"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4">
    <tabColor rgb="FF92D050"/>
    <pageSetUpPr fitToPage="1"/>
  </sheetPr>
  <dimension ref="B2:AF37"/>
  <sheetViews>
    <sheetView showGridLines="0" zoomScale="80" zoomScaleNormal="80" zoomScaleSheetLayoutView="80" workbookViewId="0">
      <pane xSplit="3" ySplit="5" topLeftCell="V6" activePane="bottomRight" state="frozen"/>
      <selection activeCell="V43" sqref="V43"/>
      <selection pane="topRight" activeCell="V43" sqref="V43"/>
      <selection pane="bottomLeft" activeCell="V43" sqref="V43"/>
      <selection pane="bottomRight" activeCell="AD13" sqref="AD13"/>
    </sheetView>
  </sheetViews>
  <sheetFormatPr defaultColWidth="14.7109375" defaultRowHeight="15" customHeight="1" x14ac:dyDescent="0.2"/>
  <cols>
    <col min="1" max="1" width="2.85546875" style="1" customWidth="1"/>
    <col min="2" max="2" width="54.28515625" style="1" customWidth="1"/>
    <col min="3" max="3" width="2.7109375" style="1" customWidth="1"/>
    <col min="4" max="18" width="14.7109375" style="1"/>
    <col min="19" max="19" width="14.7109375" style="1" customWidth="1"/>
    <col min="20" max="20" width="14.7109375" style="18" customWidth="1"/>
    <col min="21" max="21" width="14.7109375" style="1" customWidth="1"/>
    <col min="22" max="22" width="14.7109375" style="18" customWidth="1"/>
    <col min="23" max="16384" width="14.7109375" style="1"/>
  </cols>
  <sheetData>
    <row r="2" spans="2:32" ht="15" customHeight="1" x14ac:dyDescent="0.25">
      <c r="B2" s="8" t="s">
        <v>35</v>
      </c>
    </row>
    <row r="3" spans="2:32" ht="15" customHeight="1" x14ac:dyDescent="0.2">
      <c r="B3" s="1" t="s">
        <v>36</v>
      </c>
    </row>
    <row r="5" spans="2:32" s="32" customFormat="1" ht="15" customHeight="1" x14ac:dyDescent="0.2">
      <c r="D5" s="32" t="s">
        <v>88</v>
      </c>
      <c r="E5" s="32" t="s">
        <v>86</v>
      </c>
      <c r="F5" s="32" t="s">
        <v>87</v>
      </c>
      <c r="G5" s="32" t="s">
        <v>37</v>
      </c>
      <c r="H5" s="32" t="s">
        <v>38</v>
      </c>
      <c r="I5" s="32" t="s">
        <v>39</v>
      </c>
      <c r="J5" s="32" t="s">
        <v>40</v>
      </c>
      <c r="K5" s="32" t="s">
        <v>41</v>
      </c>
      <c r="L5" s="32" t="s">
        <v>42</v>
      </c>
      <c r="M5" s="32" t="s">
        <v>43</v>
      </c>
      <c r="N5" s="32" t="s">
        <v>44</v>
      </c>
      <c r="O5" s="32" t="s">
        <v>45</v>
      </c>
      <c r="P5" s="32" t="s">
        <v>72</v>
      </c>
      <c r="Q5" s="32" t="s">
        <v>73</v>
      </c>
      <c r="R5" s="32" t="s">
        <v>120</v>
      </c>
      <c r="S5" s="32" t="s">
        <v>128</v>
      </c>
      <c r="T5" s="33" t="s">
        <v>130</v>
      </c>
      <c r="U5" s="32" t="s">
        <v>138</v>
      </c>
      <c r="V5" s="33" t="s">
        <v>139</v>
      </c>
      <c r="W5" s="32" t="s">
        <v>147</v>
      </c>
      <c r="X5" s="32" t="s">
        <v>169</v>
      </c>
      <c r="Y5" s="32" t="s">
        <v>199</v>
      </c>
      <c r="Z5" s="32" t="s">
        <v>201</v>
      </c>
      <c r="AA5" s="32" t="s">
        <v>202</v>
      </c>
      <c r="AB5" s="32" t="s">
        <v>210</v>
      </c>
      <c r="AC5" s="32" t="s">
        <v>211</v>
      </c>
      <c r="AD5" s="32" t="s">
        <v>212</v>
      </c>
      <c r="AE5" s="32" t="s">
        <v>213</v>
      </c>
      <c r="AF5" s="32" t="s">
        <v>214</v>
      </c>
    </row>
    <row r="6" spans="2:32" ht="15" customHeight="1" x14ac:dyDescent="0.2">
      <c r="B6" s="1" t="s">
        <v>215</v>
      </c>
      <c r="D6" s="2">
        <v>159270</v>
      </c>
      <c r="E6" s="2">
        <v>38415</v>
      </c>
      <c r="F6" s="2">
        <v>69872</v>
      </c>
      <c r="G6" s="2">
        <v>244382</v>
      </c>
      <c r="H6" s="2">
        <v>113634</v>
      </c>
      <c r="I6" s="2">
        <v>81436</v>
      </c>
      <c r="J6" s="2">
        <v>64902</v>
      </c>
      <c r="K6" s="2">
        <v>121009</v>
      </c>
      <c r="L6" s="2">
        <v>380981</v>
      </c>
      <c r="M6" s="2">
        <v>117055</v>
      </c>
      <c r="N6" s="2">
        <v>137566</v>
      </c>
      <c r="O6" s="2">
        <v>70572</v>
      </c>
      <c r="P6" s="2">
        <v>247644</v>
      </c>
      <c r="Q6" s="2">
        <v>572837</v>
      </c>
      <c r="R6" s="2">
        <v>261579</v>
      </c>
      <c r="S6" s="2">
        <v>234864</v>
      </c>
      <c r="T6" s="22">
        <v>208730</v>
      </c>
      <c r="U6" s="2">
        <v>296537</v>
      </c>
      <c r="V6" s="22">
        <v>1001710</v>
      </c>
      <c r="W6" s="22">
        <v>331672</v>
      </c>
      <c r="X6" s="22">
        <v>256301</v>
      </c>
      <c r="Y6" s="22">
        <v>183267</v>
      </c>
      <c r="Z6" s="22">
        <v>460834</v>
      </c>
      <c r="AA6" s="2">
        <f>SUM(W6:Z6)</f>
        <v>1232074</v>
      </c>
      <c r="AB6" s="2">
        <v>430037</v>
      </c>
      <c r="AC6" s="2">
        <v>412137</v>
      </c>
      <c r="AD6" s="2">
        <v>253922</v>
      </c>
      <c r="AE6" s="2"/>
      <c r="AF6" s="2">
        <f>SUM(AB6:AE6)</f>
        <v>1096096</v>
      </c>
    </row>
    <row r="7" spans="2:32" ht="15" customHeight="1" x14ac:dyDescent="0.2">
      <c r="B7" s="1" t="s">
        <v>46</v>
      </c>
      <c r="D7" s="3">
        <v>-41324</v>
      </c>
      <c r="E7" s="3">
        <v>-6086</v>
      </c>
      <c r="F7" s="3">
        <v>-18072</v>
      </c>
      <c r="G7" s="3">
        <v>-58517</v>
      </c>
      <c r="H7" s="3">
        <v>-25840</v>
      </c>
      <c r="I7" s="3">
        <v>-16862</v>
      </c>
      <c r="J7" s="3">
        <v>-14126</v>
      </c>
      <c r="K7" s="3">
        <v>-23917</v>
      </c>
      <c r="L7" s="3">
        <v>-80745</v>
      </c>
      <c r="M7" s="3">
        <v>-21869</v>
      </c>
      <c r="N7" s="3">
        <v>-25827</v>
      </c>
      <c r="O7" s="3">
        <v>-14188</v>
      </c>
      <c r="P7" s="3">
        <v>-55374</v>
      </c>
      <c r="Q7" s="3">
        <v>-117258</v>
      </c>
      <c r="R7" s="3">
        <v>-67220</v>
      </c>
      <c r="S7" s="3">
        <v>-43120</v>
      </c>
      <c r="T7" s="23">
        <v>-44485</v>
      </c>
      <c r="U7" s="3">
        <v>-66305</v>
      </c>
      <c r="V7" s="23">
        <v>-221130</v>
      </c>
      <c r="W7" s="23">
        <v>-87125</v>
      </c>
      <c r="X7" s="23">
        <v>-68103</v>
      </c>
      <c r="Y7" s="23">
        <v>-44766</v>
      </c>
      <c r="Z7" s="23">
        <v>-94413</v>
      </c>
      <c r="AA7" s="3">
        <f>SUM(W7:Z7)</f>
        <v>-294407</v>
      </c>
      <c r="AB7" s="3">
        <v>-116578</v>
      </c>
      <c r="AC7" s="3">
        <v>-133054</v>
      </c>
      <c r="AD7" s="3">
        <v>-62820</v>
      </c>
      <c r="AE7" s="3"/>
      <c r="AF7" s="3">
        <f>SUM(AB7:AE7)</f>
        <v>-312452</v>
      </c>
    </row>
    <row r="8" spans="2:32" ht="15" customHeight="1" x14ac:dyDescent="0.2">
      <c r="D8" s="2"/>
      <c r="E8" s="2"/>
      <c r="F8" s="2"/>
      <c r="G8" s="2"/>
      <c r="H8" s="2"/>
      <c r="I8" s="2"/>
      <c r="J8" s="2"/>
      <c r="K8" s="2"/>
      <c r="L8" s="2"/>
      <c r="M8" s="2"/>
      <c r="N8" s="2"/>
      <c r="O8" s="2"/>
      <c r="P8" s="2"/>
      <c r="Q8" s="2"/>
      <c r="R8" s="2"/>
      <c r="S8" s="2"/>
      <c r="T8" s="22"/>
      <c r="U8" s="2"/>
      <c r="V8" s="22"/>
      <c r="W8" s="22"/>
      <c r="X8" s="22"/>
      <c r="Y8" s="22"/>
      <c r="Z8" s="22"/>
      <c r="AA8" s="2"/>
      <c r="AB8" s="2"/>
      <c r="AC8" s="2"/>
      <c r="AD8" s="2"/>
      <c r="AE8" s="2"/>
      <c r="AF8" s="2"/>
    </row>
    <row r="9" spans="2:32" ht="15" customHeight="1" x14ac:dyDescent="0.2">
      <c r="B9" s="1" t="s">
        <v>47</v>
      </c>
      <c r="D9" s="3">
        <f>SUM(D6:D7)</f>
        <v>117946</v>
      </c>
      <c r="E9" s="3">
        <f>SUM(E6:E7)</f>
        <v>32329</v>
      </c>
      <c r="F9" s="3">
        <f>SUM(F6:F7)</f>
        <v>51800</v>
      </c>
      <c r="G9" s="3">
        <f t="shared" ref="G9:Q9" si="0">SUM(G6:G7)</f>
        <v>185865</v>
      </c>
      <c r="H9" s="3">
        <f t="shared" si="0"/>
        <v>87794</v>
      </c>
      <c r="I9" s="3">
        <f t="shared" si="0"/>
        <v>64574</v>
      </c>
      <c r="J9" s="3">
        <f t="shared" si="0"/>
        <v>50776</v>
      </c>
      <c r="K9" s="3">
        <f t="shared" si="0"/>
        <v>97092</v>
      </c>
      <c r="L9" s="3">
        <f t="shared" si="0"/>
        <v>300236</v>
      </c>
      <c r="M9" s="3">
        <f t="shared" si="0"/>
        <v>95186</v>
      </c>
      <c r="N9" s="3">
        <f t="shared" si="0"/>
        <v>111739</v>
      </c>
      <c r="O9" s="3">
        <f t="shared" si="0"/>
        <v>56384</v>
      </c>
      <c r="P9" s="3">
        <f t="shared" si="0"/>
        <v>192270</v>
      </c>
      <c r="Q9" s="3">
        <f t="shared" si="0"/>
        <v>455579</v>
      </c>
      <c r="R9" s="3">
        <f>SUM(R6:R7)</f>
        <v>194359</v>
      </c>
      <c r="S9" s="3">
        <f>SUM(S6:S7)</f>
        <v>191744</v>
      </c>
      <c r="T9" s="23">
        <f>SUM(T6:T8)</f>
        <v>164245</v>
      </c>
      <c r="U9" s="23">
        <f>SUM(U6:U8)</f>
        <v>230232</v>
      </c>
      <c r="V9" s="23">
        <f>SUM(V6:V8)</f>
        <v>780580</v>
      </c>
      <c r="W9" s="3">
        <f>SUM(W6:W7)</f>
        <v>244547</v>
      </c>
      <c r="X9" s="3">
        <f>SUM(X6:X7)</f>
        <v>188198</v>
      </c>
      <c r="Y9" s="3">
        <f>SUM(Y6:Y7)</f>
        <v>138501</v>
      </c>
      <c r="Z9" s="3">
        <f>SUM(Z6:Z7)</f>
        <v>366421</v>
      </c>
      <c r="AA9" s="3">
        <f>SUM(AA6:AA8)</f>
        <v>937667</v>
      </c>
      <c r="AB9" s="3">
        <f>SUM(AB6:AB7)</f>
        <v>313459</v>
      </c>
      <c r="AC9" s="3">
        <f>SUM(AC6:AC7)</f>
        <v>279083</v>
      </c>
      <c r="AD9" s="3">
        <f>SUM(AD6:AD7)</f>
        <v>191102</v>
      </c>
      <c r="AE9" s="3"/>
      <c r="AF9" s="3">
        <f>SUM(AF6:AF8)</f>
        <v>783644</v>
      </c>
    </row>
    <row r="10" spans="2:32" ht="15" customHeight="1" x14ac:dyDescent="0.2">
      <c r="D10" s="2"/>
      <c r="E10" s="2"/>
      <c r="F10" s="2"/>
      <c r="G10" s="2"/>
      <c r="H10" s="2"/>
      <c r="I10" s="2"/>
      <c r="J10" s="2"/>
      <c r="K10" s="2"/>
      <c r="L10" s="2"/>
      <c r="M10" s="2"/>
      <c r="N10" s="2"/>
      <c r="O10" s="2"/>
      <c r="P10" s="2"/>
      <c r="Q10" s="2"/>
      <c r="R10" s="2"/>
      <c r="S10" s="2"/>
      <c r="T10" s="22"/>
      <c r="U10" s="2"/>
      <c r="V10" s="22"/>
      <c r="W10" s="22"/>
      <c r="X10" s="22"/>
      <c r="Y10" s="22"/>
      <c r="Z10" s="22"/>
      <c r="AA10" s="2"/>
      <c r="AB10" s="2"/>
      <c r="AC10" s="2"/>
      <c r="AD10" s="2"/>
      <c r="AE10" s="2"/>
      <c r="AF10" s="2"/>
    </row>
    <row r="11" spans="2:32" ht="15" customHeight="1" x14ac:dyDescent="0.2">
      <c r="B11" s="1" t="s">
        <v>48</v>
      </c>
      <c r="D11" s="2">
        <v>-40317</v>
      </c>
      <c r="E11" s="2">
        <v>-16419</v>
      </c>
      <c r="F11" s="2">
        <v>-19748</v>
      </c>
      <c r="G11" s="2">
        <v>-65314</v>
      </c>
      <c r="H11" s="2">
        <v>-24312</v>
      </c>
      <c r="I11" s="2">
        <v>-24074</v>
      </c>
      <c r="J11" s="2">
        <v>-29683</v>
      </c>
      <c r="K11" s="2">
        <v>-35201</v>
      </c>
      <c r="L11" s="2">
        <v>-113270</v>
      </c>
      <c r="M11" s="2">
        <v>-36135</v>
      </c>
      <c r="N11" s="2">
        <v>-39315</v>
      </c>
      <c r="O11" s="2">
        <v>-47639</v>
      </c>
      <c r="P11" s="2">
        <v>-76691</v>
      </c>
      <c r="Q11" s="2">
        <v>-199780</v>
      </c>
      <c r="R11" s="2">
        <v>-87900</v>
      </c>
      <c r="S11" s="2">
        <v>-88070</v>
      </c>
      <c r="T11" s="22">
        <v>-98612</v>
      </c>
      <c r="U11" s="2">
        <v>-97687</v>
      </c>
      <c r="V11" s="22">
        <v>-372269</v>
      </c>
      <c r="W11" s="22">
        <v>-119658</v>
      </c>
      <c r="X11" s="22">
        <v>-118727</v>
      </c>
      <c r="Y11" s="22">
        <v>-114982</v>
      </c>
      <c r="Z11" s="22">
        <v>-142931</v>
      </c>
      <c r="AA11" s="2">
        <f>SUM(W11:Z11)</f>
        <v>-496298</v>
      </c>
      <c r="AB11" s="2">
        <v>-164353</v>
      </c>
      <c r="AC11" s="2">
        <v>-174439</v>
      </c>
      <c r="AD11" s="2">
        <v>-153549</v>
      </c>
      <c r="AE11" s="2"/>
      <c r="AF11" s="2">
        <f>SUM(AB11:AE11)</f>
        <v>-492341</v>
      </c>
    </row>
    <row r="12" spans="2:32" ht="15" customHeight="1" x14ac:dyDescent="0.2">
      <c r="B12" s="1" t="s">
        <v>49</v>
      </c>
      <c r="D12" s="2">
        <v>-32650</v>
      </c>
      <c r="E12" s="2">
        <v>-11237</v>
      </c>
      <c r="F12" s="2">
        <v>-17991</v>
      </c>
      <c r="G12" s="2">
        <v>-48931</v>
      </c>
      <c r="H12" s="2">
        <v>-13695</v>
      </c>
      <c r="I12" s="2">
        <v>-17033</v>
      </c>
      <c r="J12" s="2">
        <v>-77016</v>
      </c>
      <c r="K12" s="2">
        <v>-22010</v>
      </c>
      <c r="L12" s="2">
        <v>-129754</v>
      </c>
      <c r="M12" s="2">
        <v>-20832</v>
      </c>
      <c r="N12" s="2">
        <v>-44926</v>
      </c>
      <c r="O12" s="2">
        <v>-69515</v>
      </c>
      <c r="P12" s="2">
        <v>-56165</v>
      </c>
      <c r="Q12" s="2">
        <v>-191438</v>
      </c>
      <c r="R12" s="2">
        <v>-66783</v>
      </c>
      <c r="S12" s="2">
        <v>-60139</v>
      </c>
      <c r="T12" s="22">
        <v>-72108</v>
      </c>
      <c r="U12" s="2">
        <v>-71528</v>
      </c>
      <c r="V12" s="22">
        <v>-270558</v>
      </c>
      <c r="W12" s="22">
        <v>-74306</v>
      </c>
      <c r="X12" s="22">
        <v>-61988</v>
      </c>
      <c r="Y12" s="22">
        <v>-109867</v>
      </c>
      <c r="Z12" s="22">
        <v>-82482</v>
      </c>
      <c r="AA12" s="2">
        <f>SUM(W12:Z12)</f>
        <v>-328643</v>
      </c>
      <c r="AB12" s="2">
        <v>-86100</v>
      </c>
      <c r="AC12" s="2">
        <v>-80037</v>
      </c>
      <c r="AD12" s="2">
        <v>-85518</v>
      </c>
      <c r="AE12" s="2"/>
      <c r="AF12" s="2">
        <f>SUM(AB12:AE12)</f>
        <v>-251655</v>
      </c>
    </row>
    <row r="13" spans="2:32" ht="15" customHeight="1" x14ac:dyDescent="0.2">
      <c r="B13" s="1" t="s">
        <v>134</v>
      </c>
      <c r="D13" s="3">
        <v>3606</v>
      </c>
      <c r="E13" s="3">
        <v>502</v>
      </c>
      <c r="F13" s="3">
        <v>1571</v>
      </c>
      <c r="G13" s="3">
        <v>3299</v>
      </c>
      <c r="H13" s="3">
        <v>3648</v>
      </c>
      <c r="I13" s="3">
        <v>-1476</v>
      </c>
      <c r="J13" s="3">
        <v>2342</v>
      </c>
      <c r="K13" s="3">
        <v>342</v>
      </c>
      <c r="L13" s="3">
        <v>4856</v>
      </c>
      <c r="M13" s="3">
        <v>3359</v>
      </c>
      <c r="N13" s="3">
        <v>-437</v>
      </c>
      <c r="O13" s="3">
        <v>-471</v>
      </c>
      <c r="P13" s="3">
        <v>-8738</v>
      </c>
      <c r="Q13" s="3">
        <v>-6287</v>
      </c>
      <c r="R13" s="3">
        <v>412</v>
      </c>
      <c r="S13" s="3">
        <v>347</v>
      </c>
      <c r="T13" s="23">
        <v>3234</v>
      </c>
      <c r="U13" s="3">
        <v>-6251</v>
      </c>
      <c r="V13" s="23">
        <v>-2258</v>
      </c>
      <c r="W13" s="23">
        <v>1525</v>
      </c>
      <c r="X13" s="23">
        <v>975</v>
      </c>
      <c r="Y13" s="23">
        <v>413</v>
      </c>
      <c r="Z13" s="23">
        <v>13760</v>
      </c>
      <c r="AA13" s="3">
        <f>SUM(W13:Z13)</f>
        <v>16673</v>
      </c>
      <c r="AB13" s="3">
        <v>17394</v>
      </c>
      <c r="AC13" s="3">
        <v>1676</v>
      </c>
      <c r="AD13" s="3">
        <v>-1714</v>
      </c>
      <c r="AE13" s="3"/>
      <c r="AF13" s="3">
        <f>SUM(AB13:AE13)</f>
        <v>17356</v>
      </c>
    </row>
    <row r="14" spans="2:32" ht="15" customHeight="1" x14ac:dyDescent="0.2">
      <c r="D14" s="2"/>
      <c r="E14" s="2"/>
      <c r="F14" s="2"/>
      <c r="G14" s="2"/>
      <c r="H14" s="2"/>
      <c r="I14" s="2"/>
      <c r="J14" s="2"/>
      <c r="K14" s="2"/>
      <c r="L14" s="2"/>
      <c r="M14" s="2"/>
      <c r="N14" s="2"/>
      <c r="O14" s="2"/>
      <c r="P14" s="2"/>
      <c r="Q14" s="2"/>
      <c r="R14" s="2"/>
      <c r="S14" s="2"/>
      <c r="T14" s="22"/>
      <c r="U14" s="2"/>
      <c r="V14" s="22"/>
      <c r="W14" s="22"/>
      <c r="X14" s="22"/>
      <c r="Y14" s="22"/>
      <c r="Z14" s="22"/>
      <c r="AA14" s="2"/>
      <c r="AB14" s="2"/>
      <c r="AC14" s="2"/>
      <c r="AD14" s="2"/>
      <c r="AE14" s="2"/>
      <c r="AF14" s="2"/>
    </row>
    <row r="15" spans="2:32" ht="15" customHeight="1" x14ac:dyDescent="0.2">
      <c r="B15" s="1" t="s">
        <v>133</v>
      </c>
      <c r="D15" s="3">
        <f t="shared" ref="D15:Q15" si="1">SUM(D11:D13)+D9</f>
        <v>48585</v>
      </c>
      <c r="E15" s="3">
        <f t="shared" si="1"/>
        <v>5175</v>
      </c>
      <c r="F15" s="3">
        <f t="shared" si="1"/>
        <v>15632</v>
      </c>
      <c r="G15" s="3">
        <f t="shared" si="1"/>
        <v>74919</v>
      </c>
      <c r="H15" s="3">
        <f t="shared" si="1"/>
        <v>53435</v>
      </c>
      <c r="I15" s="3">
        <f t="shared" si="1"/>
        <v>21991</v>
      </c>
      <c r="J15" s="3">
        <f t="shared" si="1"/>
        <v>-53581</v>
      </c>
      <c r="K15" s="3">
        <f t="shared" si="1"/>
        <v>40223</v>
      </c>
      <c r="L15" s="3">
        <f t="shared" si="1"/>
        <v>62068</v>
      </c>
      <c r="M15" s="3">
        <f t="shared" si="1"/>
        <v>41578</v>
      </c>
      <c r="N15" s="3">
        <f t="shared" si="1"/>
        <v>27061</v>
      </c>
      <c r="O15" s="3">
        <f t="shared" si="1"/>
        <v>-61241</v>
      </c>
      <c r="P15" s="3">
        <f t="shared" si="1"/>
        <v>50676</v>
      </c>
      <c r="Q15" s="3">
        <f t="shared" si="1"/>
        <v>58074</v>
      </c>
      <c r="R15" s="3">
        <f>SUM(R11:R13)+R9</f>
        <v>40088</v>
      </c>
      <c r="S15" s="3">
        <f>SUM(S11:S13)+S9</f>
        <v>43882</v>
      </c>
      <c r="T15" s="23">
        <f>SUM(T9:T14)</f>
        <v>-3241</v>
      </c>
      <c r="U15" s="23">
        <f>SUM(U9:U14)</f>
        <v>54766</v>
      </c>
      <c r="V15" s="23">
        <f>SUM(V9:V14)</f>
        <v>135495</v>
      </c>
      <c r="W15" s="3">
        <f>SUM(W11:W13)+W9</f>
        <v>52108</v>
      </c>
      <c r="X15" s="3">
        <f>SUM(X11:X13)+X9</f>
        <v>8458</v>
      </c>
      <c r="Y15" s="3">
        <f>SUM(Y11:Y13)+Y9</f>
        <v>-85935</v>
      </c>
      <c r="Z15" s="3">
        <f>SUM(Z11:Z13)+Z9</f>
        <v>154768</v>
      </c>
      <c r="AA15" s="3">
        <f>SUM(AA9:AA14)</f>
        <v>129399</v>
      </c>
      <c r="AB15" s="3">
        <f>SUM(AB11:AB13)+AB9</f>
        <v>80400</v>
      </c>
      <c r="AC15" s="3">
        <f>SUM(AC11:AC13)+AC9</f>
        <v>26283</v>
      </c>
      <c r="AD15" s="3">
        <f>SUM(AD11:AD13)+AD9</f>
        <v>-49679</v>
      </c>
      <c r="AE15" s="3"/>
      <c r="AF15" s="3">
        <f>SUM(AF9:AF14)</f>
        <v>57004</v>
      </c>
    </row>
    <row r="16" spans="2:32" ht="15" customHeight="1" x14ac:dyDescent="0.2">
      <c r="D16" s="2"/>
      <c r="E16" s="2"/>
      <c r="F16" s="2"/>
      <c r="G16" s="2"/>
      <c r="H16" s="2"/>
      <c r="I16" s="2"/>
      <c r="J16" s="2"/>
      <c r="K16" s="2"/>
      <c r="L16" s="2"/>
      <c r="M16" s="2"/>
      <c r="N16" s="2"/>
      <c r="O16" s="2"/>
      <c r="P16" s="2"/>
      <c r="Q16" s="2"/>
      <c r="R16" s="2"/>
      <c r="S16" s="2"/>
      <c r="T16" s="22"/>
      <c r="U16" s="2"/>
      <c r="V16" s="22"/>
      <c r="W16" s="22"/>
      <c r="X16" s="22"/>
      <c r="Y16" s="22"/>
      <c r="Z16" s="22"/>
      <c r="AA16" s="2"/>
      <c r="AB16" s="2"/>
      <c r="AC16" s="2"/>
      <c r="AD16" s="2"/>
      <c r="AE16" s="2"/>
      <c r="AF16" s="2"/>
    </row>
    <row r="17" spans="2:32" ht="15" customHeight="1" x14ac:dyDescent="0.2">
      <c r="B17" s="1" t="s">
        <v>50</v>
      </c>
      <c r="D17" s="2">
        <v>47167</v>
      </c>
      <c r="E17" s="2">
        <v>4381</v>
      </c>
      <c r="F17" s="2">
        <v>240</v>
      </c>
      <c r="G17" s="2">
        <v>12531</v>
      </c>
      <c r="H17" s="2">
        <v>3709</v>
      </c>
      <c r="I17" s="2">
        <v>3582</v>
      </c>
      <c r="J17" s="2">
        <v>6492</v>
      </c>
      <c r="K17" s="2">
        <v>22835</v>
      </c>
      <c r="L17" s="2">
        <v>36618</v>
      </c>
      <c r="M17" s="2">
        <v>16956</v>
      </c>
      <c r="N17" s="2">
        <v>13961</v>
      </c>
      <c r="O17" s="2">
        <v>16187</v>
      </c>
      <c r="P17" s="2">
        <v>24943</v>
      </c>
      <c r="Q17" s="2">
        <v>72047</v>
      </c>
      <c r="R17" s="2">
        <v>9387</v>
      </c>
      <c r="S17" s="2">
        <v>12792</v>
      </c>
      <c r="T17" s="22">
        <v>13418</v>
      </c>
      <c r="U17" s="2">
        <v>9614</v>
      </c>
      <c r="V17" s="22">
        <v>45211</v>
      </c>
      <c r="W17" s="22">
        <v>9940</v>
      </c>
      <c r="X17" s="22">
        <v>12114</v>
      </c>
      <c r="Y17" s="22">
        <v>20353</v>
      </c>
      <c r="Z17" s="22">
        <v>48805</v>
      </c>
      <c r="AA17" s="2">
        <f>SUM(W17:Z17)</f>
        <v>91212</v>
      </c>
      <c r="AB17" s="2">
        <v>159233</v>
      </c>
      <c r="AC17" s="2">
        <v>214382</v>
      </c>
      <c r="AD17" s="2">
        <v>105629</v>
      </c>
      <c r="AE17" s="2"/>
      <c r="AF17" s="2">
        <f>SUM(AB17:AE17)</f>
        <v>479244</v>
      </c>
    </row>
    <row r="18" spans="2:32" ht="15" customHeight="1" x14ac:dyDescent="0.2">
      <c r="B18" s="1" t="s">
        <v>51</v>
      </c>
      <c r="D18" s="3">
        <v>-1803</v>
      </c>
      <c r="E18" s="3">
        <v>-8956</v>
      </c>
      <c r="F18" s="3">
        <v>-3505</v>
      </c>
      <c r="G18" s="3">
        <v>-20389</v>
      </c>
      <c r="H18" s="3">
        <v>-3925</v>
      </c>
      <c r="I18" s="3">
        <v>-3840</v>
      </c>
      <c r="J18" s="3">
        <v>-8241</v>
      </c>
      <c r="K18" s="3">
        <v>-182789</v>
      </c>
      <c r="L18" s="3">
        <v>-198795</v>
      </c>
      <c r="M18" s="3">
        <v>-16481</v>
      </c>
      <c r="N18" s="3">
        <v>-12374</v>
      </c>
      <c r="O18" s="3">
        <v>-104968</v>
      </c>
      <c r="P18" s="3">
        <v>-37032</v>
      </c>
      <c r="Q18" s="3">
        <v>-170855</v>
      </c>
      <c r="R18" s="3">
        <v>-38339</v>
      </c>
      <c r="S18" s="3">
        <v>-30752</v>
      </c>
      <c r="T18" s="23">
        <v>-44812</v>
      </c>
      <c r="U18" s="3">
        <v>-28110</v>
      </c>
      <c r="V18" s="23">
        <v>-142013</v>
      </c>
      <c r="W18" s="23">
        <v>-38614</v>
      </c>
      <c r="X18" s="23">
        <v>-45678</v>
      </c>
      <c r="Y18" s="23">
        <v>-124947</v>
      </c>
      <c r="Z18" s="23">
        <v>-162847</v>
      </c>
      <c r="AA18" s="3">
        <f>SUM(W18:Z18)</f>
        <v>-372086</v>
      </c>
      <c r="AB18" s="3">
        <v>-125101</v>
      </c>
      <c r="AC18" s="3">
        <v>-238485</v>
      </c>
      <c r="AD18" s="3">
        <v>-159511</v>
      </c>
      <c r="AE18" s="3"/>
      <c r="AF18" s="3">
        <f>SUM(AB18:AE18)</f>
        <v>-523097</v>
      </c>
    </row>
    <row r="19" spans="2:32" ht="15" customHeight="1" x14ac:dyDescent="0.2">
      <c r="D19" s="2"/>
      <c r="E19" s="2"/>
      <c r="F19" s="2"/>
      <c r="G19" s="2"/>
      <c r="H19" s="2"/>
      <c r="I19" s="2"/>
      <c r="J19" s="2"/>
      <c r="K19" s="2"/>
      <c r="L19" s="2"/>
      <c r="M19" s="2"/>
      <c r="N19" s="2"/>
      <c r="O19" s="2"/>
      <c r="P19" s="2"/>
      <c r="Q19" s="2"/>
      <c r="R19" s="2"/>
      <c r="S19" s="2"/>
      <c r="T19" s="22"/>
      <c r="U19" s="2"/>
      <c r="V19" s="22"/>
      <c r="W19" s="22"/>
      <c r="X19" s="22"/>
      <c r="Y19" s="22"/>
      <c r="Z19" s="22"/>
      <c r="AA19" s="2"/>
      <c r="AB19" s="2"/>
      <c r="AC19" s="2"/>
      <c r="AD19" s="2"/>
      <c r="AE19" s="2"/>
      <c r="AF19" s="2"/>
    </row>
    <row r="20" spans="2:32" ht="15" customHeight="1" x14ac:dyDescent="0.2">
      <c r="B20" s="1" t="s">
        <v>129</v>
      </c>
      <c r="D20" s="3">
        <f>SUM(D17:D18)</f>
        <v>45364</v>
      </c>
      <c r="E20" s="3">
        <f>SUM(E17:E18)</f>
        <v>-4575</v>
      </c>
      <c r="F20" s="3">
        <f>SUM(F17:F18)</f>
        <v>-3265</v>
      </c>
      <c r="G20" s="3">
        <f>SUM(G17:G18)</f>
        <v>-7858</v>
      </c>
      <c r="H20" s="3">
        <f t="shared" ref="H20:Q20" si="2">SUM(H17:H18)</f>
        <v>-216</v>
      </c>
      <c r="I20" s="3">
        <f t="shared" si="2"/>
        <v>-258</v>
      </c>
      <c r="J20" s="3">
        <f t="shared" si="2"/>
        <v>-1749</v>
      </c>
      <c r="K20" s="3">
        <f t="shared" si="2"/>
        <v>-159954</v>
      </c>
      <c r="L20" s="3">
        <f t="shared" si="2"/>
        <v>-162177</v>
      </c>
      <c r="M20" s="3">
        <f t="shared" si="2"/>
        <v>475</v>
      </c>
      <c r="N20" s="3">
        <f t="shared" si="2"/>
        <v>1587</v>
      </c>
      <c r="O20" s="3">
        <f t="shared" si="2"/>
        <v>-88781</v>
      </c>
      <c r="P20" s="3">
        <f t="shared" si="2"/>
        <v>-12089</v>
      </c>
      <c r="Q20" s="3">
        <f t="shared" si="2"/>
        <v>-98808</v>
      </c>
      <c r="R20" s="3">
        <f>SUM(R17:R18)</f>
        <v>-28952</v>
      </c>
      <c r="S20" s="3">
        <f>SUM(S17:S18)</f>
        <v>-17960</v>
      </c>
      <c r="T20" s="23">
        <f>SUM(T17:T19)</f>
        <v>-31394</v>
      </c>
      <c r="U20" s="23">
        <f>SUM(U17:U19)</f>
        <v>-18496</v>
      </c>
      <c r="V20" s="23">
        <f>SUM(V17:V19)</f>
        <v>-96802</v>
      </c>
      <c r="W20" s="3">
        <f>SUM(W17:W18)</f>
        <v>-28674</v>
      </c>
      <c r="X20" s="3">
        <f>SUM(X17:X18)</f>
        <v>-33564</v>
      </c>
      <c r="Y20" s="3">
        <f>SUM(Y17:Y18)</f>
        <v>-104594</v>
      </c>
      <c r="Z20" s="3">
        <f>SUM(Z17:Z18)</f>
        <v>-114042</v>
      </c>
      <c r="AA20" s="3">
        <f>SUM(AA17:AA19)</f>
        <v>-280874</v>
      </c>
      <c r="AB20" s="3">
        <f>SUM(AB17:AB18)</f>
        <v>34132</v>
      </c>
      <c r="AC20" s="3">
        <f>SUM(AC17:AC18)</f>
        <v>-24103</v>
      </c>
      <c r="AD20" s="3">
        <f>SUM(AD17:AD18)</f>
        <v>-53882</v>
      </c>
      <c r="AE20" s="3"/>
      <c r="AF20" s="3">
        <f>SUM(AF17:AF19)</f>
        <v>-43853</v>
      </c>
    </row>
    <row r="21" spans="2:32" ht="15" customHeight="1" x14ac:dyDescent="0.2">
      <c r="D21" s="2"/>
      <c r="E21" s="2"/>
      <c r="F21" s="2"/>
      <c r="G21" s="2"/>
      <c r="H21" s="2"/>
      <c r="I21" s="2"/>
      <c r="J21" s="2"/>
      <c r="K21" s="2"/>
      <c r="L21" s="2"/>
      <c r="M21" s="2"/>
      <c r="N21" s="2"/>
      <c r="O21" s="2"/>
      <c r="P21" s="2"/>
      <c r="Q21" s="2"/>
      <c r="R21" s="2"/>
      <c r="S21" s="2"/>
      <c r="T21" s="22"/>
      <c r="U21" s="2"/>
      <c r="V21" s="22"/>
      <c r="W21" s="22"/>
      <c r="X21" s="22"/>
      <c r="Y21" s="22"/>
      <c r="Z21" s="22"/>
      <c r="AA21" s="2"/>
      <c r="AB21" s="2"/>
      <c r="AC21" s="2"/>
      <c r="AD21" s="2"/>
      <c r="AE21" s="2"/>
      <c r="AF21" s="2"/>
    </row>
    <row r="22" spans="2:32" ht="15" customHeight="1" x14ac:dyDescent="0.2">
      <c r="B22" s="1" t="s">
        <v>60</v>
      </c>
      <c r="D22" s="2">
        <v>-1111</v>
      </c>
      <c r="E22" s="2">
        <v>-114</v>
      </c>
      <c r="F22" s="2">
        <v>-36</v>
      </c>
      <c r="G22" s="2">
        <v>-705</v>
      </c>
      <c r="H22" s="2">
        <v>-65</v>
      </c>
      <c r="I22" s="2">
        <v>-229</v>
      </c>
      <c r="J22" s="2">
        <v>-255</v>
      </c>
      <c r="K22" s="2">
        <v>-243</v>
      </c>
      <c r="L22" s="2">
        <v>-792</v>
      </c>
      <c r="M22" s="2">
        <v>-492</v>
      </c>
      <c r="N22" s="2">
        <v>-667</v>
      </c>
      <c r="O22" s="2">
        <v>-794</v>
      </c>
      <c r="P22" s="2">
        <v>153</v>
      </c>
      <c r="Q22" s="2">
        <v>-1800</v>
      </c>
      <c r="R22" s="2">
        <v>-706</v>
      </c>
      <c r="S22" s="2">
        <v>-3293</v>
      </c>
      <c r="T22" s="22">
        <v>-4042</v>
      </c>
      <c r="U22" s="2">
        <v>8450</v>
      </c>
      <c r="V22" s="22">
        <v>409</v>
      </c>
      <c r="W22" s="22">
        <v>-1023</v>
      </c>
      <c r="X22" s="22">
        <v>-1728</v>
      </c>
      <c r="Y22" s="22">
        <v>-5575</v>
      </c>
      <c r="Z22" s="22">
        <v>-13856</v>
      </c>
      <c r="AA22" s="2">
        <f>SUM(W22:Z22)</f>
        <v>-22182</v>
      </c>
      <c r="AB22" s="2">
        <v>-5642</v>
      </c>
      <c r="AC22" s="2">
        <v>-14294</v>
      </c>
      <c r="AD22" s="2">
        <v>-4284</v>
      </c>
      <c r="AE22" s="2"/>
      <c r="AF22" s="2">
        <f>SUM(AB22:AE22)</f>
        <v>-24220</v>
      </c>
    </row>
    <row r="23" spans="2:32" ht="15" customHeight="1" x14ac:dyDescent="0.2">
      <c r="D23" s="2"/>
      <c r="E23" s="2"/>
      <c r="F23" s="2"/>
      <c r="G23" s="2"/>
      <c r="H23" s="2"/>
      <c r="I23" s="2"/>
      <c r="J23" s="2"/>
      <c r="K23" s="2"/>
      <c r="L23" s="2"/>
      <c r="M23" s="2"/>
      <c r="N23" s="2"/>
      <c r="O23" s="2"/>
      <c r="P23" s="2"/>
      <c r="Q23" s="2"/>
      <c r="R23" s="2"/>
      <c r="S23" s="2"/>
      <c r="T23" s="22"/>
      <c r="U23" s="2"/>
      <c r="V23" s="22"/>
      <c r="W23" s="22"/>
      <c r="X23" s="22"/>
      <c r="Y23" s="22"/>
      <c r="Z23" s="22"/>
      <c r="AA23" s="2"/>
      <c r="AB23" s="2"/>
      <c r="AC23" s="2"/>
      <c r="AD23" s="2"/>
      <c r="AE23" s="2"/>
      <c r="AF23" s="2"/>
    </row>
    <row r="24" spans="2:32" ht="15" customHeight="1" x14ac:dyDescent="0.2">
      <c r="B24" s="1" t="s">
        <v>123</v>
      </c>
      <c r="D24" s="3">
        <f>D15+D20+D22</f>
        <v>92838</v>
      </c>
      <c r="E24" s="3">
        <f>E15+E20+E22</f>
        <v>486</v>
      </c>
      <c r="F24" s="3">
        <f>F15+F20+F22</f>
        <v>12331</v>
      </c>
      <c r="G24" s="3">
        <f>G15+G20+G22</f>
        <v>66356</v>
      </c>
      <c r="H24" s="3">
        <f>H15+H20+H22</f>
        <v>53154</v>
      </c>
      <c r="I24" s="3">
        <f t="shared" ref="I24:Q24" si="3">I15+I20+I22</f>
        <v>21504</v>
      </c>
      <c r="J24" s="3">
        <f t="shared" si="3"/>
        <v>-55585</v>
      </c>
      <c r="K24" s="3">
        <f t="shared" si="3"/>
        <v>-119974</v>
      </c>
      <c r="L24" s="3">
        <f t="shared" si="3"/>
        <v>-100901</v>
      </c>
      <c r="M24" s="3">
        <f t="shared" si="3"/>
        <v>41561</v>
      </c>
      <c r="N24" s="3">
        <f t="shared" si="3"/>
        <v>27981</v>
      </c>
      <c r="O24" s="3">
        <f t="shared" si="3"/>
        <v>-150816</v>
      </c>
      <c r="P24" s="3">
        <f t="shared" si="3"/>
        <v>38740</v>
      </c>
      <c r="Q24" s="3">
        <f t="shared" si="3"/>
        <v>-42534</v>
      </c>
      <c r="R24" s="3">
        <f t="shared" ref="R24:Y24" si="4">R15+R20+R22</f>
        <v>10430</v>
      </c>
      <c r="S24" s="3">
        <f t="shared" si="4"/>
        <v>22629</v>
      </c>
      <c r="T24" s="3">
        <f t="shared" si="4"/>
        <v>-38677</v>
      </c>
      <c r="U24" s="3">
        <f t="shared" si="4"/>
        <v>44720</v>
      </c>
      <c r="V24" s="3">
        <f t="shared" si="4"/>
        <v>39102</v>
      </c>
      <c r="W24" s="3">
        <f t="shared" si="4"/>
        <v>22411</v>
      </c>
      <c r="X24" s="3">
        <f t="shared" si="4"/>
        <v>-26834</v>
      </c>
      <c r="Y24" s="3">
        <f t="shared" si="4"/>
        <v>-196104</v>
      </c>
      <c r="Z24" s="3">
        <f>Z15+Z20+Z22</f>
        <v>26870</v>
      </c>
      <c r="AA24" s="3">
        <f>AA15+AA20+AA22</f>
        <v>-173657</v>
      </c>
      <c r="AB24" s="3">
        <f>AB15+AB20+AB22</f>
        <v>108890</v>
      </c>
      <c r="AC24" s="3">
        <f>AC15+AC20+AC22</f>
        <v>-12114</v>
      </c>
      <c r="AD24" s="3">
        <f>AD15+AD20+AD22</f>
        <v>-107845</v>
      </c>
      <c r="AE24" s="3"/>
      <c r="AF24" s="3">
        <f>AF15+AF20+AF22</f>
        <v>-11069</v>
      </c>
    </row>
    <row r="25" spans="2:32" ht="15" customHeight="1" x14ac:dyDescent="0.2">
      <c r="D25" s="2"/>
      <c r="E25" s="2"/>
      <c r="F25" s="2"/>
      <c r="G25" s="2"/>
      <c r="H25" s="2"/>
      <c r="I25" s="2"/>
      <c r="J25" s="2"/>
      <c r="K25" s="2"/>
      <c r="L25" s="2"/>
      <c r="M25" s="2"/>
      <c r="N25" s="2"/>
      <c r="O25" s="2"/>
      <c r="P25" s="2"/>
      <c r="Q25" s="2"/>
      <c r="R25" s="2"/>
      <c r="S25" s="2"/>
      <c r="T25" s="22"/>
      <c r="U25" s="2"/>
      <c r="V25" s="22"/>
      <c r="W25" s="22"/>
      <c r="X25" s="22"/>
      <c r="Y25" s="22"/>
      <c r="Z25" s="22"/>
      <c r="AA25" s="2"/>
      <c r="AB25" s="2"/>
      <c r="AC25" s="2"/>
      <c r="AD25" s="2"/>
      <c r="AE25" s="2"/>
      <c r="AF25" s="2"/>
    </row>
    <row r="26" spans="2:32" ht="15" customHeight="1" x14ac:dyDescent="0.2">
      <c r="B26" s="1" t="s">
        <v>3</v>
      </c>
      <c r="D26" s="2">
        <v>-12961</v>
      </c>
      <c r="E26" s="2">
        <v>-4596</v>
      </c>
      <c r="F26" s="2">
        <v>-8287</v>
      </c>
      <c r="G26" s="2">
        <v>-31010</v>
      </c>
      <c r="H26" s="2">
        <v>-14808</v>
      </c>
      <c r="I26" s="2">
        <v>-6071</v>
      </c>
      <c r="J26" s="2">
        <v>-2370</v>
      </c>
      <c r="K26" s="2">
        <v>-3304</v>
      </c>
      <c r="L26" s="2">
        <v>-26553</v>
      </c>
      <c r="M26" s="2">
        <v>-18252</v>
      </c>
      <c r="N26" s="2">
        <v>-10899</v>
      </c>
      <c r="O26" s="2">
        <v>-3103</v>
      </c>
      <c r="P26" s="2">
        <v>-14596</v>
      </c>
      <c r="Q26" s="2">
        <v>-46850</v>
      </c>
      <c r="R26" s="2">
        <v>-32188</v>
      </c>
      <c r="S26" s="2">
        <v>-22435</v>
      </c>
      <c r="T26" s="22">
        <v>-14218</v>
      </c>
      <c r="U26" s="2">
        <v>-18538</v>
      </c>
      <c r="V26" s="22">
        <v>-87379</v>
      </c>
      <c r="W26" s="22">
        <v>-17353</v>
      </c>
      <c r="X26" s="22">
        <v>-18544</v>
      </c>
      <c r="Y26" s="22">
        <v>-1246</v>
      </c>
      <c r="Z26" s="22">
        <v>-28466</v>
      </c>
      <c r="AA26" s="2">
        <f>SUM(W26:Z26)</f>
        <v>-65609</v>
      </c>
      <c r="AB26" s="2">
        <v>-21847</v>
      </c>
      <c r="AC26" s="2">
        <v>8038</v>
      </c>
      <c r="AD26" s="2">
        <v>-4385</v>
      </c>
      <c r="AE26" s="2"/>
      <c r="AF26" s="2">
        <f>SUM(AB26:AE26)</f>
        <v>-18194</v>
      </c>
    </row>
    <row r="27" spans="2:32" ht="15" customHeight="1" x14ac:dyDescent="0.2">
      <c r="B27" s="1" t="s">
        <v>52</v>
      </c>
      <c r="D27" s="2">
        <v>-5482</v>
      </c>
      <c r="E27" s="2">
        <v>3446</v>
      </c>
      <c r="F27" s="2">
        <v>4011</v>
      </c>
      <c r="G27" s="2">
        <v>8294</v>
      </c>
      <c r="H27" s="2">
        <v>2045</v>
      </c>
      <c r="I27" s="2">
        <v>-1517</v>
      </c>
      <c r="J27" s="2">
        <v>-2379</v>
      </c>
      <c r="K27" s="2">
        <v>46389</v>
      </c>
      <c r="L27" s="2">
        <v>44538</v>
      </c>
      <c r="M27" s="2">
        <v>7532</v>
      </c>
      <c r="N27" s="2">
        <v>8617</v>
      </c>
      <c r="O27" s="2">
        <v>45433</v>
      </c>
      <c r="P27" s="2">
        <v>18371</v>
      </c>
      <c r="Q27" s="2">
        <v>79953</v>
      </c>
      <c r="R27" s="2">
        <v>25579</v>
      </c>
      <c r="S27" s="2">
        <v>16050</v>
      </c>
      <c r="T27" s="22">
        <v>25407</v>
      </c>
      <c r="U27" s="2">
        <v>-1979</v>
      </c>
      <c r="V27" s="22">
        <v>65057</v>
      </c>
      <c r="W27" s="22">
        <v>6753</v>
      </c>
      <c r="X27" s="22">
        <v>25359</v>
      </c>
      <c r="Y27" s="22">
        <v>53290</v>
      </c>
      <c r="Z27" s="22">
        <v>-4219</v>
      </c>
      <c r="AA27" s="2">
        <f>SUM(W27:Z27)</f>
        <v>81183</v>
      </c>
      <c r="AB27" s="2">
        <v>15616</v>
      </c>
      <c r="AC27" s="2">
        <v>-9265</v>
      </c>
      <c r="AD27" s="2">
        <v>39766</v>
      </c>
      <c r="AE27" s="2"/>
      <c r="AF27" s="2">
        <f>SUM(AB27:AE27)</f>
        <v>46117</v>
      </c>
    </row>
    <row r="28" spans="2:32" ht="15" customHeight="1" x14ac:dyDescent="0.2">
      <c r="B28" s="1" t="s">
        <v>53</v>
      </c>
      <c r="D28" s="3">
        <f>SUM(D26:D27)</f>
        <v>-18443</v>
      </c>
      <c r="E28" s="3">
        <f>SUM(E26:E27)</f>
        <v>-1150</v>
      </c>
      <c r="F28" s="3">
        <f>SUM(F26:F27)</f>
        <v>-4276</v>
      </c>
      <c r="G28" s="3">
        <f>SUM(G26:G27)</f>
        <v>-22716</v>
      </c>
      <c r="H28" s="3">
        <f t="shared" ref="H28:R28" si="5">SUM(H26:H27)</f>
        <v>-12763</v>
      </c>
      <c r="I28" s="3">
        <f t="shared" si="5"/>
        <v>-7588</v>
      </c>
      <c r="J28" s="3">
        <f t="shared" si="5"/>
        <v>-4749</v>
      </c>
      <c r="K28" s="3">
        <f t="shared" si="5"/>
        <v>43085</v>
      </c>
      <c r="L28" s="3">
        <f t="shared" si="5"/>
        <v>17985</v>
      </c>
      <c r="M28" s="3">
        <f t="shared" si="5"/>
        <v>-10720</v>
      </c>
      <c r="N28" s="3">
        <f t="shared" si="5"/>
        <v>-2282</v>
      </c>
      <c r="O28" s="3">
        <f t="shared" si="5"/>
        <v>42330</v>
      </c>
      <c r="P28" s="3">
        <f t="shared" si="5"/>
        <v>3775</v>
      </c>
      <c r="Q28" s="3">
        <f t="shared" si="5"/>
        <v>33103</v>
      </c>
      <c r="R28" s="3">
        <f t="shared" si="5"/>
        <v>-6609</v>
      </c>
      <c r="S28" s="3">
        <f t="shared" ref="S28:Z28" si="6">SUM(S26:S27)</f>
        <v>-6385</v>
      </c>
      <c r="T28" s="3">
        <f t="shared" si="6"/>
        <v>11189</v>
      </c>
      <c r="U28" s="3">
        <f t="shared" si="6"/>
        <v>-20517</v>
      </c>
      <c r="V28" s="3">
        <f t="shared" si="6"/>
        <v>-22322</v>
      </c>
      <c r="W28" s="3">
        <f t="shared" si="6"/>
        <v>-10600</v>
      </c>
      <c r="X28" s="3">
        <f t="shared" si="6"/>
        <v>6815</v>
      </c>
      <c r="Y28" s="3">
        <f t="shared" si="6"/>
        <v>52044</v>
      </c>
      <c r="Z28" s="3">
        <f t="shared" si="6"/>
        <v>-32685</v>
      </c>
      <c r="AA28" s="3">
        <f>SUM(W28:Z28)</f>
        <v>15574</v>
      </c>
      <c r="AB28" s="3">
        <f>SUM(AB26:AB27)</f>
        <v>-6231</v>
      </c>
      <c r="AC28" s="3">
        <f>SUM(AC26:AC27)</f>
        <v>-1227</v>
      </c>
      <c r="AD28" s="3">
        <f>SUM(AD26:AD27)</f>
        <v>35381</v>
      </c>
      <c r="AE28" s="3"/>
      <c r="AF28" s="3">
        <f>SUM(AB28:AE28)</f>
        <v>27923</v>
      </c>
    </row>
    <row r="29" spans="2:32" ht="15" customHeight="1" x14ac:dyDescent="0.2">
      <c r="D29" s="2"/>
      <c r="E29" s="2"/>
      <c r="F29" s="2"/>
      <c r="G29" s="2"/>
      <c r="H29" s="2"/>
      <c r="I29" s="2"/>
      <c r="J29" s="2"/>
      <c r="K29" s="2"/>
      <c r="L29" s="2"/>
      <c r="M29" s="2"/>
      <c r="N29" s="2"/>
      <c r="O29" s="2"/>
      <c r="P29" s="2"/>
      <c r="Q29" s="2"/>
      <c r="R29" s="2"/>
      <c r="S29" s="2"/>
      <c r="T29" s="22"/>
      <c r="U29" s="2"/>
      <c r="V29" s="22"/>
      <c r="W29" s="22"/>
      <c r="X29" s="22"/>
      <c r="Y29" s="22"/>
      <c r="Z29" s="22"/>
      <c r="AA29" s="2"/>
      <c r="AB29" s="2"/>
      <c r="AC29" s="2"/>
      <c r="AD29" s="2"/>
      <c r="AE29" s="2"/>
      <c r="AF29" s="2"/>
    </row>
    <row r="30" spans="2:32" ht="15" customHeight="1" x14ac:dyDescent="0.2">
      <c r="B30" s="1" t="s">
        <v>124</v>
      </c>
      <c r="D30" s="3">
        <f>D24+D28</f>
        <v>74395</v>
      </c>
      <c r="E30" s="3">
        <f>E24+E28</f>
        <v>-664</v>
      </c>
      <c r="F30" s="3">
        <f>F24+F28</f>
        <v>8055</v>
      </c>
      <c r="G30" s="3">
        <f>G24+G28</f>
        <v>43640</v>
      </c>
      <c r="H30" s="3">
        <f t="shared" ref="H30:Q30" si="7">H24+H28</f>
        <v>40391</v>
      </c>
      <c r="I30" s="3">
        <f t="shared" si="7"/>
        <v>13916</v>
      </c>
      <c r="J30" s="3">
        <f t="shared" si="7"/>
        <v>-60334</v>
      </c>
      <c r="K30" s="3">
        <f t="shared" si="7"/>
        <v>-76889</v>
      </c>
      <c r="L30" s="3">
        <f t="shared" si="7"/>
        <v>-82916</v>
      </c>
      <c r="M30" s="3">
        <f t="shared" si="7"/>
        <v>30841</v>
      </c>
      <c r="N30" s="3">
        <f t="shared" si="7"/>
        <v>25699</v>
      </c>
      <c r="O30" s="3">
        <f t="shared" si="7"/>
        <v>-108486</v>
      </c>
      <c r="P30" s="3">
        <f t="shared" si="7"/>
        <v>42515</v>
      </c>
      <c r="Q30" s="3">
        <f t="shared" si="7"/>
        <v>-9431</v>
      </c>
      <c r="R30" s="3">
        <f t="shared" ref="R30:Y30" si="8">R24+R28</f>
        <v>3821</v>
      </c>
      <c r="S30" s="3">
        <f t="shared" si="8"/>
        <v>16244</v>
      </c>
      <c r="T30" s="3">
        <f t="shared" si="8"/>
        <v>-27488</v>
      </c>
      <c r="U30" s="3">
        <f t="shared" si="8"/>
        <v>24203</v>
      </c>
      <c r="V30" s="3">
        <f t="shared" si="8"/>
        <v>16780</v>
      </c>
      <c r="W30" s="3">
        <f t="shared" si="8"/>
        <v>11811</v>
      </c>
      <c r="X30" s="3">
        <f t="shared" si="8"/>
        <v>-20019</v>
      </c>
      <c r="Y30" s="3">
        <f t="shared" si="8"/>
        <v>-144060</v>
      </c>
      <c r="Z30" s="3">
        <f>Z24+Z28</f>
        <v>-5815</v>
      </c>
      <c r="AA30" s="3">
        <f>AA24+AA28</f>
        <v>-158083</v>
      </c>
      <c r="AB30" s="3">
        <f>AB24+AB28</f>
        <v>102659</v>
      </c>
      <c r="AC30" s="3">
        <f>AC24+AC28</f>
        <v>-13341</v>
      </c>
      <c r="AD30" s="3">
        <f>AD24+AD28</f>
        <v>-72464</v>
      </c>
      <c r="AE30" s="3"/>
      <c r="AF30" s="3">
        <f>AF24+AF28</f>
        <v>16854</v>
      </c>
    </row>
    <row r="31" spans="2:32" ht="15" customHeight="1" x14ac:dyDescent="0.2">
      <c r="D31" s="2"/>
      <c r="E31" s="2"/>
      <c r="F31" s="2"/>
      <c r="G31" s="2"/>
      <c r="H31" s="2"/>
      <c r="I31" s="2"/>
      <c r="J31" s="2"/>
      <c r="K31" s="2"/>
      <c r="L31" s="2"/>
      <c r="M31" s="2"/>
      <c r="N31" s="2"/>
      <c r="O31" s="2"/>
      <c r="P31" s="2"/>
      <c r="Q31" s="2"/>
      <c r="R31" s="2"/>
      <c r="S31" s="2"/>
      <c r="T31" s="22"/>
      <c r="U31" s="2"/>
      <c r="V31" s="22"/>
      <c r="W31" s="22"/>
      <c r="X31" s="22"/>
      <c r="Y31" s="22"/>
      <c r="Z31" s="22"/>
      <c r="AA31" s="2"/>
      <c r="AB31" s="2"/>
      <c r="AC31" s="2"/>
      <c r="AD31" s="2"/>
      <c r="AE31" s="2"/>
      <c r="AF31" s="2"/>
    </row>
    <row r="32" spans="2:32" ht="15" customHeight="1" x14ac:dyDescent="0.2">
      <c r="B32" s="1" t="s">
        <v>135</v>
      </c>
      <c r="D32" s="2"/>
      <c r="E32" s="2"/>
      <c r="F32" s="2"/>
      <c r="G32" s="2"/>
      <c r="H32" s="2"/>
      <c r="I32" s="2"/>
      <c r="J32" s="2"/>
      <c r="K32" s="2"/>
      <c r="L32" s="2"/>
      <c r="M32" s="2"/>
      <c r="N32" s="2"/>
      <c r="O32" s="2"/>
      <c r="P32" s="2"/>
      <c r="Q32" s="2"/>
      <c r="R32" s="2"/>
      <c r="S32" s="2"/>
      <c r="T32" s="22"/>
      <c r="U32" s="2"/>
      <c r="V32" s="22"/>
      <c r="W32" s="22"/>
      <c r="X32" s="22"/>
      <c r="Y32" s="22"/>
      <c r="Z32" s="22"/>
      <c r="AA32" s="2"/>
      <c r="AB32" s="2"/>
      <c r="AC32" s="2"/>
      <c r="AD32" s="2"/>
      <c r="AE32" s="2"/>
      <c r="AF32" s="2"/>
    </row>
    <row r="33" spans="2:32" ht="15" customHeight="1" x14ac:dyDescent="0.2">
      <c r="B33" s="1" t="s">
        <v>97</v>
      </c>
      <c r="D33" s="2">
        <v>75129</v>
      </c>
      <c r="E33" s="2">
        <v>179</v>
      </c>
      <c r="F33" s="2">
        <v>7964</v>
      </c>
      <c r="G33" s="2">
        <v>44255</v>
      </c>
      <c r="H33" s="2">
        <v>40539</v>
      </c>
      <c r="I33" s="2">
        <v>14143</v>
      </c>
      <c r="J33" s="2">
        <v>-60243</v>
      </c>
      <c r="K33" s="2">
        <v>-76819</v>
      </c>
      <c r="L33" s="2">
        <v>-82380</v>
      </c>
      <c r="M33" s="2">
        <v>30841</v>
      </c>
      <c r="N33" s="2">
        <v>25699</v>
      </c>
      <c r="O33" s="2">
        <v>-108486</v>
      </c>
      <c r="P33" s="2">
        <v>42515</v>
      </c>
      <c r="Q33" s="2">
        <v>-9431</v>
      </c>
      <c r="R33" s="2">
        <v>3821</v>
      </c>
      <c r="S33" s="2">
        <v>16244</v>
      </c>
      <c r="T33" s="22">
        <v>-27488</v>
      </c>
      <c r="U33" s="2">
        <v>24203</v>
      </c>
      <c r="V33" s="22">
        <v>16780</v>
      </c>
      <c r="W33" s="22">
        <v>11811</v>
      </c>
      <c r="X33" s="22">
        <v>-20019</v>
      </c>
      <c r="Y33" s="22">
        <v>-144060</v>
      </c>
      <c r="Z33" s="22">
        <v>-5815</v>
      </c>
      <c r="AA33" s="2">
        <f>SUM(W33:Z33)</f>
        <v>-158083</v>
      </c>
      <c r="AB33" s="2">
        <v>102659</v>
      </c>
      <c r="AC33" s="2">
        <v>-13341</v>
      </c>
      <c r="AD33" s="2">
        <v>-72464</v>
      </c>
      <c r="AE33" s="2"/>
      <c r="AF33" s="2">
        <f>SUM(AB33:AE33)</f>
        <v>16854</v>
      </c>
    </row>
    <row r="34" spans="2:32" ht="15" customHeight="1" x14ac:dyDescent="0.2">
      <c r="B34" s="1" t="s">
        <v>54</v>
      </c>
      <c r="D34" s="3">
        <v>-734</v>
      </c>
      <c r="E34" s="3">
        <v>-843</v>
      </c>
      <c r="F34" s="3">
        <v>91</v>
      </c>
      <c r="G34" s="3">
        <v>-615</v>
      </c>
      <c r="H34" s="3">
        <v>-148</v>
      </c>
      <c r="I34" s="3">
        <v>-227</v>
      </c>
      <c r="J34" s="3">
        <v>-91</v>
      </c>
      <c r="K34" s="3">
        <v>-70</v>
      </c>
      <c r="L34" s="3">
        <v>-536</v>
      </c>
      <c r="M34" s="3">
        <v>0</v>
      </c>
      <c r="N34" s="3">
        <v>0</v>
      </c>
      <c r="O34" s="3">
        <v>0</v>
      </c>
      <c r="P34" s="3">
        <v>0</v>
      </c>
      <c r="Q34" s="3">
        <v>0</v>
      </c>
      <c r="R34" s="3">
        <v>0</v>
      </c>
      <c r="S34" s="3">
        <v>0</v>
      </c>
      <c r="T34" s="23">
        <v>0</v>
      </c>
      <c r="U34" s="23">
        <v>0</v>
      </c>
      <c r="V34" s="23">
        <v>0</v>
      </c>
      <c r="W34" s="23">
        <v>0</v>
      </c>
      <c r="X34" s="23">
        <v>0</v>
      </c>
      <c r="Y34" s="23">
        <v>0</v>
      </c>
      <c r="Z34" s="23">
        <v>0</v>
      </c>
      <c r="AA34" s="3">
        <f>SUM(W34:Z34)</f>
        <v>0</v>
      </c>
      <c r="AB34" s="3">
        <v>0</v>
      </c>
      <c r="AC34" s="3">
        <v>0</v>
      </c>
      <c r="AD34" s="3">
        <v>0</v>
      </c>
      <c r="AE34" s="3"/>
      <c r="AF34" s="3">
        <f>SUM(AB34:AE34)</f>
        <v>0</v>
      </c>
    </row>
    <row r="35" spans="2:32" ht="15" customHeight="1" x14ac:dyDescent="0.2">
      <c r="D35" s="2"/>
      <c r="E35" s="2"/>
      <c r="F35" s="2"/>
      <c r="G35" s="2"/>
      <c r="H35" s="2"/>
      <c r="I35" s="2"/>
      <c r="J35" s="2"/>
      <c r="K35" s="2"/>
      <c r="L35" s="2"/>
      <c r="M35" s="2"/>
      <c r="N35" s="2"/>
      <c r="O35" s="2"/>
      <c r="P35" s="2"/>
      <c r="Q35" s="2"/>
      <c r="R35" s="2"/>
      <c r="S35" s="2"/>
      <c r="T35" s="22"/>
      <c r="U35" s="2"/>
      <c r="V35" s="22"/>
      <c r="W35" s="22"/>
      <c r="X35" s="22"/>
      <c r="Y35" s="22"/>
      <c r="Z35" s="22"/>
      <c r="AA35" s="2"/>
      <c r="AB35" s="2"/>
      <c r="AC35" s="2"/>
      <c r="AD35" s="2"/>
      <c r="AE35" s="2"/>
      <c r="AF35" s="2"/>
    </row>
    <row r="36" spans="2:32" ht="15" customHeight="1" x14ac:dyDescent="0.2">
      <c r="D36" s="3">
        <v>74395</v>
      </c>
      <c r="E36" s="3">
        <v>-664</v>
      </c>
      <c r="F36" s="3">
        <v>8055</v>
      </c>
      <c r="G36" s="3">
        <v>43640</v>
      </c>
      <c r="H36" s="3">
        <v>40391</v>
      </c>
      <c r="I36" s="3">
        <v>13916</v>
      </c>
      <c r="J36" s="3">
        <v>-60334</v>
      </c>
      <c r="K36" s="3">
        <v>-76889</v>
      </c>
      <c r="L36" s="3">
        <v>-82916</v>
      </c>
      <c r="M36" s="3">
        <v>30841</v>
      </c>
      <c r="N36" s="3">
        <v>25699</v>
      </c>
      <c r="O36" s="3">
        <v>-108486</v>
      </c>
      <c r="P36" s="3">
        <f t="shared" ref="P36:U36" si="9">P33+P34</f>
        <v>42515</v>
      </c>
      <c r="Q36" s="3">
        <f t="shared" si="9"/>
        <v>-9431</v>
      </c>
      <c r="R36" s="3">
        <f t="shared" si="9"/>
        <v>3821</v>
      </c>
      <c r="S36" s="3">
        <f t="shared" si="9"/>
        <v>16244</v>
      </c>
      <c r="T36" s="3">
        <f t="shared" si="9"/>
        <v>-27488</v>
      </c>
      <c r="U36" s="3">
        <f t="shared" si="9"/>
        <v>24203</v>
      </c>
      <c r="V36" s="3">
        <f t="shared" ref="V36:AD36" si="10">V33+V34</f>
        <v>16780</v>
      </c>
      <c r="W36" s="3">
        <f t="shared" si="10"/>
        <v>11811</v>
      </c>
      <c r="X36" s="3">
        <f t="shared" si="10"/>
        <v>-20019</v>
      </c>
      <c r="Y36" s="3">
        <f t="shared" si="10"/>
        <v>-144060</v>
      </c>
      <c r="Z36" s="3">
        <f t="shared" si="10"/>
        <v>-5815</v>
      </c>
      <c r="AA36" s="3">
        <f t="shared" si="10"/>
        <v>-158083</v>
      </c>
      <c r="AB36" s="3">
        <f t="shared" si="10"/>
        <v>102659</v>
      </c>
      <c r="AC36" s="3">
        <f t="shared" si="10"/>
        <v>-13341</v>
      </c>
      <c r="AD36" s="3">
        <f t="shared" si="10"/>
        <v>-72464</v>
      </c>
      <c r="AE36" s="3"/>
      <c r="AF36" s="3">
        <f>AF33+AF34</f>
        <v>16854</v>
      </c>
    </row>
    <row r="37" spans="2:32" ht="15" customHeight="1" x14ac:dyDescent="0.2">
      <c r="T37" s="1"/>
      <c r="V37" s="1"/>
    </row>
  </sheetData>
  <pageMargins left="0.23622047244094491" right="0.23622047244094491" top="0.74803149606299213" bottom="0.74803149606299213" header="0.31496062992125984" footer="0.31496062992125984"/>
  <pageSetup paperSize="9" scale="66" orientation="landscape" r:id="rId1"/>
  <ignoredErrors>
    <ignoredError sqref="AA1:AA104857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EAEDC-0512-44B4-BBA4-A0AA062C7C68}">
  <sheetPr>
    <tabColor rgb="FF92D050"/>
    <pageSetUpPr fitToPage="1"/>
  </sheetPr>
  <dimension ref="B2:AD76"/>
  <sheetViews>
    <sheetView showGridLines="0" zoomScale="90" zoomScaleNormal="90" zoomScaleSheetLayoutView="80" workbookViewId="0">
      <pane xSplit="3" ySplit="5" topLeftCell="U64" activePane="bottomRight" state="frozen"/>
      <selection activeCell="V43" sqref="V43"/>
      <selection pane="topRight" activeCell="V43" sqref="V43"/>
      <selection pane="bottomLeft" activeCell="V43" sqref="V43"/>
      <selection pane="bottomRight" activeCell="AC75" sqref="AC75"/>
    </sheetView>
  </sheetViews>
  <sheetFormatPr defaultColWidth="12.7109375" defaultRowHeight="15" customHeight="1" outlineLevelRow="1" outlineLevelCol="1" x14ac:dyDescent="0.25"/>
  <cols>
    <col min="1" max="1" width="2.85546875" style="44" customWidth="1"/>
    <col min="2" max="2" width="54.28515625" style="44" customWidth="1"/>
    <col min="3" max="3" width="2.7109375" style="44" customWidth="1"/>
    <col min="4" max="11" width="14.7109375" style="44" hidden="1" customWidth="1" outlineLevel="1"/>
    <col min="12" max="12" width="10.7109375" style="44" customWidth="1" collapsed="1"/>
    <col min="13" max="19" width="10.7109375" style="44" customWidth="1"/>
    <col min="20" max="20" width="10.7109375" style="45" customWidth="1"/>
    <col min="21" max="21" width="10.7109375" style="44" customWidth="1"/>
    <col min="22" max="22" width="10.7109375" style="45" customWidth="1"/>
    <col min="23" max="24" width="10.7109375" style="44" customWidth="1"/>
    <col min="25" max="26" width="12.7109375" style="44"/>
    <col min="27" max="30" width="10.7109375" style="45" customWidth="1"/>
    <col min="31" max="16384" width="12.7109375" style="44"/>
  </cols>
  <sheetData>
    <row r="2" spans="2:30" ht="15" customHeight="1" x14ac:dyDescent="0.25">
      <c r="B2" s="43" t="s">
        <v>35</v>
      </c>
    </row>
    <row r="3" spans="2:30" ht="15" customHeight="1" x14ac:dyDescent="0.25">
      <c r="B3" s="44" t="s">
        <v>36</v>
      </c>
    </row>
    <row r="4" spans="2:30" ht="15" customHeight="1" x14ac:dyDescent="0.25">
      <c r="D4" s="46"/>
      <c r="E4" s="46"/>
      <c r="F4" s="46"/>
      <c r="G4" s="46"/>
      <c r="H4" s="46"/>
      <c r="I4" s="46"/>
      <c r="J4" s="46"/>
      <c r="K4" s="46"/>
      <c r="L4" s="46"/>
      <c r="M4" s="46"/>
      <c r="N4" s="46"/>
      <c r="O4" s="46"/>
      <c r="P4" s="46"/>
      <c r="Q4" s="46"/>
      <c r="R4" s="46"/>
      <c r="S4" s="46"/>
      <c r="T4" s="46"/>
      <c r="U4" s="46"/>
      <c r="V4" s="46"/>
      <c r="AA4" s="46"/>
      <c r="AB4" s="46"/>
      <c r="AC4" s="46"/>
      <c r="AD4" s="46"/>
    </row>
    <row r="5" spans="2:30" s="47" customFormat="1" ht="15" customHeight="1" x14ac:dyDescent="0.25">
      <c r="D5" s="47" t="s">
        <v>88</v>
      </c>
      <c r="E5" s="47" t="s">
        <v>86</v>
      </c>
      <c r="F5" s="47" t="s">
        <v>87</v>
      </c>
      <c r="G5" s="47" t="s">
        <v>37</v>
      </c>
      <c r="H5" s="47" t="s">
        <v>38</v>
      </c>
      <c r="I5" s="47" t="s">
        <v>39</v>
      </c>
      <c r="J5" s="47" t="s">
        <v>40</v>
      </c>
      <c r="K5" s="47" t="s">
        <v>41</v>
      </c>
      <c r="L5" s="47" t="s">
        <v>42</v>
      </c>
      <c r="M5" s="47" t="s">
        <v>43</v>
      </c>
      <c r="N5" s="47" t="s">
        <v>44</v>
      </c>
      <c r="O5" s="47" t="s">
        <v>45</v>
      </c>
      <c r="P5" s="47" t="s">
        <v>72</v>
      </c>
      <c r="Q5" s="47" t="s">
        <v>73</v>
      </c>
      <c r="R5" s="47" t="s">
        <v>120</v>
      </c>
      <c r="S5" s="47" t="s">
        <v>128</v>
      </c>
      <c r="T5" s="48" t="s">
        <v>130</v>
      </c>
      <c r="U5" s="47" t="s">
        <v>138</v>
      </c>
      <c r="V5" s="48" t="s">
        <v>139</v>
      </c>
      <c r="W5" s="47" t="s">
        <v>147</v>
      </c>
      <c r="X5" s="47" t="s">
        <v>169</v>
      </c>
      <c r="Y5" s="47" t="s">
        <v>199</v>
      </c>
      <c r="Z5" s="47" t="s">
        <v>201</v>
      </c>
      <c r="AA5" s="48" t="s">
        <v>202</v>
      </c>
      <c r="AB5" s="48" t="s">
        <v>210</v>
      </c>
      <c r="AC5" s="48" t="s">
        <v>211</v>
      </c>
      <c r="AD5" s="48" t="s">
        <v>212</v>
      </c>
    </row>
    <row r="6" spans="2:30" ht="15" hidden="1" customHeight="1" outlineLevel="1" x14ac:dyDescent="0.25">
      <c r="B6" s="44" t="s">
        <v>175</v>
      </c>
      <c r="D6" s="49"/>
      <c r="E6" s="49"/>
      <c r="F6" s="49"/>
      <c r="G6" s="49"/>
      <c r="H6" s="49"/>
      <c r="I6" s="49"/>
      <c r="J6" s="49"/>
      <c r="K6" s="49"/>
      <c r="L6" s="49">
        <f>407599-30456</f>
        <v>377143</v>
      </c>
      <c r="M6" s="49">
        <f>128905-11850</f>
        <v>117055</v>
      </c>
      <c r="N6" s="49">
        <f>146919-5913-3775</f>
        <v>137231</v>
      </c>
      <c r="O6" s="49">
        <f>75258-3763-1934</f>
        <v>69561</v>
      </c>
      <c r="P6" s="49">
        <v>246445</v>
      </c>
      <c r="Q6" s="49">
        <f>SUM(M6:P6)</f>
        <v>570292</v>
      </c>
      <c r="R6" s="49">
        <f>278717-19025</f>
        <v>259692</v>
      </c>
      <c r="S6" s="49">
        <f>253527-20597</f>
        <v>232930</v>
      </c>
      <c r="T6" s="49">
        <v>207529</v>
      </c>
      <c r="U6" s="49">
        <v>298222</v>
      </c>
      <c r="V6" s="49">
        <f>SUM(R6:U6)</f>
        <v>998373</v>
      </c>
      <c r="W6" s="49">
        <v>330840</v>
      </c>
      <c r="X6" s="49">
        <v>253631</v>
      </c>
      <c r="Y6" s="49">
        <v>179531</v>
      </c>
      <c r="Z6" s="49">
        <v>454685</v>
      </c>
      <c r="AA6" s="49">
        <f>SUM(W6:Z6)</f>
        <v>1218687</v>
      </c>
      <c r="AB6" s="49">
        <v>423223</v>
      </c>
      <c r="AC6" s="49">
        <v>411384</v>
      </c>
      <c r="AD6" s="49">
        <v>239087</v>
      </c>
    </row>
    <row r="7" spans="2:30" ht="15" hidden="1" customHeight="1" outlineLevel="1" x14ac:dyDescent="0.25">
      <c r="B7" s="44" t="s">
        <v>176</v>
      </c>
      <c r="D7" s="49"/>
      <c r="E7" s="50"/>
      <c r="F7" s="49"/>
      <c r="G7" s="49"/>
      <c r="H7" s="49"/>
      <c r="I7" s="49"/>
      <c r="J7" s="49"/>
      <c r="K7" s="49"/>
      <c r="L7" s="49">
        <v>4102</v>
      </c>
      <c r="M7" s="49">
        <v>0</v>
      </c>
      <c r="N7" s="49">
        <v>356</v>
      </c>
      <c r="O7" s="49">
        <v>1078</v>
      </c>
      <c r="P7" s="49">
        <v>1386</v>
      </c>
      <c r="Q7" s="49">
        <f>SUM(M7:P7)</f>
        <v>2820</v>
      </c>
      <c r="R7" s="49">
        <v>2184</v>
      </c>
      <c r="S7" s="49">
        <v>2136</v>
      </c>
      <c r="T7" s="49">
        <v>1400</v>
      </c>
      <c r="U7" s="49">
        <v>-1186</v>
      </c>
      <c r="V7" s="49">
        <f>SUM(R7:U7)</f>
        <v>4534</v>
      </c>
      <c r="W7" s="49">
        <v>1648</v>
      </c>
      <c r="X7" s="49">
        <v>3438</v>
      </c>
      <c r="Y7" s="49">
        <v>4684</v>
      </c>
      <c r="Z7" s="49">
        <v>7467</v>
      </c>
      <c r="AA7" s="49">
        <f>SUM(W7:Z7)</f>
        <v>17237</v>
      </c>
      <c r="AB7" s="49">
        <v>7931</v>
      </c>
      <c r="AC7" s="49">
        <v>1623</v>
      </c>
      <c r="AD7" s="49">
        <v>15477</v>
      </c>
    </row>
    <row r="8" spans="2:30" ht="15" hidden="1" customHeight="1" outlineLevel="1" x14ac:dyDescent="0.25">
      <c r="B8" s="44" t="s">
        <v>177</v>
      </c>
      <c r="F8" s="49"/>
      <c r="G8" s="49"/>
      <c r="K8" s="49"/>
      <c r="L8" s="49"/>
      <c r="M8" s="49"/>
      <c r="N8" s="49"/>
      <c r="O8" s="49"/>
      <c r="P8" s="49"/>
      <c r="Q8" s="49"/>
      <c r="R8" s="49"/>
      <c r="S8" s="49"/>
      <c r="T8" s="49"/>
      <c r="U8" s="49"/>
      <c r="V8" s="49"/>
      <c r="W8" s="49"/>
      <c r="X8" s="49"/>
      <c r="Y8" s="49"/>
      <c r="Z8" s="49"/>
      <c r="AA8" s="49"/>
      <c r="AB8" s="49"/>
      <c r="AC8" s="49" t="s">
        <v>230</v>
      </c>
      <c r="AD8" s="49" t="s">
        <v>230</v>
      </c>
    </row>
    <row r="9" spans="2:30" ht="15" hidden="1" customHeight="1" outlineLevel="1" x14ac:dyDescent="0.25">
      <c r="B9" s="51" t="s">
        <v>178</v>
      </c>
      <c r="D9" s="49"/>
      <c r="E9" s="50"/>
      <c r="F9" s="49"/>
      <c r="G9" s="49"/>
      <c r="H9" s="49"/>
      <c r="I9" s="49"/>
      <c r="J9" s="49"/>
      <c r="K9" s="49"/>
      <c r="L9" s="49">
        <v>-264</v>
      </c>
      <c r="M9" s="49">
        <v>0</v>
      </c>
      <c r="N9" s="49">
        <v>-21</v>
      </c>
      <c r="O9" s="49">
        <v>-67</v>
      </c>
      <c r="P9" s="49">
        <v>-187</v>
      </c>
      <c r="Q9" s="49">
        <f>SUM(M9:P9)</f>
        <v>-275</v>
      </c>
      <c r="R9" s="49">
        <v>-297</v>
      </c>
      <c r="S9" s="49">
        <v>-202</v>
      </c>
      <c r="T9" s="49">
        <v>-199</v>
      </c>
      <c r="U9" s="49">
        <v>-499</v>
      </c>
      <c r="V9" s="49">
        <f>SUM(R9:U9)</f>
        <v>-1197</v>
      </c>
      <c r="W9" s="49">
        <v>-816</v>
      </c>
      <c r="X9" s="49">
        <v>-768</v>
      </c>
      <c r="Y9" s="49">
        <v>-948</v>
      </c>
      <c r="Z9" s="49">
        <v>-1318</v>
      </c>
      <c r="AA9" s="49">
        <f>SUM(W9:Z9)</f>
        <v>-3850</v>
      </c>
      <c r="AB9" s="49">
        <v>-1117</v>
      </c>
      <c r="AC9" s="49">
        <v>-870</v>
      </c>
      <c r="AD9" s="49">
        <v>-642</v>
      </c>
    </row>
    <row r="10" spans="2:30" ht="15" customHeight="1" collapsed="1" x14ac:dyDescent="0.25">
      <c r="B10" s="52" t="s">
        <v>215</v>
      </c>
      <c r="C10" s="52"/>
      <c r="D10" s="50"/>
      <c r="E10" s="50"/>
      <c r="F10" s="50"/>
      <c r="G10" s="50"/>
      <c r="H10" s="50"/>
      <c r="I10" s="50"/>
      <c r="J10" s="50"/>
      <c r="K10" s="50"/>
      <c r="L10" s="50">
        <f t="shared" ref="L10:Y10" si="0">SUM(L6:L9)</f>
        <v>380981</v>
      </c>
      <c r="M10" s="50">
        <f t="shared" si="0"/>
        <v>117055</v>
      </c>
      <c r="N10" s="50">
        <f t="shared" si="0"/>
        <v>137566</v>
      </c>
      <c r="O10" s="50">
        <f t="shared" si="0"/>
        <v>70572</v>
      </c>
      <c r="P10" s="50">
        <f t="shared" si="0"/>
        <v>247644</v>
      </c>
      <c r="Q10" s="50">
        <f t="shared" si="0"/>
        <v>572837</v>
      </c>
      <c r="R10" s="50">
        <f t="shared" si="0"/>
        <v>261579</v>
      </c>
      <c r="S10" s="50">
        <f t="shared" si="0"/>
        <v>234864</v>
      </c>
      <c r="T10" s="50">
        <f t="shared" si="0"/>
        <v>208730</v>
      </c>
      <c r="U10" s="50">
        <f t="shared" si="0"/>
        <v>296537</v>
      </c>
      <c r="V10" s="50">
        <f t="shared" si="0"/>
        <v>1001710</v>
      </c>
      <c r="W10" s="50">
        <f t="shared" si="0"/>
        <v>331672</v>
      </c>
      <c r="X10" s="50">
        <f t="shared" si="0"/>
        <v>256301</v>
      </c>
      <c r="Y10" s="50">
        <f t="shared" si="0"/>
        <v>183267</v>
      </c>
      <c r="Z10" s="50">
        <f>SUM(Z6:Z9)</f>
        <v>460834</v>
      </c>
      <c r="AA10" s="50">
        <f>SUM(AA6:AA9)</f>
        <v>1232074</v>
      </c>
      <c r="AB10" s="50">
        <f>SUM(AB6:AB9)</f>
        <v>430037</v>
      </c>
      <c r="AC10" s="50">
        <f>SUM(AC6:AC9)</f>
        <v>412137</v>
      </c>
      <c r="AD10" s="50">
        <f>SUM(AD6:AD9)</f>
        <v>253922</v>
      </c>
    </row>
    <row r="11" spans="2:30" ht="15" customHeight="1" x14ac:dyDescent="0.25">
      <c r="E11" s="49"/>
    </row>
    <row r="12" spans="2:30" ht="15" hidden="1" customHeight="1" outlineLevel="1" x14ac:dyDescent="0.25">
      <c r="B12" s="44" t="s">
        <v>179</v>
      </c>
      <c r="L12" s="49">
        <v>41551</v>
      </c>
      <c r="M12" s="49">
        <v>11208</v>
      </c>
      <c r="N12" s="49">
        <v>11272</v>
      </c>
      <c r="O12" s="49">
        <v>5976</v>
      </c>
      <c r="P12" s="49">
        <v>33497</v>
      </c>
      <c r="Q12" s="49">
        <f t="shared" ref="Q12:Q17" si="1">SUM(M12:P12)</f>
        <v>61953</v>
      </c>
      <c r="R12" s="49">
        <v>43442</v>
      </c>
      <c r="S12" s="49">
        <v>17587</v>
      </c>
      <c r="T12" s="49">
        <v>25261</v>
      </c>
      <c r="U12" s="49">
        <v>36111</v>
      </c>
      <c r="V12" s="49">
        <f t="shared" ref="V12:V17" si="2">SUM(R12:U12)</f>
        <v>122401</v>
      </c>
      <c r="W12" s="49">
        <v>46628</v>
      </c>
      <c r="X12" s="49">
        <v>28209</v>
      </c>
      <c r="Y12" s="49">
        <v>14870</v>
      </c>
      <c r="Z12" s="49">
        <v>29105</v>
      </c>
      <c r="AA12" s="49">
        <f t="shared" ref="AA12:AA17" si="3">SUM(W12:Z12)</f>
        <v>118812</v>
      </c>
      <c r="AB12" s="49">
        <v>51551</v>
      </c>
      <c r="AC12" s="49">
        <v>52417</v>
      </c>
      <c r="AD12" s="49">
        <v>21511</v>
      </c>
    </row>
    <row r="13" spans="2:30" ht="15" hidden="1" customHeight="1" outlineLevel="1" x14ac:dyDescent="0.25">
      <c r="B13" s="44" t="s">
        <v>180</v>
      </c>
      <c r="L13" s="49">
        <v>11477</v>
      </c>
      <c r="M13" s="49">
        <v>2323</v>
      </c>
      <c r="N13" s="49">
        <v>3651</v>
      </c>
      <c r="O13" s="49">
        <v>1870</v>
      </c>
      <c r="P13" s="49">
        <v>4656</v>
      </c>
      <c r="Q13" s="49">
        <f t="shared" si="1"/>
        <v>12500</v>
      </c>
      <c r="R13" s="49">
        <v>5398</v>
      </c>
      <c r="S13" s="49">
        <v>6669</v>
      </c>
      <c r="T13" s="49">
        <v>5518</v>
      </c>
      <c r="U13" s="49">
        <v>7146</v>
      </c>
      <c r="V13" s="49">
        <f t="shared" si="2"/>
        <v>24731</v>
      </c>
      <c r="W13" s="49">
        <v>9326</v>
      </c>
      <c r="X13" s="49">
        <v>9228</v>
      </c>
      <c r="Y13" s="49">
        <v>5582</v>
      </c>
      <c r="Z13" s="49">
        <v>15222</v>
      </c>
      <c r="AA13" s="49">
        <f t="shared" si="3"/>
        <v>39358</v>
      </c>
      <c r="AB13" s="49">
        <v>16307</v>
      </c>
      <c r="AC13" s="49">
        <v>18071</v>
      </c>
      <c r="AD13" s="49">
        <v>8957</v>
      </c>
    </row>
    <row r="14" spans="2:30" ht="15" hidden="1" customHeight="1" outlineLevel="1" x14ac:dyDescent="0.25">
      <c r="B14" s="44" t="s">
        <v>58</v>
      </c>
      <c r="L14" s="49">
        <v>7252</v>
      </c>
      <c r="M14" s="49">
        <v>2228</v>
      </c>
      <c r="N14" s="49">
        <v>1332</v>
      </c>
      <c r="O14" s="49">
        <v>643</v>
      </c>
      <c r="P14" s="49">
        <v>4273</v>
      </c>
      <c r="Q14" s="49">
        <f t="shared" si="1"/>
        <v>8476</v>
      </c>
      <c r="R14" s="49">
        <v>2106</v>
      </c>
      <c r="S14" s="49">
        <v>1538</v>
      </c>
      <c r="T14" s="49">
        <v>-305</v>
      </c>
      <c r="U14" s="49">
        <v>4114</v>
      </c>
      <c r="V14" s="49">
        <f t="shared" si="2"/>
        <v>7453</v>
      </c>
      <c r="W14" s="49">
        <v>2224</v>
      </c>
      <c r="X14" s="49">
        <v>5162</v>
      </c>
      <c r="Y14" s="49">
        <v>5579</v>
      </c>
      <c r="Z14" s="49">
        <v>13813</v>
      </c>
      <c r="AA14" s="49">
        <f t="shared" si="3"/>
        <v>26778</v>
      </c>
      <c r="AB14" s="49">
        <v>2399</v>
      </c>
      <c r="AC14" s="49">
        <v>10940</v>
      </c>
      <c r="AD14" s="49">
        <v>9264</v>
      </c>
    </row>
    <row r="15" spans="2:30" ht="15" hidden="1" customHeight="1" outlineLevel="1" x14ac:dyDescent="0.25">
      <c r="B15" s="44" t="s">
        <v>181</v>
      </c>
      <c r="L15" s="49">
        <v>7687</v>
      </c>
      <c r="M15" s="49">
        <v>3094</v>
      </c>
      <c r="N15" s="49">
        <v>4387</v>
      </c>
      <c r="O15" s="49">
        <v>2330</v>
      </c>
      <c r="P15" s="49">
        <v>4758</v>
      </c>
      <c r="Q15" s="49">
        <f t="shared" si="1"/>
        <v>14569</v>
      </c>
      <c r="R15" s="49">
        <v>6491</v>
      </c>
      <c r="S15" s="49">
        <v>4401</v>
      </c>
      <c r="T15" s="49">
        <v>3108</v>
      </c>
      <c r="U15" s="49">
        <v>2452</v>
      </c>
      <c r="V15" s="49">
        <f t="shared" si="2"/>
        <v>16452</v>
      </c>
      <c r="W15" s="49">
        <v>8004</v>
      </c>
      <c r="X15" s="49">
        <v>5649</v>
      </c>
      <c r="Y15" s="49">
        <v>3970</v>
      </c>
      <c r="Z15" s="49">
        <v>7208</v>
      </c>
      <c r="AA15" s="49">
        <f t="shared" si="3"/>
        <v>24831</v>
      </c>
      <c r="AB15" s="49">
        <v>14099</v>
      </c>
      <c r="AC15" s="49">
        <v>16094</v>
      </c>
      <c r="AD15" s="49">
        <v>6496</v>
      </c>
    </row>
    <row r="16" spans="2:30" ht="15" hidden="1" customHeight="1" outlineLevel="1" x14ac:dyDescent="0.25">
      <c r="B16" s="44" t="s">
        <v>57</v>
      </c>
      <c r="L16" s="49">
        <v>5869</v>
      </c>
      <c r="M16" s="49">
        <v>2543</v>
      </c>
      <c r="N16" s="49">
        <v>4068</v>
      </c>
      <c r="O16" s="49">
        <v>2416</v>
      </c>
      <c r="P16" s="49">
        <v>6284</v>
      </c>
      <c r="Q16" s="49">
        <f t="shared" si="1"/>
        <v>15311</v>
      </c>
      <c r="R16" s="49">
        <v>7392</v>
      </c>
      <c r="S16" s="49">
        <v>8941</v>
      </c>
      <c r="T16" s="49">
        <v>7171</v>
      </c>
      <c r="U16" s="49">
        <v>11503</v>
      </c>
      <c r="V16" s="49">
        <f t="shared" si="2"/>
        <v>35007</v>
      </c>
      <c r="W16" s="49">
        <v>16435</v>
      </c>
      <c r="X16" s="49">
        <v>11983</v>
      </c>
      <c r="Y16" s="49">
        <v>7598</v>
      </c>
      <c r="Z16" s="49">
        <v>19857</v>
      </c>
      <c r="AA16" s="49">
        <f t="shared" si="3"/>
        <v>55873</v>
      </c>
      <c r="AB16" s="49">
        <v>25957</v>
      </c>
      <c r="AC16" s="49">
        <v>33155</v>
      </c>
      <c r="AD16" s="49">
        <v>15558</v>
      </c>
    </row>
    <row r="17" spans="2:30" ht="15" hidden="1" customHeight="1" outlineLevel="1" x14ac:dyDescent="0.25">
      <c r="B17" s="44" t="s">
        <v>176</v>
      </c>
      <c r="L17" s="49">
        <v>6909</v>
      </c>
      <c r="M17" s="49">
        <v>473</v>
      </c>
      <c r="N17" s="49">
        <v>1117</v>
      </c>
      <c r="O17" s="49">
        <v>953</v>
      </c>
      <c r="P17" s="49">
        <v>1906</v>
      </c>
      <c r="Q17" s="49">
        <f t="shared" si="1"/>
        <v>4449</v>
      </c>
      <c r="R17" s="49">
        <v>2391</v>
      </c>
      <c r="S17" s="49">
        <v>3984</v>
      </c>
      <c r="T17" s="49">
        <v>3732</v>
      </c>
      <c r="U17" s="49">
        <v>4979</v>
      </c>
      <c r="V17" s="49">
        <f t="shared" si="2"/>
        <v>15086</v>
      </c>
      <c r="W17" s="49">
        <v>4508</v>
      </c>
      <c r="X17" s="49">
        <v>7872</v>
      </c>
      <c r="Y17" s="49">
        <v>7167</v>
      </c>
      <c r="Z17" s="49">
        <v>9208</v>
      </c>
      <c r="AA17" s="49">
        <f t="shared" si="3"/>
        <v>28755</v>
      </c>
      <c r="AB17" s="49">
        <v>6265</v>
      </c>
      <c r="AC17" s="49">
        <v>2377</v>
      </c>
      <c r="AD17" s="49">
        <v>1034</v>
      </c>
    </row>
    <row r="18" spans="2:30" ht="15" customHeight="1" collapsed="1" x14ac:dyDescent="0.25">
      <c r="B18" s="52" t="s">
        <v>46</v>
      </c>
      <c r="L18" s="50">
        <f>SUM(L12:L17)</f>
        <v>80745</v>
      </c>
      <c r="M18" s="50">
        <f t="shared" ref="M18:Y18" si="4">SUM(M12:M17)</f>
        <v>21869</v>
      </c>
      <c r="N18" s="50">
        <f t="shared" si="4"/>
        <v>25827</v>
      </c>
      <c r="O18" s="50">
        <f t="shared" si="4"/>
        <v>14188</v>
      </c>
      <c r="P18" s="50">
        <f t="shared" si="4"/>
        <v>55374</v>
      </c>
      <c r="Q18" s="50">
        <f t="shared" si="4"/>
        <v>117258</v>
      </c>
      <c r="R18" s="50">
        <f t="shared" si="4"/>
        <v>67220</v>
      </c>
      <c r="S18" s="50">
        <f t="shared" si="4"/>
        <v>43120</v>
      </c>
      <c r="T18" s="50">
        <f t="shared" si="4"/>
        <v>44485</v>
      </c>
      <c r="U18" s="50">
        <f t="shared" si="4"/>
        <v>66305</v>
      </c>
      <c r="V18" s="50">
        <f t="shared" si="4"/>
        <v>221130</v>
      </c>
      <c r="W18" s="50">
        <f t="shared" si="4"/>
        <v>87125</v>
      </c>
      <c r="X18" s="50">
        <f t="shared" si="4"/>
        <v>68103</v>
      </c>
      <c r="Y18" s="50">
        <f t="shared" si="4"/>
        <v>44766</v>
      </c>
      <c r="Z18" s="50">
        <f>SUM(Z12:Z17)</f>
        <v>94413</v>
      </c>
      <c r="AA18" s="50">
        <f>SUM(AA12:AA17)</f>
        <v>294407</v>
      </c>
      <c r="AB18" s="50">
        <f>SUM(AB12:AB17)</f>
        <v>116578</v>
      </c>
      <c r="AC18" s="50">
        <f>SUM(AC12:AC17)</f>
        <v>133054</v>
      </c>
      <c r="AD18" s="50">
        <f>SUM(AD12:AD17)</f>
        <v>62820</v>
      </c>
    </row>
    <row r="19" spans="2:30" ht="15" customHeight="1" x14ac:dyDescent="0.25">
      <c r="T19" s="44"/>
      <c r="W19" s="45"/>
      <c r="X19" s="45"/>
      <c r="Y19" s="45"/>
      <c r="Z19" s="45"/>
    </row>
    <row r="20" spans="2:30" ht="15" customHeight="1" x14ac:dyDescent="0.25">
      <c r="B20" s="52" t="s">
        <v>47</v>
      </c>
      <c r="C20" s="52"/>
      <c r="D20" s="53"/>
      <c r="E20" s="52"/>
      <c r="F20" s="52"/>
      <c r="G20" s="52"/>
      <c r="H20" s="52"/>
      <c r="I20" s="52"/>
      <c r="J20" s="52"/>
      <c r="K20" s="52"/>
      <c r="L20" s="54">
        <f t="shared" ref="L20:Y20" si="5">L10-L18</f>
        <v>300236</v>
      </c>
      <c r="M20" s="54">
        <f t="shared" si="5"/>
        <v>95186</v>
      </c>
      <c r="N20" s="54">
        <f t="shared" si="5"/>
        <v>111739</v>
      </c>
      <c r="O20" s="54">
        <f t="shared" si="5"/>
        <v>56384</v>
      </c>
      <c r="P20" s="54">
        <f t="shared" si="5"/>
        <v>192270</v>
      </c>
      <c r="Q20" s="54">
        <f t="shared" si="5"/>
        <v>455579</v>
      </c>
      <c r="R20" s="54">
        <f t="shared" si="5"/>
        <v>194359</v>
      </c>
      <c r="S20" s="54">
        <f t="shared" si="5"/>
        <v>191744</v>
      </c>
      <c r="T20" s="54">
        <f t="shared" si="5"/>
        <v>164245</v>
      </c>
      <c r="U20" s="54">
        <f t="shared" si="5"/>
        <v>230232</v>
      </c>
      <c r="V20" s="54">
        <f t="shared" si="5"/>
        <v>780580</v>
      </c>
      <c r="W20" s="54">
        <f t="shared" si="5"/>
        <v>244547</v>
      </c>
      <c r="X20" s="54">
        <f t="shared" si="5"/>
        <v>188198</v>
      </c>
      <c r="Y20" s="54">
        <f t="shared" si="5"/>
        <v>138501</v>
      </c>
      <c r="Z20" s="54">
        <f>Z10-Z18</f>
        <v>366421</v>
      </c>
      <c r="AA20" s="54">
        <f>AA10-AA18</f>
        <v>937667</v>
      </c>
      <c r="AB20" s="54">
        <f>AB10-AB18</f>
        <v>313459</v>
      </c>
      <c r="AC20" s="54">
        <f>AC10-AC18</f>
        <v>279083</v>
      </c>
      <c r="AD20" s="54">
        <f>AD10-AD18</f>
        <v>191102</v>
      </c>
    </row>
    <row r="21" spans="2:30" ht="15" customHeight="1" x14ac:dyDescent="0.25">
      <c r="L21" s="55">
        <f>L20-'Income Statement'!L9</f>
        <v>0</v>
      </c>
      <c r="M21" s="55">
        <f>M20-'Income Statement'!M9</f>
        <v>0</v>
      </c>
      <c r="N21" s="55">
        <f>N20-'Income Statement'!N9</f>
        <v>0</v>
      </c>
      <c r="O21" s="55">
        <f>O20-'Income Statement'!O9</f>
        <v>0</v>
      </c>
      <c r="P21" s="55">
        <f>P20-'Income Statement'!P9</f>
        <v>0</v>
      </c>
      <c r="Q21" s="55">
        <f>Q20-'Income Statement'!Q9</f>
        <v>0</v>
      </c>
      <c r="R21" s="55">
        <f>R20-'Income Statement'!R9</f>
        <v>0</v>
      </c>
      <c r="S21" s="55">
        <f>S20-'Income Statement'!S9</f>
        <v>0</v>
      </c>
      <c r="T21" s="55">
        <f>T20-'Income Statement'!T9</f>
        <v>0</v>
      </c>
      <c r="U21" s="55">
        <f>U20-'Income Statement'!U9</f>
        <v>0</v>
      </c>
      <c r="V21" s="55">
        <f>V20-'Income Statement'!V9</f>
        <v>0</v>
      </c>
      <c r="W21" s="55">
        <f>W20-'Income Statement'!W9</f>
        <v>0</v>
      </c>
      <c r="X21" s="55">
        <f>X20-'Income Statement'!X9</f>
        <v>0</v>
      </c>
      <c r="Y21" s="55">
        <f>Y20-'Income Statement'!Y9</f>
        <v>0</v>
      </c>
      <c r="Z21" s="55">
        <f>Z20-'Income Statement'!Z9</f>
        <v>0</v>
      </c>
      <c r="AA21" s="55">
        <f>AA20-'Income Statement'!AA9</f>
        <v>0</v>
      </c>
      <c r="AB21" s="55">
        <f>AB20-'Income Statement'!AB9</f>
        <v>0</v>
      </c>
      <c r="AC21" s="55">
        <f>AC20-'Income Statement'!AC9</f>
        <v>0</v>
      </c>
      <c r="AD21" s="55">
        <f>AD20-'Income Statement'!AD9</f>
        <v>0</v>
      </c>
    </row>
    <row r="22" spans="2:30" ht="15" hidden="1" customHeight="1" outlineLevel="1" x14ac:dyDescent="0.25">
      <c r="B22" s="44" t="s">
        <v>182</v>
      </c>
      <c r="L22" s="49">
        <v>49041</v>
      </c>
      <c r="M22" s="49">
        <v>19472</v>
      </c>
      <c r="N22" s="49">
        <v>17972</v>
      </c>
      <c r="O22" s="49">
        <v>18564</v>
      </c>
      <c r="P22" s="49">
        <v>31344</v>
      </c>
      <c r="Q22" s="49">
        <f t="shared" ref="Q22:Q29" si="6">SUM(M22:P22)</f>
        <v>87352</v>
      </c>
      <c r="R22" s="49">
        <v>38007</v>
      </c>
      <c r="S22" s="49">
        <v>45909</v>
      </c>
      <c r="T22" s="49">
        <v>39752</v>
      </c>
      <c r="U22" s="49">
        <v>43632</v>
      </c>
      <c r="V22" s="49">
        <f>SUM(R22:U22)</f>
        <v>167300</v>
      </c>
      <c r="W22" s="49">
        <v>57072</v>
      </c>
      <c r="X22" s="49">
        <v>55570</v>
      </c>
      <c r="Y22" s="49">
        <v>45967</v>
      </c>
      <c r="Z22" s="49">
        <v>51446</v>
      </c>
      <c r="AA22" s="49">
        <f t="shared" ref="AA22:AA29" si="7">SUM(W22:Z22)</f>
        <v>210055</v>
      </c>
      <c r="AB22" s="49">
        <v>68675</v>
      </c>
      <c r="AC22" s="49">
        <v>70807</v>
      </c>
      <c r="AD22" s="49">
        <v>60643</v>
      </c>
    </row>
    <row r="23" spans="2:30" ht="15" hidden="1" customHeight="1" outlineLevel="1" x14ac:dyDescent="0.25">
      <c r="B23" s="44" t="s">
        <v>57</v>
      </c>
      <c r="L23" s="49">
        <v>11939</v>
      </c>
      <c r="M23" s="49">
        <v>3095</v>
      </c>
      <c r="N23" s="49">
        <v>3388</v>
      </c>
      <c r="O23" s="49">
        <v>3659</v>
      </c>
      <c r="P23" s="49">
        <v>13431</v>
      </c>
      <c r="Q23" s="49">
        <f t="shared" si="6"/>
        <v>23573</v>
      </c>
      <c r="R23" s="49">
        <v>18093</v>
      </c>
      <c r="S23" s="49">
        <v>18915</v>
      </c>
      <c r="T23" s="49">
        <v>18903</v>
      </c>
      <c r="U23" s="49">
        <v>21432</v>
      </c>
      <c r="V23" s="49">
        <f t="shared" ref="V23:V29" si="8">SUM(R23:U23)</f>
        <v>77343</v>
      </c>
      <c r="W23" s="49">
        <v>25454</v>
      </c>
      <c r="X23" s="49">
        <v>23102</v>
      </c>
      <c r="Y23" s="49">
        <v>24558</v>
      </c>
      <c r="Z23" s="49">
        <v>26345</v>
      </c>
      <c r="AA23" s="49">
        <f t="shared" si="7"/>
        <v>99459</v>
      </c>
      <c r="AB23" s="49">
        <v>26413</v>
      </c>
      <c r="AC23" s="49">
        <v>27061</v>
      </c>
      <c r="AD23" s="49">
        <v>25031</v>
      </c>
    </row>
    <row r="24" spans="2:30" ht="15" hidden="1" customHeight="1" outlineLevel="1" x14ac:dyDescent="0.25">
      <c r="B24" s="44" t="s">
        <v>183</v>
      </c>
      <c r="L24" s="49">
        <v>17931</v>
      </c>
      <c r="M24" s="49">
        <v>3070</v>
      </c>
      <c r="N24" s="49">
        <v>7556</v>
      </c>
      <c r="O24" s="49">
        <v>9274</v>
      </c>
      <c r="P24" s="49">
        <v>11308</v>
      </c>
      <c r="Q24" s="49">
        <f t="shared" si="6"/>
        <v>31208</v>
      </c>
      <c r="R24" s="49">
        <v>8327</v>
      </c>
      <c r="S24" s="49">
        <v>2562</v>
      </c>
      <c r="T24" s="49">
        <v>6687</v>
      </c>
      <c r="U24" s="49">
        <v>6528</v>
      </c>
      <c r="V24" s="49">
        <f t="shared" si="8"/>
        <v>24104</v>
      </c>
      <c r="W24" s="49">
        <v>5101</v>
      </c>
      <c r="X24" s="49">
        <v>6646</v>
      </c>
      <c r="Y24" s="49">
        <v>15339</v>
      </c>
      <c r="Z24" s="49">
        <v>19709</v>
      </c>
      <c r="AA24" s="49">
        <f t="shared" si="7"/>
        <v>46795</v>
      </c>
      <c r="AB24" s="49">
        <v>12485</v>
      </c>
      <c r="AC24" s="49">
        <v>31545</v>
      </c>
      <c r="AD24" s="49">
        <v>30020</v>
      </c>
    </row>
    <row r="25" spans="2:30" ht="15" hidden="1" customHeight="1" outlineLevel="1" x14ac:dyDescent="0.25">
      <c r="B25" s="44" t="s">
        <v>184</v>
      </c>
      <c r="L25" s="49">
        <v>17274</v>
      </c>
      <c r="M25" s="49">
        <v>7010</v>
      </c>
      <c r="N25" s="49">
        <v>7875</v>
      </c>
      <c r="O25" s="49">
        <v>5547</v>
      </c>
      <c r="P25" s="49">
        <v>10323</v>
      </c>
      <c r="Q25" s="49">
        <f t="shared" si="6"/>
        <v>30755</v>
      </c>
      <c r="R25" s="49">
        <v>15109</v>
      </c>
      <c r="S25" s="49">
        <v>10020</v>
      </c>
      <c r="T25" s="49">
        <v>12537</v>
      </c>
      <c r="U25" s="49">
        <v>16227</v>
      </c>
      <c r="V25" s="49">
        <f t="shared" si="8"/>
        <v>53893</v>
      </c>
      <c r="W25" s="49">
        <v>22077</v>
      </c>
      <c r="X25" s="49">
        <v>20499</v>
      </c>
      <c r="Y25" s="49">
        <v>17020</v>
      </c>
      <c r="Z25" s="49">
        <v>29604</v>
      </c>
      <c r="AA25" s="49">
        <f t="shared" si="7"/>
        <v>89200</v>
      </c>
      <c r="AB25" s="49">
        <v>57719</v>
      </c>
      <c r="AC25" s="49">
        <v>40499</v>
      </c>
      <c r="AD25" s="49">
        <v>31970</v>
      </c>
    </row>
    <row r="26" spans="2:30" ht="15" hidden="1" customHeight="1" outlineLevel="1" x14ac:dyDescent="0.25">
      <c r="B26" s="44" t="s">
        <v>181</v>
      </c>
      <c r="L26" s="49">
        <v>0</v>
      </c>
      <c r="M26" s="49">
        <v>0</v>
      </c>
      <c r="N26" s="49">
        <v>0</v>
      </c>
      <c r="O26" s="49">
        <v>0</v>
      </c>
      <c r="P26" s="49">
        <v>0</v>
      </c>
      <c r="Q26" s="49">
        <v>0</v>
      </c>
      <c r="R26" s="49">
        <v>0</v>
      </c>
      <c r="S26" s="49">
        <v>0</v>
      </c>
      <c r="T26" s="49">
        <v>0</v>
      </c>
      <c r="U26" s="49">
        <v>0</v>
      </c>
      <c r="V26" s="49">
        <v>0</v>
      </c>
      <c r="W26" s="49">
        <v>0</v>
      </c>
      <c r="X26" s="49">
        <v>0</v>
      </c>
      <c r="Y26" s="49">
        <v>0</v>
      </c>
      <c r="Z26" s="49">
        <v>0</v>
      </c>
      <c r="AA26" s="49">
        <f t="shared" si="7"/>
        <v>0</v>
      </c>
      <c r="AB26" s="49">
        <v>0</v>
      </c>
      <c r="AC26" s="49">
        <v>0</v>
      </c>
      <c r="AD26" s="49">
        <v>0</v>
      </c>
    </row>
    <row r="27" spans="2:30" ht="15" hidden="1" customHeight="1" outlineLevel="1" x14ac:dyDescent="0.25">
      <c r="B27" s="44" t="s">
        <v>59</v>
      </c>
      <c r="L27" s="49">
        <v>9588</v>
      </c>
      <c r="M27" s="49">
        <v>1653</v>
      </c>
      <c r="N27" s="49">
        <v>550</v>
      </c>
      <c r="O27" s="49">
        <v>7286</v>
      </c>
      <c r="P27" s="49">
        <v>7903</v>
      </c>
      <c r="Q27" s="49">
        <f t="shared" si="6"/>
        <v>17392</v>
      </c>
      <c r="R27" s="49">
        <v>6168</v>
      </c>
      <c r="S27" s="49">
        <v>6386</v>
      </c>
      <c r="T27" s="49">
        <v>15679</v>
      </c>
      <c r="U27" s="49">
        <v>6451</v>
      </c>
      <c r="V27" s="49">
        <f t="shared" si="8"/>
        <v>34684</v>
      </c>
      <c r="W27" s="49">
        <v>3889</v>
      </c>
      <c r="X27" s="49">
        <v>6610</v>
      </c>
      <c r="Y27" s="49">
        <v>5987</v>
      </c>
      <c r="Z27" s="49">
        <v>10124</v>
      </c>
      <c r="AA27" s="49">
        <f t="shared" si="7"/>
        <v>26610</v>
      </c>
      <c r="AB27" s="49">
        <v>-6231</v>
      </c>
      <c r="AC27" s="49">
        <v>-372</v>
      </c>
      <c r="AD27" s="49">
        <v>-1919</v>
      </c>
    </row>
    <row r="28" spans="2:30" ht="15" hidden="1" customHeight="1" outlineLevel="1" x14ac:dyDescent="0.25">
      <c r="B28" s="44" t="s">
        <v>185</v>
      </c>
      <c r="L28" s="49">
        <v>1923</v>
      </c>
      <c r="M28" s="49">
        <v>563</v>
      </c>
      <c r="N28" s="49">
        <v>381</v>
      </c>
      <c r="O28" s="49">
        <v>494</v>
      </c>
      <c r="P28" s="49">
        <v>290</v>
      </c>
      <c r="Q28" s="49">
        <f t="shared" si="6"/>
        <v>1728</v>
      </c>
      <c r="R28" s="49">
        <v>211</v>
      </c>
      <c r="S28" s="49">
        <v>326</v>
      </c>
      <c r="T28" s="49">
        <v>163</v>
      </c>
      <c r="U28" s="49">
        <v>265</v>
      </c>
      <c r="V28" s="49">
        <f t="shared" si="8"/>
        <v>965</v>
      </c>
      <c r="W28" s="49">
        <v>379</v>
      </c>
      <c r="X28" s="49">
        <v>289</v>
      </c>
      <c r="Y28" s="49">
        <v>285</v>
      </c>
      <c r="Z28" s="49">
        <v>-133</v>
      </c>
      <c r="AA28" s="49">
        <f t="shared" si="7"/>
        <v>820</v>
      </c>
      <c r="AB28" s="49">
        <v>147</v>
      </c>
      <c r="AC28" s="49">
        <v>147</v>
      </c>
      <c r="AD28" s="49">
        <v>118</v>
      </c>
    </row>
    <row r="29" spans="2:30" ht="15" hidden="1" customHeight="1" outlineLevel="1" x14ac:dyDescent="0.25">
      <c r="B29" s="44" t="s">
        <v>176</v>
      </c>
      <c r="L29" s="49">
        <v>5574</v>
      </c>
      <c r="M29" s="49">
        <v>1272</v>
      </c>
      <c r="N29" s="49">
        <v>1593</v>
      </c>
      <c r="O29" s="49">
        <v>2815</v>
      </c>
      <c r="P29" s="49">
        <v>2092</v>
      </c>
      <c r="Q29" s="49">
        <f t="shared" si="6"/>
        <v>7772</v>
      </c>
      <c r="R29" s="49">
        <v>1985</v>
      </c>
      <c r="S29" s="49">
        <v>3952</v>
      </c>
      <c r="T29" s="49">
        <v>4891</v>
      </c>
      <c r="U29" s="49">
        <v>3152</v>
      </c>
      <c r="V29" s="49">
        <f t="shared" si="8"/>
        <v>13980</v>
      </c>
      <c r="W29" s="49">
        <v>5686</v>
      </c>
      <c r="X29" s="49">
        <v>6011</v>
      </c>
      <c r="Y29" s="49">
        <v>5826</v>
      </c>
      <c r="Z29" s="49">
        <v>5836</v>
      </c>
      <c r="AA29" s="49">
        <f t="shared" si="7"/>
        <v>23359</v>
      </c>
      <c r="AB29" s="49">
        <v>5145</v>
      </c>
      <c r="AC29" s="49">
        <v>4752</v>
      </c>
      <c r="AD29" s="49">
        <v>7686</v>
      </c>
    </row>
    <row r="30" spans="2:30" ht="15" customHeight="1" collapsed="1" x14ac:dyDescent="0.25">
      <c r="B30" s="52" t="s">
        <v>48</v>
      </c>
      <c r="L30" s="50">
        <f>SUM(L22:L29)</f>
        <v>113270</v>
      </c>
      <c r="M30" s="50">
        <f t="shared" ref="M30:Y30" si="9">SUM(M22:M29)</f>
        <v>36135</v>
      </c>
      <c r="N30" s="50">
        <f t="shared" si="9"/>
        <v>39315</v>
      </c>
      <c r="O30" s="50">
        <f t="shared" si="9"/>
        <v>47639</v>
      </c>
      <c r="P30" s="50">
        <f t="shared" si="9"/>
        <v>76691</v>
      </c>
      <c r="Q30" s="50">
        <f t="shared" si="9"/>
        <v>199780</v>
      </c>
      <c r="R30" s="50">
        <f t="shared" si="9"/>
        <v>87900</v>
      </c>
      <c r="S30" s="50">
        <f t="shared" si="9"/>
        <v>88070</v>
      </c>
      <c r="T30" s="50">
        <f t="shared" si="9"/>
        <v>98612</v>
      </c>
      <c r="U30" s="50">
        <f t="shared" si="9"/>
        <v>97687</v>
      </c>
      <c r="V30" s="50">
        <f t="shared" si="9"/>
        <v>372269</v>
      </c>
      <c r="W30" s="50">
        <f t="shared" si="9"/>
        <v>119658</v>
      </c>
      <c r="X30" s="50">
        <f t="shared" si="9"/>
        <v>118727</v>
      </c>
      <c r="Y30" s="50">
        <f t="shared" si="9"/>
        <v>114982</v>
      </c>
      <c r="Z30" s="50">
        <f>SUM(Z22:Z29)</f>
        <v>142931</v>
      </c>
      <c r="AA30" s="50">
        <f>SUM(AA22:AA29)</f>
        <v>496298</v>
      </c>
      <c r="AB30" s="50">
        <f>SUM(AB22:AB29)</f>
        <v>164353</v>
      </c>
      <c r="AC30" s="50">
        <f>SUM(AC22:AC29)</f>
        <v>174439</v>
      </c>
      <c r="AD30" s="50">
        <f>SUM(AD22:AD29)</f>
        <v>153549</v>
      </c>
    </row>
    <row r="31" spans="2:30" ht="15" customHeight="1" x14ac:dyDescent="0.25">
      <c r="T31" s="44"/>
      <c r="W31" s="45"/>
      <c r="X31" s="45"/>
      <c r="Y31" s="45"/>
      <c r="Z31" s="45"/>
    </row>
    <row r="32" spans="2:30" ht="15" hidden="1" customHeight="1" outlineLevel="1" x14ac:dyDescent="0.25">
      <c r="B32" s="44" t="s">
        <v>186</v>
      </c>
      <c r="L32" s="49">
        <v>39382</v>
      </c>
      <c r="M32" s="49">
        <v>12437</v>
      </c>
      <c r="N32" s="49">
        <v>10298</v>
      </c>
      <c r="O32" s="49">
        <f>12464-1</f>
        <v>12463</v>
      </c>
      <c r="P32" s="49">
        <v>18245</v>
      </c>
      <c r="Q32" s="49">
        <f t="shared" ref="Q32:Q40" si="10">SUM(M32:P32)</f>
        <v>53443</v>
      </c>
      <c r="R32" s="49">
        <v>22011</v>
      </c>
      <c r="S32" s="49">
        <v>16187</v>
      </c>
      <c r="T32" s="49">
        <v>21313</v>
      </c>
      <c r="U32" s="49">
        <v>14926</v>
      </c>
      <c r="V32" s="49">
        <f>SUM(R32:U32)</f>
        <v>74437</v>
      </c>
      <c r="W32" s="49">
        <v>27162</v>
      </c>
      <c r="X32" s="49">
        <v>22150</v>
      </c>
      <c r="Y32" s="49">
        <v>22787</v>
      </c>
      <c r="Z32" s="49">
        <v>24527</v>
      </c>
      <c r="AA32" s="49">
        <f t="shared" ref="AA32:AA40" si="11">SUM(W32:Z32)</f>
        <v>96626</v>
      </c>
      <c r="AB32" s="49">
        <v>32123</v>
      </c>
      <c r="AC32" s="49">
        <v>32018</v>
      </c>
      <c r="AD32" s="49">
        <v>23039</v>
      </c>
    </row>
    <row r="33" spans="2:30" ht="15" hidden="1" customHeight="1" outlineLevel="1" x14ac:dyDescent="0.25">
      <c r="B33" s="44" t="s">
        <v>187</v>
      </c>
      <c r="L33" s="49">
        <v>14269</v>
      </c>
      <c r="M33" s="49">
        <v>4058</v>
      </c>
      <c r="N33" s="49">
        <v>8265</v>
      </c>
      <c r="O33" s="49">
        <v>15400</v>
      </c>
      <c r="P33" s="49">
        <v>15692</v>
      </c>
      <c r="Q33" s="49">
        <f t="shared" si="10"/>
        <v>43415</v>
      </c>
      <c r="R33" s="49">
        <v>20264</v>
      </c>
      <c r="S33" s="49">
        <v>16621</v>
      </c>
      <c r="T33" s="49">
        <v>20436</v>
      </c>
      <c r="U33" s="49">
        <v>22933</v>
      </c>
      <c r="V33" s="49">
        <f t="shared" ref="V33:V40" si="12">SUM(R33:U33)</f>
        <v>80254</v>
      </c>
      <c r="W33" s="49">
        <v>19861</v>
      </c>
      <c r="X33" s="49">
        <v>18702</v>
      </c>
      <c r="Y33" s="49">
        <v>25575</v>
      </c>
      <c r="Z33" s="49">
        <v>14392</v>
      </c>
      <c r="AA33" s="49">
        <f t="shared" si="11"/>
        <v>78530</v>
      </c>
      <c r="AB33" s="49">
        <v>16400</v>
      </c>
      <c r="AC33" s="49">
        <v>21095</v>
      </c>
      <c r="AD33" s="49">
        <v>13846</v>
      </c>
    </row>
    <row r="34" spans="2:30" ht="15" hidden="1" customHeight="1" outlineLevel="1" x14ac:dyDescent="0.25">
      <c r="B34" s="44" t="s">
        <v>188</v>
      </c>
      <c r="L34" s="49">
        <v>3429</v>
      </c>
      <c r="M34" s="49">
        <v>578</v>
      </c>
      <c r="N34" s="49">
        <v>928</v>
      </c>
      <c r="O34" s="49">
        <f>514-1</f>
        <v>513</v>
      </c>
      <c r="P34" s="49">
        <v>594</v>
      </c>
      <c r="Q34" s="49">
        <f t="shared" si="10"/>
        <v>2613</v>
      </c>
      <c r="R34" s="49">
        <v>400</v>
      </c>
      <c r="S34" s="49">
        <v>363</v>
      </c>
      <c r="T34" s="49">
        <v>318</v>
      </c>
      <c r="U34" s="49">
        <v>542</v>
      </c>
      <c r="V34" s="49">
        <f t="shared" si="12"/>
        <v>1623</v>
      </c>
      <c r="W34" s="49">
        <v>907</v>
      </c>
      <c r="X34" s="49">
        <v>-128</v>
      </c>
      <c r="Y34" s="49">
        <v>870</v>
      </c>
      <c r="Z34" s="49">
        <v>153</v>
      </c>
      <c r="AA34" s="49">
        <f t="shared" si="11"/>
        <v>1802</v>
      </c>
      <c r="AB34" s="49">
        <v>460</v>
      </c>
      <c r="AC34" s="49">
        <v>493</v>
      </c>
      <c r="AD34" s="49">
        <v>1017</v>
      </c>
    </row>
    <row r="35" spans="2:30" ht="15" hidden="1" customHeight="1" outlineLevel="1" x14ac:dyDescent="0.25">
      <c r="B35" s="44" t="s">
        <v>189</v>
      </c>
      <c r="L35" s="49">
        <v>2891</v>
      </c>
      <c r="M35" s="49">
        <v>569</v>
      </c>
      <c r="N35" s="49">
        <v>649</v>
      </c>
      <c r="O35" s="49">
        <v>955</v>
      </c>
      <c r="P35" s="49">
        <v>1266</v>
      </c>
      <c r="Q35" s="49">
        <f t="shared" si="10"/>
        <v>3439</v>
      </c>
      <c r="R35" s="49">
        <v>1727</v>
      </c>
      <c r="S35" s="49">
        <v>182</v>
      </c>
      <c r="T35" s="49">
        <v>68</v>
      </c>
      <c r="U35" s="49">
        <v>256</v>
      </c>
      <c r="V35" s="49">
        <f t="shared" si="12"/>
        <v>2233</v>
      </c>
      <c r="W35" s="49">
        <v>116</v>
      </c>
      <c r="X35" s="49">
        <v>5</v>
      </c>
      <c r="Y35" s="49">
        <v>305</v>
      </c>
      <c r="Z35" s="49">
        <v>1115</v>
      </c>
      <c r="AA35" s="49">
        <f t="shared" si="11"/>
        <v>1541</v>
      </c>
      <c r="AB35" s="49">
        <v>1236</v>
      </c>
      <c r="AC35" s="49">
        <v>1888</v>
      </c>
      <c r="AD35" s="49">
        <v>1925</v>
      </c>
    </row>
    <row r="36" spans="2:30" ht="15" hidden="1" customHeight="1" outlineLevel="1" x14ac:dyDescent="0.25">
      <c r="B36" s="44" t="s">
        <v>190</v>
      </c>
      <c r="L36" s="49">
        <v>2858</v>
      </c>
      <c r="M36" s="49">
        <v>723</v>
      </c>
      <c r="N36" s="49">
        <v>365</v>
      </c>
      <c r="O36" s="49">
        <v>490</v>
      </c>
      <c r="P36" s="49">
        <v>753</v>
      </c>
      <c r="Q36" s="49">
        <f t="shared" si="10"/>
        <v>2331</v>
      </c>
      <c r="R36" s="49">
        <v>1727</v>
      </c>
      <c r="S36" s="49">
        <v>515</v>
      </c>
      <c r="T36" s="49">
        <v>2289</v>
      </c>
      <c r="U36" s="49">
        <v>2810</v>
      </c>
      <c r="V36" s="49">
        <f t="shared" si="12"/>
        <v>7341</v>
      </c>
      <c r="W36" s="49">
        <v>1778</v>
      </c>
      <c r="X36" s="49">
        <v>2074</v>
      </c>
      <c r="Y36" s="49">
        <v>1969</v>
      </c>
      <c r="Z36" s="49">
        <v>1503</v>
      </c>
      <c r="AA36" s="49">
        <f t="shared" si="11"/>
        <v>7324</v>
      </c>
      <c r="AB36" s="49">
        <v>1276</v>
      </c>
      <c r="AC36" s="49">
        <v>1684</v>
      </c>
      <c r="AD36" s="49">
        <v>2138</v>
      </c>
    </row>
    <row r="37" spans="2:30" ht="15" hidden="1" customHeight="1" outlineLevel="1" x14ac:dyDescent="0.25">
      <c r="B37" s="44" t="s">
        <v>191</v>
      </c>
      <c r="L37" s="49">
        <v>1098</v>
      </c>
      <c r="M37" s="49">
        <v>189</v>
      </c>
      <c r="N37" s="49">
        <v>109</v>
      </c>
      <c r="O37" s="49">
        <v>412</v>
      </c>
      <c r="P37" s="49">
        <v>777</v>
      </c>
      <c r="Q37" s="49">
        <f t="shared" si="10"/>
        <v>1487</v>
      </c>
      <c r="R37" s="49">
        <v>1035</v>
      </c>
      <c r="S37" s="49">
        <v>1199</v>
      </c>
      <c r="T37" s="49">
        <v>1950</v>
      </c>
      <c r="U37" s="49">
        <v>1725</v>
      </c>
      <c r="V37" s="49">
        <f t="shared" si="12"/>
        <v>5909</v>
      </c>
      <c r="W37" s="49">
        <v>1987</v>
      </c>
      <c r="X37" s="49">
        <v>1333</v>
      </c>
      <c r="Y37" s="49">
        <v>1959</v>
      </c>
      <c r="Z37" s="49">
        <v>2132</v>
      </c>
      <c r="AA37" s="49">
        <f t="shared" si="11"/>
        <v>7411</v>
      </c>
      <c r="AB37" s="49">
        <v>2055</v>
      </c>
      <c r="AC37" s="49">
        <v>3102</v>
      </c>
      <c r="AD37" s="49">
        <v>2520</v>
      </c>
    </row>
    <row r="38" spans="2:30" ht="15" hidden="1" customHeight="1" outlineLevel="1" x14ac:dyDescent="0.25">
      <c r="B38" s="44" t="s">
        <v>61</v>
      </c>
      <c r="L38" s="49">
        <v>60297</v>
      </c>
      <c r="M38" s="49">
        <v>137</v>
      </c>
      <c r="N38" s="49">
        <v>20814</v>
      </c>
      <c r="O38" s="49">
        <f>34878+1</f>
        <v>34879</v>
      </c>
      <c r="P38" s="49">
        <v>11148</v>
      </c>
      <c r="Q38" s="49">
        <f t="shared" si="10"/>
        <v>66978</v>
      </c>
      <c r="R38" s="49">
        <v>15960</v>
      </c>
      <c r="S38" s="49">
        <v>15480</v>
      </c>
      <c r="T38" s="49">
        <v>19840</v>
      </c>
      <c r="U38" s="49">
        <v>18566</v>
      </c>
      <c r="V38" s="49">
        <f t="shared" si="12"/>
        <v>69846</v>
      </c>
      <c r="W38" s="49">
        <v>11724</v>
      </c>
      <c r="X38" s="49">
        <v>9324</v>
      </c>
      <c r="Y38" s="49">
        <v>43355</v>
      </c>
      <c r="Z38" s="49">
        <v>23795</v>
      </c>
      <c r="AA38" s="49">
        <f t="shared" si="11"/>
        <v>88198</v>
      </c>
      <c r="AB38" s="49">
        <v>15423</v>
      </c>
      <c r="AC38" s="49">
        <v>3726</v>
      </c>
      <c r="AD38" s="49">
        <v>21596</v>
      </c>
    </row>
    <row r="39" spans="2:30" ht="15" hidden="1" customHeight="1" outlineLevel="1" x14ac:dyDescent="0.25">
      <c r="B39" s="44" t="s">
        <v>57</v>
      </c>
      <c r="L39" s="49">
        <v>1786</v>
      </c>
      <c r="M39" s="49">
        <v>1602</v>
      </c>
      <c r="N39" s="49">
        <v>1647</v>
      </c>
      <c r="O39" s="49">
        <v>2029</v>
      </c>
      <c r="P39" s="49">
        <v>4152</v>
      </c>
      <c r="Q39" s="49">
        <f t="shared" si="10"/>
        <v>9430</v>
      </c>
      <c r="R39" s="49">
        <v>3190</v>
      </c>
      <c r="S39" s="49">
        <v>3517</v>
      </c>
      <c r="T39" s="49">
        <v>3641</v>
      </c>
      <c r="U39" s="49">
        <v>4757</v>
      </c>
      <c r="V39" s="49">
        <f t="shared" si="12"/>
        <v>15105</v>
      </c>
      <c r="W39" s="49">
        <v>6163</v>
      </c>
      <c r="X39" s="49">
        <v>10338</v>
      </c>
      <c r="Y39" s="49">
        <v>10449</v>
      </c>
      <c r="Z39" s="49">
        <v>12603</v>
      </c>
      <c r="AA39" s="49">
        <f t="shared" si="11"/>
        <v>39553</v>
      </c>
      <c r="AB39" s="49">
        <v>13411</v>
      </c>
      <c r="AC39" s="49">
        <v>14086</v>
      </c>
      <c r="AD39" s="49">
        <v>15028</v>
      </c>
    </row>
    <row r="40" spans="2:30" ht="15" hidden="1" customHeight="1" outlineLevel="1" x14ac:dyDescent="0.25">
      <c r="B40" s="44" t="s">
        <v>176</v>
      </c>
      <c r="L40" s="49">
        <v>3744</v>
      </c>
      <c r="M40" s="49">
        <v>539</v>
      </c>
      <c r="N40" s="49">
        <v>1851</v>
      </c>
      <c r="O40" s="49">
        <f>2373+1</f>
        <v>2374</v>
      </c>
      <c r="P40" s="49">
        <v>3538</v>
      </c>
      <c r="Q40" s="49">
        <f t="shared" si="10"/>
        <v>8302</v>
      </c>
      <c r="R40" s="49">
        <v>469</v>
      </c>
      <c r="S40" s="49">
        <v>6075</v>
      </c>
      <c r="T40" s="49">
        <v>2253</v>
      </c>
      <c r="U40" s="49">
        <v>5013</v>
      </c>
      <c r="V40" s="49">
        <f t="shared" si="12"/>
        <v>13810</v>
      </c>
      <c r="W40" s="49">
        <v>4608</v>
      </c>
      <c r="X40" s="49">
        <v>-1810</v>
      </c>
      <c r="Y40" s="49">
        <v>2598</v>
      </c>
      <c r="Z40" s="49">
        <v>2262</v>
      </c>
      <c r="AA40" s="49">
        <f t="shared" si="11"/>
        <v>7658</v>
      </c>
      <c r="AB40" s="49">
        <v>3716</v>
      </c>
      <c r="AC40" s="49">
        <v>1945</v>
      </c>
      <c r="AD40" s="49">
        <v>4409</v>
      </c>
    </row>
    <row r="41" spans="2:30" ht="15" customHeight="1" collapsed="1" x14ac:dyDescent="0.25">
      <c r="B41" s="52" t="s">
        <v>49</v>
      </c>
      <c r="L41" s="50">
        <f>SUM(L32:L40)</f>
        <v>129754</v>
      </c>
      <c r="M41" s="50">
        <f t="shared" ref="M41:Y41" si="13">SUM(M32:M40)</f>
        <v>20832</v>
      </c>
      <c r="N41" s="50">
        <f t="shared" si="13"/>
        <v>44926</v>
      </c>
      <c r="O41" s="50">
        <f t="shared" si="13"/>
        <v>69515</v>
      </c>
      <c r="P41" s="50">
        <f t="shared" si="13"/>
        <v>56165</v>
      </c>
      <c r="Q41" s="50">
        <f t="shared" si="13"/>
        <v>191438</v>
      </c>
      <c r="R41" s="50">
        <f t="shared" si="13"/>
        <v>66783</v>
      </c>
      <c r="S41" s="50">
        <f t="shared" si="13"/>
        <v>60139</v>
      </c>
      <c r="T41" s="50">
        <f t="shared" si="13"/>
        <v>72108</v>
      </c>
      <c r="U41" s="50">
        <f t="shared" si="13"/>
        <v>71528</v>
      </c>
      <c r="V41" s="50">
        <f t="shared" si="13"/>
        <v>270558</v>
      </c>
      <c r="W41" s="50">
        <f t="shared" si="13"/>
        <v>74306</v>
      </c>
      <c r="X41" s="50">
        <f t="shared" si="13"/>
        <v>61988</v>
      </c>
      <c r="Y41" s="50">
        <f t="shared" si="13"/>
        <v>109867</v>
      </c>
      <c r="Z41" s="50">
        <f>SUM(Z32:Z40)</f>
        <v>82482</v>
      </c>
      <c r="AA41" s="50">
        <f>SUM(AA32:AA40)</f>
        <v>328643</v>
      </c>
      <c r="AB41" s="50">
        <f>SUM(AB32:AB40)</f>
        <v>86100</v>
      </c>
      <c r="AC41" s="50">
        <f>SUM(AC32:AC40)</f>
        <v>80037</v>
      </c>
      <c r="AD41" s="50">
        <f>SUM(AD32:AD40)</f>
        <v>85518</v>
      </c>
    </row>
    <row r="42" spans="2:30" ht="15" customHeight="1" x14ac:dyDescent="0.25">
      <c r="T42" s="44"/>
      <c r="W42" s="45"/>
      <c r="X42" s="45"/>
      <c r="Y42" s="45"/>
      <c r="Z42" s="45"/>
    </row>
    <row r="43" spans="2:30" ht="15" customHeight="1" x14ac:dyDescent="0.25">
      <c r="B43" s="52" t="s">
        <v>134</v>
      </c>
      <c r="C43" s="52"/>
      <c r="D43" s="52"/>
      <c r="E43" s="52"/>
      <c r="F43" s="52"/>
      <c r="G43" s="52"/>
      <c r="H43" s="52"/>
      <c r="I43" s="52"/>
      <c r="J43" s="52"/>
      <c r="K43" s="52"/>
      <c r="L43" s="53">
        <f>'Income Statement'!L13</f>
        <v>4856</v>
      </c>
      <c r="M43" s="53">
        <f>'Income Statement'!M13</f>
        <v>3359</v>
      </c>
      <c r="N43" s="53">
        <f>'Income Statement'!N13</f>
        <v>-437</v>
      </c>
      <c r="O43" s="53">
        <f>'Income Statement'!O13</f>
        <v>-471</v>
      </c>
      <c r="P43" s="53">
        <f>'Income Statement'!P13</f>
        <v>-8738</v>
      </c>
      <c r="Q43" s="53">
        <f>'Income Statement'!Q13</f>
        <v>-6287</v>
      </c>
      <c r="R43" s="53">
        <f>'Income Statement'!R13</f>
        <v>412</v>
      </c>
      <c r="S43" s="53">
        <f>'Income Statement'!S13</f>
        <v>347</v>
      </c>
      <c r="T43" s="53">
        <f>'Income Statement'!T13</f>
        <v>3234</v>
      </c>
      <c r="U43" s="53">
        <f>'Income Statement'!U13</f>
        <v>-6251</v>
      </c>
      <c r="V43" s="53">
        <f>'Income Statement'!V13</f>
        <v>-2258</v>
      </c>
      <c r="W43" s="53">
        <f>'Income Statement'!W13</f>
        <v>1525</v>
      </c>
      <c r="X43" s="53">
        <f>'Income Statement'!X13</f>
        <v>975</v>
      </c>
      <c r="Y43" s="53">
        <f>'Income Statement'!Y13</f>
        <v>413</v>
      </c>
      <c r="Z43" s="53">
        <f>'Income Statement'!Z13</f>
        <v>13760</v>
      </c>
      <c r="AA43" s="53">
        <f>'Income Statement'!AA13</f>
        <v>16673</v>
      </c>
      <c r="AB43" s="53">
        <f>'Income Statement'!AB13</f>
        <v>17394</v>
      </c>
      <c r="AC43" s="53">
        <f>'Income Statement'!AC13</f>
        <v>1676</v>
      </c>
      <c r="AD43" s="53">
        <f>'Income Statement'!AD13</f>
        <v>-1714</v>
      </c>
    </row>
    <row r="44" spans="2:30" ht="15" customHeight="1" x14ac:dyDescent="0.25">
      <c r="T44" s="44"/>
      <c r="W44" s="45"/>
      <c r="X44" s="45"/>
      <c r="Y44" s="45"/>
      <c r="Z44" s="45"/>
    </row>
    <row r="45" spans="2:30" ht="15" customHeight="1" x14ac:dyDescent="0.25">
      <c r="B45" s="52" t="s">
        <v>133</v>
      </c>
      <c r="C45" s="52"/>
      <c r="D45" s="52"/>
      <c r="E45" s="52"/>
      <c r="F45" s="52"/>
      <c r="G45" s="52"/>
      <c r="H45" s="52"/>
      <c r="I45" s="52"/>
      <c r="J45" s="52"/>
      <c r="K45" s="52"/>
      <c r="L45" s="54">
        <f>L20-SUM(L30,L41)+L43</f>
        <v>62068</v>
      </c>
      <c r="M45" s="54">
        <f t="shared" ref="M45:Y45" si="14">M20-SUM(M30,M41)+M43</f>
        <v>41578</v>
      </c>
      <c r="N45" s="54">
        <f t="shared" si="14"/>
        <v>27061</v>
      </c>
      <c r="O45" s="54">
        <f t="shared" si="14"/>
        <v>-61241</v>
      </c>
      <c r="P45" s="54">
        <f t="shared" si="14"/>
        <v>50676</v>
      </c>
      <c r="Q45" s="54">
        <f t="shared" si="14"/>
        <v>58074</v>
      </c>
      <c r="R45" s="54">
        <f t="shared" si="14"/>
        <v>40088</v>
      </c>
      <c r="S45" s="54">
        <f t="shared" si="14"/>
        <v>43882</v>
      </c>
      <c r="T45" s="54">
        <f t="shared" si="14"/>
        <v>-3241</v>
      </c>
      <c r="U45" s="54">
        <f t="shared" si="14"/>
        <v>54766</v>
      </c>
      <c r="V45" s="54">
        <f t="shared" si="14"/>
        <v>135495</v>
      </c>
      <c r="W45" s="54">
        <f t="shared" si="14"/>
        <v>52108</v>
      </c>
      <c r="X45" s="54">
        <f t="shared" si="14"/>
        <v>8458</v>
      </c>
      <c r="Y45" s="54">
        <f t="shared" si="14"/>
        <v>-85935</v>
      </c>
      <c r="Z45" s="54">
        <f>Z20-SUM(Z30,Z41)+Z43</f>
        <v>154768</v>
      </c>
      <c r="AA45" s="54">
        <f>AA20-SUM(AA30,AA41)+AA43</f>
        <v>129399</v>
      </c>
      <c r="AB45" s="54">
        <f>AB20-SUM(AB30,AB41)+AB43</f>
        <v>80400</v>
      </c>
      <c r="AC45" s="54">
        <f>AC20-SUM(AC30,AC41)+AC43</f>
        <v>26283</v>
      </c>
      <c r="AD45" s="54">
        <f>AD20-SUM(AD30,AD41)+AD43</f>
        <v>-49679</v>
      </c>
    </row>
    <row r="46" spans="2:30" ht="15" customHeight="1" x14ac:dyDescent="0.25">
      <c r="L46" s="55">
        <f>L45-'Income Statement'!L15</f>
        <v>0</v>
      </c>
      <c r="M46" s="55">
        <f>M45-'Income Statement'!M15</f>
        <v>0</v>
      </c>
      <c r="N46" s="55">
        <f>N45-'Income Statement'!N15</f>
        <v>0</v>
      </c>
      <c r="O46" s="55">
        <f>O45-'Income Statement'!O15</f>
        <v>0</v>
      </c>
      <c r="P46" s="55">
        <f>P45-'Income Statement'!P15</f>
        <v>0</v>
      </c>
      <c r="Q46" s="55">
        <f>Q45-'Income Statement'!Q15</f>
        <v>0</v>
      </c>
      <c r="R46" s="55">
        <f>R45-'Income Statement'!R15</f>
        <v>0</v>
      </c>
      <c r="S46" s="55">
        <f>S45-'Income Statement'!S15</f>
        <v>0</v>
      </c>
      <c r="T46" s="55">
        <f>T45-'Income Statement'!T15</f>
        <v>0</v>
      </c>
      <c r="U46" s="55">
        <f>U45-'Income Statement'!U15</f>
        <v>0</v>
      </c>
      <c r="V46" s="55">
        <f>V45-'Income Statement'!V15</f>
        <v>0</v>
      </c>
      <c r="W46" s="55">
        <f>W45-'Income Statement'!W15</f>
        <v>0</v>
      </c>
      <c r="X46" s="55">
        <f>X45-'Income Statement'!X15</f>
        <v>0</v>
      </c>
      <c r="Y46" s="55">
        <f>Y45-'Income Statement'!Y15</f>
        <v>0</v>
      </c>
      <c r="Z46" s="55">
        <f>Z45-'Income Statement'!Z15</f>
        <v>0</v>
      </c>
      <c r="AA46" s="55">
        <f>AA45-'Income Statement'!AA15</f>
        <v>0</v>
      </c>
      <c r="AB46" s="55">
        <f>AB45-'Income Statement'!AB15</f>
        <v>0</v>
      </c>
      <c r="AC46" s="55">
        <f>AC45-'Income Statement'!AC15</f>
        <v>0</v>
      </c>
      <c r="AD46" s="55">
        <f>AD45-'Income Statement'!AD15</f>
        <v>0</v>
      </c>
    </row>
    <row r="47" spans="2:30" ht="15" hidden="1" customHeight="1" outlineLevel="1" x14ac:dyDescent="0.25">
      <c r="B47" s="44" t="s">
        <v>192</v>
      </c>
      <c r="L47" s="49">
        <v>11633</v>
      </c>
      <c r="M47" s="49">
        <v>12063</v>
      </c>
      <c r="N47" s="49">
        <v>8781</v>
      </c>
      <c r="O47" s="49">
        <v>10407</v>
      </c>
      <c r="P47" s="49">
        <v>-12808</v>
      </c>
      <c r="Q47" s="49">
        <f t="shared" ref="Q47:Q52" si="15">SUM(M47:P47)</f>
        <v>18443</v>
      </c>
      <c r="R47" s="49">
        <v>928</v>
      </c>
      <c r="S47" s="49">
        <v>868</v>
      </c>
      <c r="T47" s="49">
        <v>290</v>
      </c>
      <c r="U47" s="49">
        <v>177</v>
      </c>
      <c r="V47" s="49">
        <f t="shared" ref="V47:V52" si="16">SUM(R47:U47)</f>
        <v>2263</v>
      </c>
      <c r="W47" s="49">
        <v>4867</v>
      </c>
      <c r="X47" s="49">
        <v>6823</v>
      </c>
      <c r="Y47" s="49">
        <v>14831</v>
      </c>
      <c r="Z47" s="49">
        <v>17324</v>
      </c>
      <c r="AA47" s="49">
        <f t="shared" ref="AA47:AA53" si="17">SUM(W47:Z47)</f>
        <v>43845</v>
      </c>
      <c r="AB47" s="49">
        <v>22739</v>
      </c>
      <c r="AC47" s="49">
        <v>25444</v>
      </c>
      <c r="AD47" s="49">
        <v>28830</v>
      </c>
    </row>
    <row r="48" spans="2:30" ht="15" hidden="1" customHeight="1" outlineLevel="1" x14ac:dyDescent="0.25">
      <c r="B48" s="44" t="s">
        <v>196</v>
      </c>
      <c r="L48" s="49">
        <v>4322</v>
      </c>
      <c r="M48" s="49">
        <v>278</v>
      </c>
      <c r="N48" s="49">
        <v>4383</v>
      </c>
      <c r="O48" s="49">
        <v>3242</v>
      </c>
      <c r="P48" s="49">
        <v>20983</v>
      </c>
      <c r="Q48" s="49">
        <f t="shared" si="15"/>
        <v>28886</v>
      </c>
      <c r="R48" s="49">
        <v>1426</v>
      </c>
      <c r="S48" s="49">
        <v>3664</v>
      </c>
      <c r="T48" s="49">
        <v>5966</v>
      </c>
      <c r="U48" s="49">
        <v>6055</v>
      </c>
      <c r="V48" s="49">
        <f t="shared" si="16"/>
        <v>17111</v>
      </c>
      <c r="W48" s="49">
        <v>13</v>
      </c>
      <c r="X48" s="49">
        <v>0</v>
      </c>
      <c r="Y48" s="49">
        <v>0</v>
      </c>
      <c r="Z48" s="49">
        <v>0</v>
      </c>
      <c r="AA48" s="49">
        <f t="shared" si="17"/>
        <v>13</v>
      </c>
      <c r="AB48" s="49">
        <v>0</v>
      </c>
      <c r="AC48" s="49">
        <v>-13</v>
      </c>
      <c r="AD48" s="49">
        <v>0</v>
      </c>
    </row>
    <row r="49" spans="2:30" ht="15" hidden="1" customHeight="1" outlineLevel="1" x14ac:dyDescent="0.25">
      <c r="B49" s="44" t="s">
        <v>197</v>
      </c>
      <c r="L49" s="49">
        <v>19839</v>
      </c>
      <c r="M49" s="49">
        <v>3449</v>
      </c>
      <c r="N49" s="49">
        <v>0</v>
      </c>
      <c r="O49" s="49">
        <v>260</v>
      </c>
      <c r="P49" s="49">
        <v>14890</v>
      </c>
      <c r="Q49" s="49">
        <f t="shared" si="15"/>
        <v>18599</v>
      </c>
      <c r="R49" s="49">
        <v>4205</v>
      </c>
      <c r="S49" s="49">
        <v>6644</v>
      </c>
      <c r="T49" s="49">
        <v>4002</v>
      </c>
      <c r="U49" s="49">
        <v>1296</v>
      </c>
      <c r="V49" s="49">
        <f t="shared" si="16"/>
        <v>16147</v>
      </c>
      <c r="W49" s="49">
        <v>0</v>
      </c>
      <c r="X49" s="49">
        <v>0</v>
      </c>
      <c r="Y49" s="49">
        <v>0</v>
      </c>
      <c r="Z49" s="49">
        <v>1699</v>
      </c>
      <c r="AA49" s="49">
        <f t="shared" si="17"/>
        <v>1699</v>
      </c>
      <c r="AB49" s="49">
        <v>23082</v>
      </c>
      <c r="AC49" s="49">
        <v>84320</v>
      </c>
      <c r="AD49" s="49">
        <v>59956</v>
      </c>
    </row>
    <row r="50" spans="2:30" ht="15" hidden="1" customHeight="1" outlineLevel="1" x14ac:dyDescent="0.25">
      <c r="B50" s="44" t="s">
        <v>100</v>
      </c>
      <c r="L50" s="49">
        <v>0</v>
      </c>
      <c r="M50" s="49">
        <v>0</v>
      </c>
      <c r="N50" s="49">
        <v>0</v>
      </c>
      <c r="O50" s="49">
        <v>0</v>
      </c>
      <c r="P50" s="49">
        <v>0</v>
      </c>
      <c r="Q50" s="49">
        <f t="shared" si="15"/>
        <v>0</v>
      </c>
      <c r="R50" s="49">
        <v>0</v>
      </c>
      <c r="S50" s="49">
        <v>0</v>
      </c>
      <c r="T50" s="49">
        <v>0</v>
      </c>
      <c r="U50" s="49">
        <v>0</v>
      </c>
      <c r="V50" s="49">
        <f t="shared" si="16"/>
        <v>0</v>
      </c>
      <c r="W50" s="49">
        <v>2418</v>
      </c>
      <c r="X50" s="49">
        <v>355</v>
      </c>
      <c r="Y50" s="49">
        <v>4147</v>
      </c>
      <c r="Z50" s="49">
        <v>11437</v>
      </c>
      <c r="AA50" s="49">
        <f t="shared" si="17"/>
        <v>18357</v>
      </c>
      <c r="AB50" s="49">
        <v>0</v>
      </c>
      <c r="AC50" s="49">
        <v>73868</v>
      </c>
      <c r="AD50" s="49">
        <v>0</v>
      </c>
    </row>
    <row r="51" spans="2:30" ht="15" hidden="1" customHeight="1" outlineLevel="1" x14ac:dyDescent="0.25">
      <c r="B51" s="44" t="s">
        <v>203</v>
      </c>
      <c r="L51" s="49">
        <v>0</v>
      </c>
      <c r="M51" s="49">
        <v>0</v>
      </c>
      <c r="N51" s="49">
        <v>0</v>
      </c>
      <c r="O51" s="49">
        <v>0</v>
      </c>
      <c r="P51" s="49">
        <v>0</v>
      </c>
      <c r="Q51" s="49">
        <f>SUM(M51:P51)</f>
        <v>0</v>
      </c>
      <c r="R51" s="49">
        <v>0</v>
      </c>
      <c r="S51" s="49">
        <v>0</v>
      </c>
      <c r="T51" s="49">
        <v>0</v>
      </c>
      <c r="U51" s="49">
        <v>0</v>
      </c>
      <c r="V51" s="49">
        <f>SUM(R51:U51)</f>
        <v>0</v>
      </c>
      <c r="W51" s="49">
        <v>0</v>
      </c>
      <c r="X51" s="49">
        <v>0</v>
      </c>
      <c r="Y51" s="49">
        <v>0</v>
      </c>
      <c r="Z51" s="49">
        <v>20551</v>
      </c>
      <c r="AA51" s="49">
        <f t="shared" si="17"/>
        <v>20551</v>
      </c>
      <c r="AB51" s="49">
        <v>111685</v>
      </c>
      <c r="AC51" s="49">
        <v>27373</v>
      </c>
      <c r="AD51" s="49">
        <v>12491</v>
      </c>
    </row>
    <row r="52" spans="2:30" ht="15" hidden="1" customHeight="1" outlineLevel="1" x14ac:dyDescent="0.25">
      <c r="B52" s="44" t="s">
        <v>193</v>
      </c>
      <c r="L52" s="49">
        <v>0</v>
      </c>
      <c r="M52" s="49">
        <v>0</v>
      </c>
      <c r="N52" s="49">
        <v>0</v>
      </c>
      <c r="O52" s="49">
        <v>1358</v>
      </c>
      <c r="P52" s="49">
        <v>-316</v>
      </c>
      <c r="Q52" s="49">
        <f t="shared" si="15"/>
        <v>1042</v>
      </c>
      <c r="R52" s="49">
        <v>1199</v>
      </c>
      <c r="S52" s="49">
        <v>828</v>
      </c>
      <c r="T52" s="49">
        <v>271</v>
      </c>
      <c r="U52" s="49">
        <v>2423</v>
      </c>
      <c r="V52" s="49">
        <f t="shared" si="16"/>
        <v>4721</v>
      </c>
      <c r="W52" s="49">
        <v>1191</v>
      </c>
      <c r="X52" s="49">
        <v>1796</v>
      </c>
      <c r="Y52" s="49">
        <v>245</v>
      </c>
      <c r="Z52" s="49">
        <v>1424</v>
      </c>
      <c r="AA52" s="49">
        <f t="shared" si="17"/>
        <v>4656</v>
      </c>
      <c r="AB52" s="49">
        <v>795</v>
      </c>
      <c r="AC52" s="49">
        <v>1397</v>
      </c>
      <c r="AD52" s="49">
        <v>3338</v>
      </c>
    </row>
    <row r="53" spans="2:30" ht="15" hidden="1" customHeight="1" outlineLevel="1" x14ac:dyDescent="0.25">
      <c r="B53" s="44" t="s">
        <v>176</v>
      </c>
      <c r="L53" s="49">
        <v>824</v>
      </c>
      <c r="M53" s="49">
        <v>1166</v>
      </c>
      <c r="N53" s="49">
        <v>797</v>
      </c>
      <c r="O53" s="49">
        <v>920</v>
      </c>
      <c r="P53" s="49">
        <v>2194</v>
      </c>
      <c r="Q53" s="49">
        <f>SUM(M53:P53)</f>
        <v>5077</v>
      </c>
      <c r="R53" s="49">
        <v>1629</v>
      </c>
      <c r="S53" s="49">
        <v>788</v>
      </c>
      <c r="T53" s="49">
        <v>2889</v>
      </c>
      <c r="U53" s="49">
        <v>-337</v>
      </c>
      <c r="V53" s="49">
        <f>SUM(R53:U53)</f>
        <v>4969</v>
      </c>
      <c r="W53" s="49">
        <v>1451</v>
      </c>
      <c r="X53" s="49">
        <v>3140</v>
      </c>
      <c r="Y53" s="49">
        <v>1130</v>
      </c>
      <c r="Z53" s="49">
        <v>-3630</v>
      </c>
      <c r="AA53" s="49">
        <f t="shared" si="17"/>
        <v>2091</v>
      </c>
      <c r="AB53" s="49">
        <v>932</v>
      </c>
      <c r="AC53" s="49">
        <v>1993</v>
      </c>
      <c r="AD53" s="49">
        <v>1014</v>
      </c>
    </row>
    <row r="54" spans="2:30" ht="15" customHeight="1" collapsed="1" x14ac:dyDescent="0.25">
      <c r="B54" s="52" t="s">
        <v>50</v>
      </c>
      <c r="L54" s="50">
        <f t="shared" ref="L54:AD54" si="18">SUM(L47:L53)</f>
        <v>36618</v>
      </c>
      <c r="M54" s="50">
        <f t="shared" si="18"/>
        <v>16956</v>
      </c>
      <c r="N54" s="50">
        <f t="shared" si="18"/>
        <v>13961</v>
      </c>
      <c r="O54" s="50">
        <f t="shared" si="18"/>
        <v>16187</v>
      </c>
      <c r="P54" s="50">
        <f t="shared" si="18"/>
        <v>24943</v>
      </c>
      <c r="Q54" s="50">
        <f t="shared" si="18"/>
        <v>72047</v>
      </c>
      <c r="R54" s="50">
        <f t="shared" si="18"/>
        <v>9387</v>
      </c>
      <c r="S54" s="50">
        <f t="shared" si="18"/>
        <v>12792</v>
      </c>
      <c r="T54" s="50">
        <f t="shared" si="18"/>
        <v>13418</v>
      </c>
      <c r="U54" s="50">
        <f t="shared" si="18"/>
        <v>9614</v>
      </c>
      <c r="V54" s="50">
        <f t="shared" si="18"/>
        <v>45211</v>
      </c>
      <c r="W54" s="50">
        <f t="shared" si="18"/>
        <v>9940</v>
      </c>
      <c r="X54" s="50">
        <f t="shared" si="18"/>
        <v>12114</v>
      </c>
      <c r="Y54" s="50">
        <f t="shared" si="18"/>
        <v>20353</v>
      </c>
      <c r="Z54" s="50">
        <f t="shared" si="18"/>
        <v>48805</v>
      </c>
      <c r="AA54" s="50">
        <f t="shared" si="18"/>
        <v>91212</v>
      </c>
      <c r="AB54" s="50">
        <f t="shared" si="18"/>
        <v>159233</v>
      </c>
      <c r="AC54" s="50">
        <f t="shared" si="18"/>
        <v>214382</v>
      </c>
      <c r="AD54" s="50">
        <f t="shared" si="18"/>
        <v>105629</v>
      </c>
    </row>
    <row r="56" spans="2:30" ht="15" hidden="1" customHeight="1" outlineLevel="1" x14ac:dyDescent="0.25">
      <c r="B56" s="44" t="s">
        <v>197</v>
      </c>
      <c r="L56" s="49">
        <v>-19180</v>
      </c>
      <c r="M56" s="49">
        <v>-5369</v>
      </c>
      <c r="N56" s="49">
        <v>0</v>
      </c>
      <c r="O56" s="49">
        <v>-8689</v>
      </c>
      <c r="P56" s="49">
        <v>-4068</v>
      </c>
      <c r="Q56" s="49">
        <f t="shared" ref="Q56:Q62" si="19">SUM(M56:P56)</f>
        <v>-18126</v>
      </c>
      <c r="R56" s="49">
        <v>-4259</v>
      </c>
      <c r="S56" s="49">
        <v>-5731</v>
      </c>
      <c r="T56" s="49">
        <v>-4423</v>
      </c>
      <c r="U56" s="49">
        <v>-1172</v>
      </c>
      <c r="V56" s="49">
        <f t="shared" ref="V56:V62" si="20">SUM(R56:U56)</f>
        <v>-15585</v>
      </c>
      <c r="W56" s="49">
        <v>0</v>
      </c>
      <c r="X56" s="49">
        <v>0</v>
      </c>
      <c r="Y56" s="49">
        <v>0</v>
      </c>
      <c r="Z56" s="49">
        <v>-38990</v>
      </c>
      <c r="AA56" s="49">
        <f t="shared" ref="AA56:AA62" si="21">SUM(W56:Z56)</f>
        <v>-38990</v>
      </c>
      <c r="AB56" s="49">
        <v>-11429</v>
      </c>
      <c r="AC56" s="49">
        <v>0</v>
      </c>
      <c r="AD56" s="49">
        <v>-1367</v>
      </c>
    </row>
    <row r="57" spans="2:30" ht="15" hidden="1" customHeight="1" outlineLevel="1" x14ac:dyDescent="0.25">
      <c r="B57" s="44" t="s">
        <v>100</v>
      </c>
      <c r="L57" s="49">
        <v>-130378</v>
      </c>
      <c r="M57" s="49">
        <v>0</v>
      </c>
      <c r="N57" s="49">
        <v>0</v>
      </c>
      <c r="O57" s="49">
        <v>-81781</v>
      </c>
      <c r="P57" s="49">
        <v>-7622</v>
      </c>
      <c r="Q57" s="49">
        <f t="shared" si="19"/>
        <v>-89403</v>
      </c>
      <c r="R57" s="49">
        <v>-6600</v>
      </c>
      <c r="S57" s="49">
        <v>-294</v>
      </c>
      <c r="T57" s="49">
        <v>-12978</v>
      </c>
      <c r="U57" s="49">
        <v>-458</v>
      </c>
      <c r="V57" s="49">
        <f t="shared" si="20"/>
        <v>-20330</v>
      </c>
      <c r="W57" s="49">
        <v>-230</v>
      </c>
      <c r="X57" s="49">
        <v>-3032</v>
      </c>
      <c r="Y57" s="49">
        <v>-78811</v>
      </c>
      <c r="Z57" s="49">
        <v>-24104</v>
      </c>
      <c r="AA57" s="49">
        <f t="shared" si="21"/>
        <v>-106177</v>
      </c>
      <c r="AB57" s="49">
        <v>-7028</v>
      </c>
      <c r="AC57" s="49">
        <v>-40520</v>
      </c>
      <c r="AD57" s="49">
        <v>0</v>
      </c>
    </row>
    <row r="58" spans="2:30" ht="15" hidden="1" customHeight="1" outlineLevel="1" x14ac:dyDescent="0.25">
      <c r="B58" s="44" t="s">
        <v>194</v>
      </c>
      <c r="L58" s="49">
        <v>-1390</v>
      </c>
      <c r="M58" s="49">
        <v>-1080</v>
      </c>
      <c r="N58" s="49">
        <v>-1094</v>
      </c>
      <c r="O58" s="49">
        <v>-368</v>
      </c>
      <c r="P58" s="49">
        <v>2542</v>
      </c>
      <c r="Q58" s="49">
        <f t="shared" si="19"/>
        <v>0</v>
      </c>
      <c r="R58" s="49">
        <v>-1145</v>
      </c>
      <c r="S58" s="49">
        <f>-1193+397</f>
        <v>-796</v>
      </c>
      <c r="T58" s="49">
        <v>-973</v>
      </c>
      <c r="U58" s="49">
        <v>2914</v>
      </c>
      <c r="V58" s="49">
        <f t="shared" si="20"/>
        <v>0</v>
      </c>
      <c r="W58" s="49">
        <v>-2006</v>
      </c>
      <c r="X58" s="49">
        <v>-2034</v>
      </c>
      <c r="Y58" s="49">
        <v>-2126</v>
      </c>
      <c r="Z58" s="49">
        <v>-2481</v>
      </c>
      <c r="AA58" s="49">
        <f t="shared" si="21"/>
        <v>-8647</v>
      </c>
      <c r="AB58" s="49">
        <v>-2680</v>
      </c>
      <c r="AC58" s="49">
        <v>-89017</v>
      </c>
      <c r="AD58" s="49">
        <v>-33807</v>
      </c>
    </row>
    <row r="59" spans="2:30" ht="15" hidden="1" customHeight="1" outlineLevel="1" x14ac:dyDescent="0.25">
      <c r="B59" s="44" t="s">
        <v>204</v>
      </c>
      <c r="L59" s="49"/>
      <c r="M59" s="49"/>
      <c r="N59" s="49"/>
      <c r="O59" s="49"/>
      <c r="P59" s="49"/>
      <c r="Q59" s="49">
        <v>0</v>
      </c>
      <c r="R59" s="49">
        <v>0</v>
      </c>
      <c r="S59" s="49">
        <v>0</v>
      </c>
      <c r="T59" s="49">
        <v>0</v>
      </c>
      <c r="U59" s="49">
        <v>0</v>
      </c>
      <c r="V59" s="49">
        <v>0</v>
      </c>
      <c r="W59" s="49">
        <v>0</v>
      </c>
      <c r="X59" s="49">
        <v>0</v>
      </c>
      <c r="Y59" s="49">
        <v>0</v>
      </c>
      <c r="Z59" s="49">
        <v>-22323</v>
      </c>
      <c r="AA59" s="49">
        <f>SUM(W59:Z59)</f>
        <v>-22323</v>
      </c>
      <c r="AB59" s="49">
        <v>-6379</v>
      </c>
      <c r="AC59" s="49">
        <v>-2758</v>
      </c>
      <c r="AD59" s="49">
        <v>-1725</v>
      </c>
    </row>
    <row r="60" spans="2:30" ht="15" hidden="1" customHeight="1" outlineLevel="1" x14ac:dyDescent="0.25">
      <c r="B60" s="44" t="s">
        <v>198</v>
      </c>
      <c r="L60" s="49">
        <v>-9781</v>
      </c>
      <c r="M60" s="49">
        <v>-7524</v>
      </c>
      <c r="N60" s="49">
        <v>-6916</v>
      </c>
      <c r="O60" s="49">
        <v>-10270</v>
      </c>
      <c r="P60" s="49">
        <v>-17496</v>
      </c>
      <c r="Q60" s="49">
        <f t="shared" si="19"/>
        <v>-42206</v>
      </c>
      <c r="R60" s="49">
        <v>-20266</v>
      </c>
      <c r="S60" s="49">
        <v>-16711</v>
      </c>
      <c r="T60" s="49">
        <v>-13013</v>
      </c>
      <c r="U60" s="49">
        <v>-18389</v>
      </c>
      <c r="V60" s="49">
        <f t="shared" si="20"/>
        <v>-68379</v>
      </c>
      <c r="W60" s="49">
        <v>-27381</v>
      </c>
      <c r="X60" s="49">
        <v>-26643</v>
      </c>
      <c r="Y60" s="49">
        <v>-30802</v>
      </c>
      <c r="Z60" s="49">
        <v>-36785</v>
      </c>
      <c r="AA60" s="49">
        <f t="shared" si="21"/>
        <v>-121611</v>
      </c>
      <c r="AB60" s="49">
        <v>-43930</v>
      </c>
      <c r="AC60" s="49">
        <v>-45744</v>
      </c>
      <c r="AD60" s="49">
        <v>-47268</v>
      </c>
    </row>
    <row r="61" spans="2:30" ht="15" hidden="1" customHeight="1" outlineLevel="1" x14ac:dyDescent="0.25">
      <c r="B61" s="44" t="s">
        <v>102</v>
      </c>
      <c r="L61" s="49">
        <v>0</v>
      </c>
      <c r="M61" s="49">
        <v>-395</v>
      </c>
      <c r="N61" s="49">
        <v>-387</v>
      </c>
      <c r="O61" s="49">
        <v>-449</v>
      </c>
      <c r="P61" s="49">
        <v>-258</v>
      </c>
      <c r="Q61" s="49">
        <f t="shared" si="19"/>
        <v>-1489</v>
      </c>
      <c r="R61" s="49">
        <v>-732</v>
      </c>
      <c r="S61" s="49">
        <v>-687</v>
      </c>
      <c r="T61" s="49">
        <v>-641</v>
      </c>
      <c r="U61" s="49">
        <v>-976</v>
      </c>
      <c r="V61" s="49">
        <f t="shared" si="20"/>
        <v>-3036</v>
      </c>
      <c r="W61" s="49">
        <v>-1019</v>
      </c>
      <c r="X61" s="49">
        <v>-1138</v>
      </c>
      <c r="Y61" s="49">
        <v>-1204</v>
      </c>
      <c r="Z61" s="49">
        <v>-1434</v>
      </c>
      <c r="AA61" s="49">
        <f t="shared" si="21"/>
        <v>-4795</v>
      </c>
      <c r="AB61" s="49">
        <v>-1161</v>
      </c>
      <c r="AC61" s="49">
        <v>-1126</v>
      </c>
      <c r="AD61" s="49">
        <v>-1001</v>
      </c>
    </row>
    <row r="62" spans="2:30" ht="15" hidden="1" customHeight="1" outlineLevel="1" x14ac:dyDescent="0.25">
      <c r="B62" s="44" t="s">
        <v>195</v>
      </c>
      <c r="L62" s="49">
        <v>0</v>
      </c>
      <c r="M62" s="49">
        <v>0</v>
      </c>
      <c r="N62" s="49">
        <v>0</v>
      </c>
      <c r="O62" s="49">
        <v>0</v>
      </c>
      <c r="P62" s="49">
        <v>0</v>
      </c>
      <c r="Q62" s="49">
        <f t="shared" si="19"/>
        <v>0</v>
      </c>
      <c r="R62" s="49">
        <v>-1794</v>
      </c>
      <c r="S62" s="49">
        <f>-6975+1794</f>
        <v>-5181</v>
      </c>
      <c r="T62" s="49">
        <v>-9077</v>
      </c>
      <c r="U62" s="49">
        <v>-3810</v>
      </c>
      <c r="V62" s="49">
        <f t="shared" si="20"/>
        <v>-19862</v>
      </c>
      <c r="W62" s="49">
        <v>-3689</v>
      </c>
      <c r="X62" s="49">
        <v>-5216</v>
      </c>
      <c r="Y62" s="49">
        <v>-11705</v>
      </c>
      <c r="Z62" s="49">
        <f>-31257-5378</f>
        <v>-36635</v>
      </c>
      <c r="AA62" s="49">
        <f t="shared" si="21"/>
        <v>-57245</v>
      </c>
      <c r="AB62" s="49">
        <v>-48770</v>
      </c>
      <c r="AC62" s="49">
        <v>-56774</v>
      </c>
      <c r="AD62" s="49">
        <v>-72549</v>
      </c>
    </row>
    <row r="63" spans="2:30" ht="15" hidden="1" customHeight="1" outlineLevel="1" x14ac:dyDescent="0.25">
      <c r="B63" s="44" t="s">
        <v>176</v>
      </c>
      <c r="L63" s="49">
        <v>-38066</v>
      </c>
      <c r="M63" s="49">
        <v>-2113</v>
      </c>
      <c r="N63" s="49">
        <v>-3977</v>
      </c>
      <c r="O63" s="49">
        <v>-3411</v>
      </c>
      <c r="P63" s="49">
        <v>-10130</v>
      </c>
      <c r="Q63" s="49">
        <f>SUM(M63:P63)</f>
        <v>-19631</v>
      </c>
      <c r="R63" s="49">
        <f>((-3756+1794)+-1300)+-281</f>
        <v>-3543</v>
      </c>
      <c r="S63" s="49">
        <f>((-4756+5181-397)+-329)+-1051</f>
        <v>-1352</v>
      </c>
      <c r="T63" s="49">
        <v>-3707</v>
      </c>
      <c r="U63" s="49">
        <v>-6219</v>
      </c>
      <c r="V63" s="49">
        <f>SUM(R63:U63)</f>
        <v>-14821</v>
      </c>
      <c r="W63" s="49">
        <v>-4289</v>
      </c>
      <c r="X63" s="49">
        <v>-7615</v>
      </c>
      <c r="Y63" s="49">
        <v>-299</v>
      </c>
      <c r="Z63" s="49">
        <v>-95</v>
      </c>
      <c r="AA63" s="49">
        <f>SUM(W63:Z63)</f>
        <v>-12298</v>
      </c>
      <c r="AB63" s="49">
        <v>-3724</v>
      </c>
      <c r="AC63" s="49">
        <v>-2546</v>
      </c>
      <c r="AD63" s="49">
        <v>-1794</v>
      </c>
    </row>
    <row r="64" spans="2:30" ht="15" customHeight="1" collapsed="1" x14ac:dyDescent="0.25">
      <c r="B64" s="52" t="s">
        <v>51</v>
      </c>
      <c r="L64" s="50">
        <f t="shared" ref="L64:AB64" si="22">SUM(L56:L63)</f>
        <v>-198795</v>
      </c>
      <c r="M64" s="50">
        <f t="shared" si="22"/>
        <v>-16481</v>
      </c>
      <c r="N64" s="50">
        <f t="shared" si="22"/>
        <v>-12374</v>
      </c>
      <c r="O64" s="50">
        <f t="shared" si="22"/>
        <v>-104968</v>
      </c>
      <c r="P64" s="50">
        <f t="shared" si="22"/>
        <v>-37032</v>
      </c>
      <c r="Q64" s="50">
        <f t="shared" si="22"/>
        <v>-170855</v>
      </c>
      <c r="R64" s="50">
        <f t="shared" si="22"/>
        <v>-38339</v>
      </c>
      <c r="S64" s="50">
        <f t="shared" si="22"/>
        <v>-30752</v>
      </c>
      <c r="T64" s="50">
        <f t="shared" si="22"/>
        <v>-44812</v>
      </c>
      <c r="U64" s="50">
        <f t="shared" si="22"/>
        <v>-28110</v>
      </c>
      <c r="V64" s="50">
        <f t="shared" si="22"/>
        <v>-142013</v>
      </c>
      <c r="W64" s="50">
        <f t="shared" si="22"/>
        <v>-38614</v>
      </c>
      <c r="X64" s="50">
        <f t="shared" si="22"/>
        <v>-45678</v>
      </c>
      <c r="Y64" s="50">
        <f t="shared" si="22"/>
        <v>-124947</v>
      </c>
      <c r="Z64" s="50">
        <f t="shared" si="22"/>
        <v>-162847</v>
      </c>
      <c r="AA64" s="50">
        <f t="shared" si="22"/>
        <v>-372086</v>
      </c>
      <c r="AB64" s="50">
        <f t="shared" si="22"/>
        <v>-125101</v>
      </c>
      <c r="AC64" s="50">
        <f t="shared" ref="AC64:AD64" si="23">SUM(AC56:AC63)</f>
        <v>-238485</v>
      </c>
      <c r="AD64" s="50">
        <f t="shared" si="23"/>
        <v>-159511</v>
      </c>
    </row>
    <row r="65" spans="2:30" ht="15" customHeight="1" x14ac:dyDescent="0.25">
      <c r="B65" s="52" t="s">
        <v>129</v>
      </c>
      <c r="L65" s="50">
        <f t="shared" ref="L65:AB65" si="24">SUM(L54,L64)</f>
        <v>-162177</v>
      </c>
      <c r="M65" s="50">
        <f t="shared" si="24"/>
        <v>475</v>
      </c>
      <c r="N65" s="50">
        <f t="shared" si="24"/>
        <v>1587</v>
      </c>
      <c r="O65" s="50">
        <f t="shared" si="24"/>
        <v>-88781</v>
      </c>
      <c r="P65" s="50">
        <f t="shared" si="24"/>
        <v>-12089</v>
      </c>
      <c r="Q65" s="50">
        <f t="shared" si="24"/>
        <v>-98808</v>
      </c>
      <c r="R65" s="50">
        <f t="shared" si="24"/>
        <v>-28952</v>
      </c>
      <c r="S65" s="50">
        <f t="shared" si="24"/>
        <v>-17960</v>
      </c>
      <c r="T65" s="50">
        <f t="shared" si="24"/>
        <v>-31394</v>
      </c>
      <c r="U65" s="50">
        <f t="shared" si="24"/>
        <v>-18496</v>
      </c>
      <c r="V65" s="50">
        <f t="shared" si="24"/>
        <v>-96802</v>
      </c>
      <c r="W65" s="50">
        <f t="shared" si="24"/>
        <v>-28674</v>
      </c>
      <c r="X65" s="50">
        <f t="shared" si="24"/>
        <v>-33564</v>
      </c>
      <c r="Y65" s="50">
        <f t="shared" si="24"/>
        <v>-104594</v>
      </c>
      <c r="Z65" s="50">
        <f t="shared" si="24"/>
        <v>-114042</v>
      </c>
      <c r="AA65" s="50">
        <f t="shared" si="24"/>
        <v>-280874</v>
      </c>
      <c r="AB65" s="50">
        <f t="shared" si="24"/>
        <v>34132</v>
      </c>
      <c r="AC65" s="50">
        <f t="shared" ref="AC65:AD65" si="25">SUM(AC54,AC64)</f>
        <v>-24103</v>
      </c>
      <c r="AD65" s="50">
        <f t="shared" si="25"/>
        <v>-53882</v>
      </c>
    </row>
    <row r="67" spans="2:30" ht="15" customHeight="1" x14ac:dyDescent="0.25">
      <c r="B67" s="52" t="s">
        <v>60</v>
      </c>
      <c r="C67" s="52"/>
      <c r="D67" s="52"/>
      <c r="E67" s="52"/>
      <c r="F67" s="52"/>
      <c r="G67" s="52"/>
      <c r="H67" s="52"/>
      <c r="I67" s="52"/>
      <c r="J67" s="52"/>
      <c r="K67" s="52"/>
      <c r="L67" s="50">
        <f>'Income Statement'!L22</f>
        <v>-792</v>
      </c>
      <c r="M67" s="50">
        <f>'Income Statement'!M22</f>
        <v>-492</v>
      </c>
      <c r="N67" s="50">
        <f>'Income Statement'!N22</f>
        <v>-667</v>
      </c>
      <c r="O67" s="50">
        <f>'Income Statement'!O22</f>
        <v>-794</v>
      </c>
      <c r="P67" s="50">
        <f>'Income Statement'!P22</f>
        <v>153</v>
      </c>
      <c r="Q67" s="50">
        <f>'Income Statement'!Q22</f>
        <v>-1800</v>
      </c>
      <c r="R67" s="50">
        <f>'Income Statement'!R22</f>
        <v>-706</v>
      </c>
      <c r="S67" s="50">
        <f>'Income Statement'!S22</f>
        <v>-3293</v>
      </c>
      <c r="T67" s="50">
        <f>'Income Statement'!T22</f>
        <v>-4042</v>
      </c>
      <c r="U67" s="50">
        <f>'Income Statement'!U22</f>
        <v>8450</v>
      </c>
      <c r="V67" s="50">
        <f>'Income Statement'!V22</f>
        <v>409</v>
      </c>
      <c r="W67" s="50">
        <f>'Income Statement'!W22</f>
        <v>-1023</v>
      </c>
      <c r="X67" s="50">
        <f>'Income Statement'!X22</f>
        <v>-1728</v>
      </c>
      <c r="Y67" s="50">
        <f>'Income Statement'!Y22</f>
        <v>-5575</v>
      </c>
      <c r="Z67" s="50">
        <f>'Income Statement'!Z22</f>
        <v>-13856</v>
      </c>
      <c r="AA67" s="50">
        <f>'Income Statement'!AA22</f>
        <v>-22182</v>
      </c>
      <c r="AB67" s="50">
        <f>'Income Statement'!AB22</f>
        <v>-5642</v>
      </c>
      <c r="AC67" s="50">
        <f>'Income Statement'!AC22</f>
        <v>-14294</v>
      </c>
      <c r="AD67" s="50">
        <f>'Income Statement'!AD22</f>
        <v>-4284</v>
      </c>
    </row>
    <row r="69" spans="2:30" ht="15" customHeight="1" x14ac:dyDescent="0.25">
      <c r="B69" s="52" t="s">
        <v>123</v>
      </c>
      <c r="C69" s="52"/>
      <c r="D69" s="52"/>
      <c r="E69" s="52"/>
      <c r="F69" s="52"/>
      <c r="G69" s="52"/>
      <c r="H69" s="52"/>
      <c r="I69" s="52"/>
      <c r="J69" s="52"/>
      <c r="K69" s="52"/>
      <c r="L69" s="54">
        <f t="shared" ref="L69:AB69" si="26">SUM(L45,L65,L67)</f>
        <v>-100901</v>
      </c>
      <c r="M69" s="54">
        <f t="shared" si="26"/>
        <v>41561</v>
      </c>
      <c r="N69" s="54">
        <f t="shared" si="26"/>
        <v>27981</v>
      </c>
      <c r="O69" s="54">
        <f t="shared" si="26"/>
        <v>-150816</v>
      </c>
      <c r="P69" s="54">
        <f t="shared" si="26"/>
        <v>38740</v>
      </c>
      <c r="Q69" s="54">
        <f t="shared" si="26"/>
        <v>-42534</v>
      </c>
      <c r="R69" s="54">
        <f t="shared" si="26"/>
        <v>10430</v>
      </c>
      <c r="S69" s="54">
        <f t="shared" si="26"/>
        <v>22629</v>
      </c>
      <c r="T69" s="54">
        <f t="shared" si="26"/>
        <v>-38677</v>
      </c>
      <c r="U69" s="54">
        <f t="shared" si="26"/>
        <v>44720</v>
      </c>
      <c r="V69" s="54">
        <f t="shared" si="26"/>
        <v>39102</v>
      </c>
      <c r="W69" s="54">
        <f t="shared" si="26"/>
        <v>22411</v>
      </c>
      <c r="X69" s="54">
        <f t="shared" si="26"/>
        <v>-26834</v>
      </c>
      <c r="Y69" s="54">
        <f t="shared" si="26"/>
        <v>-196104</v>
      </c>
      <c r="Z69" s="54">
        <f t="shared" si="26"/>
        <v>26870</v>
      </c>
      <c r="AA69" s="54">
        <f t="shared" si="26"/>
        <v>-173657</v>
      </c>
      <c r="AB69" s="54">
        <f t="shared" si="26"/>
        <v>108890</v>
      </c>
      <c r="AC69" s="54">
        <f t="shared" ref="AC69:AD69" si="27">SUM(AC45,AC65,AC67)</f>
        <v>-12114</v>
      </c>
      <c r="AD69" s="54">
        <f t="shared" si="27"/>
        <v>-107845</v>
      </c>
    </row>
    <row r="70" spans="2:30" ht="15" customHeight="1" x14ac:dyDescent="0.25">
      <c r="L70" s="56">
        <f>L69-'Income Statement'!L24</f>
        <v>0</v>
      </c>
      <c r="M70" s="56">
        <f>M69-'Income Statement'!M24</f>
        <v>0</v>
      </c>
      <c r="N70" s="56">
        <f>N69-'Income Statement'!N24</f>
        <v>0</v>
      </c>
      <c r="O70" s="56">
        <f>O69-'Income Statement'!O24</f>
        <v>0</v>
      </c>
      <c r="P70" s="56">
        <f>P69-'Income Statement'!P24</f>
        <v>0</v>
      </c>
      <c r="Q70" s="56">
        <f>Q69-'Income Statement'!Q24</f>
        <v>0</v>
      </c>
      <c r="R70" s="56">
        <f>R69-'Income Statement'!R24</f>
        <v>0</v>
      </c>
      <c r="S70" s="56">
        <f>S69-'Income Statement'!S24</f>
        <v>0</v>
      </c>
      <c r="T70" s="56">
        <f>T69-'Income Statement'!T24</f>
        <v>0</v>
      </c>
      <c r="U70" s="56">
        <f>U69-'Income Statement'!U24</f>
        <v>0</v>
      </c>
      <c r="V70" s="56">
        <f>V69-'Income Statement'!V24</f>
        <v>0</v>
      </c>
      <c r="W70" s="56">
        <f>W69-'Income Statement'!W24</f>
        <v>0</v>
      </c>
      <c r="X70" s="56">
        <f>X69-'Income Statement'!X24</f>
        <v>0</v>
      </c>
      <c r="Y70" s="56">
        <f>Y69-'Income Statement'!Y24</f>
        <v>0</v>
      </c>
      <c r="Z70" s="56">
        <f>Z69-'Income Statement'!Z24</f>
        <v>0</v>
      </c>
      <c r="AA70" s="56">
        <f>AA69-'Income Statement'!AA24</f>
        <v>0</v>
      </c>
      <c r="AB70" s="56">
        <f>AB69-'Income Statement'!AB24</f>
        <v>0</v>
      </c>
      <c r="AC70" s="56">
        <f>AC69-'Income Statement'!AC24</f>
        <v>0</v>
      </c>
      <c r="AD70" s="56">
        <f>AD69-'Income Statement'!AD24</f>
        <v>0</v>
      </c>
    </row>
    <row r="71" spans="2:30" ht="15" customHeight="1" x14ac:dyDescent="0.25">
      <c r="B71" s="44" t="s">
        <v>3</v>
      </c>
      <c r="L71" s="57">
        <f>'Income Statement'!L26</f>
        <v>-26553</v>
      </c>
      <c r="M71" s="57">
        <f>'Income Statement'!M26</f>
        <v>-18252</v>
      </c>
      <c r="N71" s="57">
        <f>'Income Statement'!N26</f>
        <v>-10899</v>
      </c>
      <c r="O71" s="57">
        <f>'Income Statement'!O26</f>
        <v>-3103</v>
      </c>
      <c r="P71" s="57">
        <f>'Income Statement'!P26</f>
        <v>-14596</v>
      </c>
      <c r="Q71" s="57">
        <f>'Income Statement'!Q26</f>
        <v>-46850</v>
      </c>
      <c r="R71" s="57">
        <f>'Income Statement'!R26</f>
        <v>-32188</v>
      </c>
      <c r="S71" s="57">
        <f>'Income Statement'!S26</f>
        <v>-22435</v>
      </c>
      <c r="T71" s="57">
        <f>'Income Statement'!T26</f>
        <v>-14218</v>
      </c>
      <c r="U71" s="57">
        <f>'Income Statement'!U26</f>
        <v>-18538</v>
      </c>
      <c r="V71" s="57">
        <f>'Income Statement'!V26</f>
        <v>-87379</v>
      </c>
      <c r="W71" s="57">
        <f>'Income Statement'!W26</f>
        <v>-17353</v>
      </c>
      <c r="X71" s="57">
        <f>'Income Statement'!X26</f>
        <v>-18544</v>
      </c>
      <c r="Y71" s="57">
        <f>'Income Statement'!Y26</f>
        <v>-1246</v>
      </c>
      <c r="Z71" s="57">
        <f>'Income Statement'!Z26</f>
        <v>-28466</v>
      </c>
      <c r="AA71" s="57">
        <f>'Income Statement'!AA26</f>
        <v>-65609</v>
      </c>
      <c r="AB71" s="57">
        <f>'Income Statement'!AB26</f>
        <v>-21847</v>
      </c>
      <c r="AC71" s="57">
        <f>'Income Statement'!AC26</f>
        <v>8038</v>
      </c>
      <c r="AD71" s="57">
        <f>'Income Statement'!AD26</f>
        <v>-4385</v>
      </c>
    </row>
    <row r="72" spans="2:30" ht="15" customHeight="1" x14ac:dyDescent="0.25">
      <c r="B72" s="44" t="s">
        <v>52</v>
      </c>
      <c r="L72" s="57">
        <f>'Income Statement'!L27</f>
        <v>44538</v>
      </c>
      <c r="M72" s="57">
        <f>'Income Statement'!M27</f>
        <v>7532</v>
      </c>
      <c r="N72" s="57">
        <f>'Income Statement'!N27</f>
        <v>8617</v>
      </c>
      <c r="O72" s="57">
        <f>'Income Statement'!O27</f>
        <v>45433</v>
      </c>
      <c r="P72" s="57">
        <f>'Income Statement'!P27</f>
        <v>18371</v>
      </c>
      <c r="Q72" s="57">
        <f>'Income Statement'!Q27</f>
        <v>79953</v>
      </c>
      <c r="R72" s="57">
        <f>'Income Statement'!R27</f>
        <v>25579</v>
      </c>
      <c r="S72" s="57">
        <f>'Income Statement'!S27</f>
        <v>16050</v>
      </c>
      <c r="T72" s="57">
        <f>'Income Statement'!T27</f>
        <v>25407</v>
      </c>
      <c r="U72" s="57">
        <f>'Income Statement'!U27</f>
        <v>-1979</v>
      </c>
      <c r="V72" s="57">
        <f>'Income Statement'!V27</f>
        <v>65057</v>
      </c>
      <c r="W72" s="57">
        <f>'Income Statement'!W27</f>
        <v>6753</v>
      </c>
      <c r="X72" s="57">
        <f>'Income Statement'!X27</f>
        <v>25359</v>
      </c>
      <c r="Y72" s="57">
        <f>'Income Statement'!Y27</f>
        <v>53290</v>
      </c>
      <c r="Z72" s="57">
        <f>'Income Statement'!Z27</f>
        <v>-4219</v>
      </c>
      <c r="AA72" s="57">
        <f>'Income Statement'!AA27</f>
        <v>81183</v>
      </c>
      <c r="AB72" s="57">
        <f>'Income Statement'!AB27</f>
        <v>15616</v>
      </c>
      <c r="AC72" s="57">
        <f>'Income Statement'!AC27</f>
        <v>-9265</v>
      </c>
      <c r="AD72" s="57">
        <f>'Income Statement'!AD27</f>
        <v>39766</v>
      </c>
    </row>
    <row r="73" spans="2:30" ht="15" customHeight="1" x14ac:dyDescent="0.25">
      <c r="B73" s="52" t="s">
        <v>53</v>
      </c>
      <c r="C73" s="52"/>
      <c r="D73" s="52"/>
      <c r="E73" s="52"/>
      <c r="F73" s="52"/>
      <c r="G73" s="52"/>
      <c r="H73" s="52"/>
      <c r="I73" s="52"/>
      <c r="J73" s="52"/>
      <c r="K73" s="52"/>
      <c r="L73" s="53">
        <f t="shared" ref="L73:Y73" si="28">SUM(L71:L72)</f>
        <v>17985</v>
      </c>
      <c r="M73" s="53">
        <f t="shared" si="28"/>
        <v>-10720</v>
      </c>
      <c r="N73" s="53">
        <f t="shared" si="28"/>
        <v>-2282</v>
      </c>
      <c r="O73" s="53">
        <f t="shared" si="28"/>
        <v>42330</v>
      </c>
      <c r="P73" s="53">
        <f t="shared" si="28"/>
        <v>3775</v>
      </c>
      <c r="Q73" s="53">
        <f t="shared" si="28"/>
        <v>33103</v>
      </c>
      <c r="R73" s="53">
        <f t="shared" si="28"/>
        <v>-6609</v>
      </c>
      <c r="S73" s="53">
        <f t="shared" si="28"/>
        <v>-6385</v>
      </c>
      <c r="T73" s="53">
        <f t="shared" si="28"/>
        <v>11189</v>
      </c>
      <c r="U73" s="53">
        <f t="shared" si="28"/>
        <v>-20517</v>
      </c>
      <c r="V73" s="53">
        <f t="shared" si="28"/>
        <v>-22322</v>
      </c>
      <c r="W73" s="53">
        <f t="shared" si="28"/>
        <v>-10600</v>
      </c>
      <c r="X73" s="53">
        <f t="shared" si="28"/>
        <v>6815</v>
      </c>
      <c r="Y73" s="53">
        <f t="shared" si="28"/>
        <v>52044</v>
      </c>
      <c r="Z73" s="53">
        <f>SUM(Z71:Z72)</f>
        <v>-32685</v>
      </c>
      <c r="AA73" s="53">
        <f>SUM(AA71:AA72)</f>
        <v>15574</v>
      </c>
      <c r="AB73" s="53">
        <f>SUM(AB71:AB72)</f>
        <v>-6231</v>
      </c>
      <c r="AC73" s="53">
        <f>SUM(AC71:AC72)</f>
        <v>-1227</v>
      </c>
      <c r="AD73" s="53">
        <f>SUM(AD71:AD72)</f>
        <v>35381</v>
      </c>
    </row>
    <row r="74" spans="2:30" ht="15" customHeight="1" x14ac:dyDescent="0.25">
      <c r="L74" s="57"/>
      <c r="M74" s="57"/>
      <c r="N74" s="57"/>
      <c r="O74" s="57"/>
      <c r="P74" s="57"/>
      <c r="Q74" s="57"/>
      <c r="R74" s="57"/>
      <c r="S74" s="57"/>
      <c r="T74" s="57"/>
      <c r="U74" s="57"/>
      <c r="V74" s="57"/>
      <c r="W74" s="57"/>
      <c r="X74" s="57"/>
      <c r="Y74" s="57"/>
      <c r="Z74" s="57"/>
      <c r="AA74" s="57"/>
      <c r="AB74" s="57"/>
      <c r="AC74" s="57"/>
      <c r="AD74" s="57"/>
    </row>
    <row r="75" spans="2:30" ht="15" customHeight="1" thickBot="1" x14ac:dyDescent="0.3">
      <c r="B75" s="52" t="s">
        <v>124</v>
      </c>
      <c r="C75" s="52"/>
      <c r="D75" s="52"/>
      <c r="E75" s="52"/>
      <c r="F75" s="52"/>
      <c r="G75" s="52"/>
      <c r="H75" s="52"/>
      <c r="I75" s="52"/>
      <c r="J75" s="52"/>
      <c r="K75" s="52"/>
      <c r="L75" s="58">
        <f t="shared" ref="L75:Y75" si="29">L69+L73</f>
        <v>-82916</v>
      </c>
      <c r="M75" s="58">
        <f t="shared" si="29"/>
        <v>30841</v>
      </c>
      <c r="N75" s="58">
        <f t="shared" si="29"/>
        <v>25699</v>
      </c>
      <c r="O75" s="58">
        <f t="shared" si="29"/>
        <v>-108486</v>
      </c>
      <c r="P75" s="58">
        <f t="shared" si="29"/>
        <v>42515</v>
      </c>
      <c r="Q75" s="58">
        <f t="shared" si="29"/>
        <v>-9431</v>
      </c>
      <c r="R75" s="58">
        <f t="shared" si="29"/>
        <v>3821</v>
      </c>
      <c r="S75" s="58">
        <f t="shared" si="29"/>
        <v>16244</v>
      </c>
      <c r="T75" s="58">
        <f t="shared" si="29"/>
        <v>-27488</v>
      </c>
      <c r="U75" s="58">
        <f t="shared" si="29"/>
        <v>24203</v>
      </c>
      <c r="V75" s="58">
        <f t="shared" si="29"/>
        <v>16780</v>
      </c>
      <c r="W75" s="58">
        <f t="shared" si="29"/>
        <v>11811</v>
      </c>
      <c r="X75" s="58">
        <f t="shared" si="29"/>
        <v>-20019</v>
      </c>
      <c r="Y75" s="58">
        <f t="shared" si="29"/>
        <v>-144060</v>
      </c>
      <c r="Z75" s="58">
        <f>Z69+Z73</f>
        <v>-5815</v>
      </c>
      <c r="AA75" s="58">
        <f>AA69+AA73</f>
        <v>-158083</v>
      </c>
      <c r="AB75" s="58">
        <f>AB69+AB73</f>
        <v>102659</v>
      </c>
      <c r="AC75" s="58">
        <f>AC69+AC73</f>
        <v>-13341</v>
      </c>
      <c r="AD75" s="58">
        <f>AD69+AD73</f>
        <v>-72464</v>
      </c>
    </row>
    <row r="76" spans="2:30" ht="15" customHeight="1" thickTop="1" x14ac:dyDescent="0.25">
      <c r="L76" s="56">
        <f>L75-'Income Statement'!L30</f>
        <v>0</v>
      </c>
      <c r="M76" s="56">
        <f>M75-'Income Statement'!M30</f>
        <v>0</v>
      </c>
      <c r="N76" s="56">
        <f>N75-'Income Statement'!N30</f>
        <v>0</v>
      </c>
      <c r="O76" s="56">
        <f>O75-'Income Statement'!O30</f>
        <v>0</v>
      </c>
      <c r="P76" s="56">
        <f>P75-'Income Statement'!P30</f>
        <v>0</v>
      </c>
      <c r="Q76" s="56">
        <f>Q75-'Income Statement'!Q30</f>
        <v>0</v>
      </c>
      <c r="R76" s="56">
        <f>R75-'Income Statement'!R30</f>
        <v>0</v>
      </c>
      <c r="S76" s="56">
        <f>S75-'Income Statement'!S30</f>
        <v>0</v>
      </c>
      <c r="T76" s="56">
        <f>T75-'Income Statement'!T30</f>
        <v>0</v>
      </c>
      <c r="U76" s="56">
        <f>U75-'Income Statement'!U30</f>
        <v>0</v>
      </c>
      <c r="V76" s="56">
        <f>V75-'Income Statement'!V30</f>
        <v>0</v>
      </c>
      <c r="W76" s="56">
        <f>W75-'Income Statement'!W30</f>
        <v>0</v>
      </c>
      <c r="X76" s="56">
        <f>X75-'Income Statement'!X30</f>
        <v>0</v>
      </c>
      <c r="Y76" s="56">
        <f>Y75-'Income Statement'!Y30</f>
        <v>0</v>
      </c>
      <c r="Z76" s="56">
        <f>Z75-'Income Statement'!Z30</f>
        <v>0</v>
      </c>
      <c r="AA76" s="56">
        <f>AA75-'Income Statement'!AA30</f>
        <v>0</v>
      </c>
      <c r="AB76" s="56">
        <f>AB75-'Income Statement'!AB30</f>
        <v>0</v>
      </c>
      <c r="AC76" s="56">
        <f>AC75-'Income Statement'!AC30</f>
        <v>0</v>
      </c>
      <c r="AD76" s="56">
        <f>AD75-'Income Statement'!AD30</f>
        <v>0</v>
      </c>
    </row>
  </sheetData>
  <pageMargins left="0.23622047244094491" right="0.23622047244094491" top="0.74803149606299213" bottom="0.74803149606299213" header="0.31496062992125984" footer="0.31496062992125984"/>
  <pageSetup paperSize="9" scale="66" orientation="landscape" r:id="rId1"/>
  <ignoredErrors>
    <ignoredError sqref="Q61:Q1048576 Q1:Q25 Q60 AA26 Q27:Q50 Q52:Q5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915EE-EA12-4F5F-88AC-DCED3964873C}">
  <sheetPr>
    <tabColor rgb="FF92D050"/>
    <pageSetUpPr fitToPage="1"/>
  </sheetPr>
  <dimension ref="B2:AG22"/>
  <sheetViews>
    <sheetView showGridLines="0" zoomScale="90" zoomScaleNormal="90" zoomScaleSheetLayoutView="80" workbookViewId="0">
      <pane xSplit="3" ySplit="5" topLeftCell="W6" activePane="bottomRight" state="frozen"/>
      <selection activeCell="V43" sqref="V43"/>
      <selection pane="topRight" activeCell="V43" sqref="V43"/>
      <selection pane="bottomLeft" activeCell="V43" sqref="V43"/>
      <selection pane="bottomRight" activeCell="AB13" sqref="AB13"/>
    </sheetView>
  </sheetViews>
  <sheetFormatPr defaultColWidth="12.7109375" defaultRowHeight="15" customHeight="1" x14ac:dyDescent="0.2"/>
  <cols>
    <col min="1" max="1" width="2.85546875" style="1" customWidth="1"/>
    <col min="2" max="2" width="54.28515625" style="1" customWidth="1"/>
    <col min="3" max="3" width="2.7109375" style="1" customWidth="1"/>
    <col min="4" max="19" width="14.7109375" style="1" customWidth="1"/>
    <col min="20" max="20" width="14.7109375" style="18" customWidth="1"/>
    <col min="21" max="21" width="14.7109375" style="1" customWidth="1"/>
    <col min="22" max="22" width="14.7109375" style="18" customWidth="1"/>
    <col min="23" max="26" width="12.7109375" style="1"/>
    <col min="27" max="27" width="14.7109375" style="18" customWidth="1"/>
    <col min="28" max="16384" width="12.7109375" style="1"/>
  </cols>
  <sheetData>
    <row r="2" spans="2:33" ht="15" customHeight="1" x14ac:dyDescent="0.25">
      <c r="B2" s="8" t="s">
        <v>35</v>
      </c>
    </row>
    <row r="3" spans="2:33" ht="15" customHeight="1" x14ac:dyDescent="0.2">
      <c r="B3" s="1" t="s">
        <v>36</v>
      </c>
    </row>
    <row r="4" spans="2:33" ht="15" customHeight="1" x14ac:dyDescent="0.2">
      <c r="D4" s="37"/>
      <c r="E4" s="37"/>
      <c r="F4" s="37"/>
      <c r="G4" s="37"/>
      <c r="H4" s="37"/>
      <c r="I4" s="37"/>
      <c r="J4" s="37"/>
      <c r="K4" s="37"/>
      <c r="L4" s="37"/>
      <c r="M4" s="37"/>
      <c r="N4" s="37"/>
      <c r="O4" s="37"/>
      <c r="P4" s="37"/>
      <c r="Q4" s="37"/>
      <c r="R4" s="37"/>
      <c r="S4" s="37"/>
      <c r="T4" s="37"/>
      <c r="U4" s="37"/>
      <c r="V4" s="37"/>
      <c r="AA4" s="37"/>
    </row>
    <row r="5" spans="2:33" s="38" customFormat="1" ht="15" customHeight="1" x14ac:dyDescent="0.2">
      <c r="D5" s="38" t="s">
        <v>88</v>
      </c>
      <c r="E5" s="38" t="s">
        <v>86</v>
      </c>
      <c r="F5" s="38" t="s">
        <v>87</v>
      </c>
      <c r="G5" s="38" t="s">
        <v>37</v>
      </c>
      <c r="H5" s="38" t="s">
        <v>38</v>
      </c>
      <c r="I5" s="38" t="s">
        <v>39</v>
      </c>
      <c r="J5" s="38" t="s">
        <v>40</v>
      </c>
      <c r="K5" s="38" t="s">
        <v>41</v>
      </c>
      <c r="L5" s="38" t="s">
        <v>42</v>
      </c>
      <c r="M5" s="38" t="s">
        <v>43</v>
      </c>
      <c r="N5" s="38" t="s">
        <v>44</v>
      </c>
      <c r="O5" s="38" t="s">
        <v>45</v>
      </c>
      <c r="P5" s="38" t="s">
        <v>72</v>
      </c>
      <c r="Q5" s="38" t="s">
        <v>73</v>
      </c>
      <c r="R5" s="38" t="s">
        <v>120</v>
      </c>
      <c r="S5" s="38" t="s">
        <v>128</v>
      </c>
      <c r="T5" s="39" t="s">
        <v>130</v>
      </c>
      <c r="U5" s="38" t="s">
        <v>138</v>
      </c>
      <c r="V5" s="39" t="s">
        <v>139</v>
      </c>
      <c r="W5" s="38" t="s">
        <v>147</v>
      </c>
      <c r="X5" s="38" t="s">
        <v>169</v>
      </c>
      <c r="Y5" s="38" t="s">
        <v>199</v>
      </c>
      <c r="Z5" s="38" t="s">
        <v>201</v>
      </c>
      <c r="AA5" s="39" t="s">
        <v>202</v>
      </c>
      <c r="AB5" s="38" t="s">
        <v>210</v>
      </c>
      <c r="AC5" s="38" t="s">
        <v>211</v>
      </c>
      <c r="AD5" s="38" t="s">
        <v>212</v>
      </c>
    </row>
    <row r="6" spans="2:33" ht="15" customHeight="1" x14ac:dyDescent="0.2">
      <c r="T6" s="1"/>
      <c r="V6" s="1"/>
      <c r="AA6" s="1"/>
    </row>
    <row r="7" spans="2:33" s="7" customFormat="1" ht="15" customHeight="1" x14ac:dyDescent="0.2">
      <c r="B7" s="7" t="s">
        <v>215</v>
      </c>
      <c r="D7" s="40">
        <f>SUM(D8:D9)</f>
        <v>159270</v>
      </c>
      <c r="E7" s="40">
        <f t="shared" ref="E7:Y7" si="0">SUM(E8:E9)</f>
        <v>38415</v>
      </c>
      <c r="F7" s="40">
        <f t="shared" si="0"/>
        <v>69872</v>
      </c>
      <c r="G7" s="40">
        <f t="shared" si="0"/>
        <v>244382</v>
      </c>
      <c r="H7" s="40">
        <f t="shared" si="0"/>
        <v>113634</v>
      </c>
      <c r="I7" s="40">
        <f t="shared" si="0"/>
        <v>81436</v>
      </c>
      <c r="J7" s="40">
        <f t="shared" si="0"/>
        <v>64902</v>
      </c>
      <c r="K7" s="40">
        <f t="shared" si="0"/>
        <v>121009</v>
      </c>
      <c r="L7" s="40">
        <f t="shared" si="0"/>
        <v>380981</v>
      </c>
      <c r="M7" s="40">
        <f t="shared" si="0"/>
        <v>117055</v>
      </c>
      <c r="N7" s="40">
        <f t="shared" si="0"/>
        <v>137566</v>
      </c>
      <c r="O7" s="40">
        <f t="shared" si="0"/>
        <v>70572</v>
      </c>
      <c r="P7" s="40">
        <f t="shared" si="0"/>
        <v>247644</v>
      </c>
      <c r="Q7" s="40">
        <f t="shared" si="0"/>
        <v>572837</v>
      </c>
      <c r="R7" s="40">
        <f t="shared" si="0"/>
        <v>261579</v>
      </c>
      <c r="S7" s="40">
        <f t="shared" si="0"/>
        <v>234864</v>
      </c>
      <c r="T7" s="40">
        <f t="shared" si="0"/>
        <v>208730</v>
      </c>
      <c r="U7" s="40">
        <f t="shared" si="0"/>
        <v>296537</v>
      </c>
      <c r="V7" s="40">
        <f t="shared" si="0"/>
        <v>1001710</v>
      </c>
      <c r="W7" s="40">
        <f t="shared" si="0"/>
        <v>331672</v>
      </c>
      <c r="X7" s="40">
        <f t="shared" si="0"/>
        <v>256301</v>
      </c>
      <c r="Y7" s="40">
        <f t="shared" si="0"/>
        <v>183267</v>
      </c>
      <c r="Z7" s="40">
        <f>SUM(Z8:Z9)</f>
        <v>460834</v>
      </c>
      <c r="AA7" s="40">
        <f>SUM(AA8:AA9)</f>
        <v>1232074</v>
      </c>
      <c r="AB7" s="40">
        <f>SUM(AB8:AB9)</f>
        <v>430037</v>
      </c>
      <c r="AC7" s="40">
        <f>SUM(AC8:AC9)</f>
        <v>412137</v>
      </c>
      <c r="AD7" s="40">
        <f>SUM(AD8:AD9)</f>
        <v>253922</v>
      </c>
      <c r="AE7" s="40"/>
      <c r="AF7" s="40"/>
    </row>
    <row r="8" spans="2:33" ht="15" customHeight="1" x14ac:dyDescent="0.2">
      <c r="B8" s="28" t="s">
        <v>143</v>
      </c>
      <c r="D8" s="9">
        <v>159270</v>
      </c>
      <c r="E8" s="9">
        <v>38415</v>
      </c>
      <c r="F8" s="9">
        <v>53722</v>
      </c>
      <c r="G8" s="9">
        <v>218957</v>
      </c>
      <c r="H8" s="9">
        <v>98765</v>
      </c>
      <c r="I8" s="9">
        <v>63165</v>
      </c>
      <c r="J8" s="9">
        <v>64212</v>
      </c>
      <c r="K8" s="9">
        <v>76889</v>
      </c>
      <c r="L8" s="9">
        <v>303031</v>
      </c>
      <c r="M8" s="9">
        <v>99150</v>
      </c>
      <c r="N8" s="9">
        <v>100832</v>
      </c>
      <c r="O8" s="9">
        <v>67070</v>
      </c>
      <c r="P8" s="9">
        <v>166320</v>
      </c>
      <c r="Q8" s="9">
        <v>433372</v>
      </c>
      <c r="R8" s="9">
        <v>220683</v>
      </c>
      <c r="S8" s="9">
        <v>233028</v>
      </c>
      <c r="T8" s="20">
        <v>160774</v>
      </c>
      <c r="U8" s="9">
        <v>226660</v>
      </c>
      <c r="V8" s="9">
        <v>841145</v>
      </c>
      <c r="W8" s="9">
        <v>264578</v>
      </c>
      <c r="X8" s="9">
        <v>200201</v>
      </c>
      <c r="Y8" s="9">
        <v>149968</v>
      </c>
      <c r="Z8" s="9">
        <v>321252</v>
      </c>
      <c r="AA8" s="9">
        <f>SUM(W8:Z8)</f>
        <v>935999</v>
      </c>
      <c r="AB8" s="9">
        <v>346158</v>
      </c>
      <c r="AC8" s="9">
        <f>367337</f>
        <v>367337</v>
      </c>
      <c r="AD8" s="9">
        <v>207142</v>
      </c>
      <c r="AE8" s="9"/>
      <c r="AF8" s="9"/>
      <c r="AG8" s="9"/>
    </row>
    <row r="9" spans="2:33" ht="15" customHeight="1" x14ac:dyDescent="0.2">
      <c r="B9" s="28" t="s">
        <v>144</v>
      </c>
      <c r="D9" s="9">
        <v>0</v>
      </c>
      <c r="E9" s="40">
        <v>0</v>
      </c>
      <c r="F9" s="9">
        <v>16150</v>
      </c>
      <c r="G9" s="9">
        <v>25425</v>
      </c>
      <c r="H9" s="9">
        <v>14869</v>
      </c>
      <c r="I9" s="9">
        <v>18271</v>
      </c>
      <c r="J9" s="9">
        <v>690</v>
      </c>
      <c r="K9" s="9">
        <v>44120</v>
      </c>
      <c r="L9" s="9">
        <v>77950</v>
      </c>
      <c r="M9" s="9">
        <v>17905</v>
      </c>
      <c r="N9" s="9">
        <v>36734</v>
      </c>
      <c r="O9" s="9">
        <v>3502</v>
      </c>
      <c r="P9" s="9">
        <v>81324</v>
      </c>
      <c r="Q9" s="9">
        <v>139465</v>
      </c>
      <c r="R9" s="9">
        <v>40896</v>
      </c>
      <c r="S9" s="9">
        <v>1836</v>
      </c>
      <c r="T9" s="20">
        <v>47956</v>
      </c>
      <c r="U9" s="9">
        <v>69877</v>
      </c>
      <c r="V9" s="9">
        <v>160565</v>
      </c>
      <c r="W9" s="9">
        <v>67094</v>
      </c>
      <c r="X9" s="9">
        <v>56100</v>
      </c>
      <c r="Y9" s="9">
        <v>33299</v>
      </c>
      <c r="Z9" s="9">
        <v>139582</v>
      </c>
      <c r="AA9" s="9">
        <f>SUM(W9:Z9)</f>
        <v>296075</v>
      </c>
      <c r="AB9" s="9">
        <v>83879</v>
      </c>
      <c r="AC9" s="9">
        <f>57021-12221</f>
        <v>44800</v>
      </c>
      <c r="AD9" s="9">
        <f>58431-11651</f>
        <v>46780</v>
      </c>
      <c r="AE9" s="9"/>
      <c r="AF9" s="9"/>
      <c r="AG9" s="9"/>
    </row>
    <row r="10" spans="2:33" s="7" customFormat="1" ht="15" customHeight="1" x14ac:dyDescent="0.2">
      <c r="B10" s="7" t="s">
        <v>46</v>
      </c>
      <c r="D10" s="40">
        <f>SUM(D11:D12)</f>
        <v>-41324</v>
      </c>
      <c r="E10" s="40">
        <f t="shared" ref="E10:Y10" si="1">SUM(E11:E12)</f>
        <v>-6086</v>
      </c>
      <c r="F10" s="40">
        <f t="shared" si="1"/>
        <v>-18072</v>
      </c>
      <c r="G10" s="40">
        <f t="shared" si="1"/>
        <v>-58517</v>
      </c>
      <c r="H10" s="40">
        <f t="shared" si="1"/>
        <v>-25840</v>
      </c>
      <c r="I10" s="40">
        <f t="shared" si="1"/>
        <v>-16862</v>
      </c>
      <c r="J10" s="40">
        <f t="shared" si="1"/>
        <v>-14126</v>
      </c>
      <c r="K10" s="40">
        <f t="shared" si="1"/>
        <v>-23917</v>
      </c>
      <c r="L10" s="40">
        <f t="shared" si="1"/>
        <v>-80745</v>
      </c>
      <c r="M10" s="40">
        <f t="shared" si="1"/>
        <v>-21869</v>
      </c>
      <c r="N10" s="40">
        <f t="shared" si="1"/>
        <v>-25827</v>
      </c>
      <c r="O10" s="40">
        <f t="shared" si="1"/>
        <v>-14188</v>
      </c>
      <c r="P10" s="40">
        <f t="shared" si="1"/>
        <v>-55374</v>
      </c>
      <c r="Q10" s="40">
        <f t="shared" si="1"/>
        <v>-117258</v>
      </c>
      <c r="R10" s="40">
        <f t="shared" si="1"/>
        <v>-67220</v>
      </c>
      <c r="S10" s="40">
        <f t="shared" si="1"/>
        <v>-43120</v>
      </c>
      <c r="T10" s="40">
        <f t="shared" si="1"/>
        <v>-44485</v>
      </c>
      <c r="U10" s="40">
        <f t="shared" si="1"/>
        <v>-66305</v>
      </c>
      <c r="V10" s="40">
        <f t="shared" si="1"/>
        <v>-221130</v>
      </c>
      <c r="W10" s="40">
        <f t="shared" si="1"/>
        <v>-87125</v>
      </c>
      <c r="X10" s="40">
        <f t="shared" si="1"/>
        <v>-68103</v>
      </c>
      <c r="Y10" s="40">
        <f t="shared" si="1"/>
        <v>-44766</v>
      </c>
      <c r="Z10" s="40">
        <f>SUM(Z11:Z12)</f>
        <v>-94413</v>
      </c>
      <c r="AA10" s="40">
        <f>SUM(AA11:AA12)</f>
        <v>-294407</v>
      </c>
      <c r="AB10" s="40">
        <f>SUM(AB11:AB12)</f>
        <v>-116578</v>
      </c>
      <c r="AC10" s="40">
        <f>SUM(AC11:AC12)</f>
        <v>-133054</v>
      </c>
      <c r="AD10" s="40">
        <f>SUM(AD11:AD12)</f>
        <v>-62820</v>
      </c>
      <c r="AE10" s="40"/>
      <c r="AF10" s="40"/>
    </row>
    <row r="11" spans="2:33" ht="15" customHeight="1" x14ac:dyDescent="0.2">
      <c r="B11" s="28" t="s">
        <v>143</v>
      </c>
      <c r="D11" s="9">
        <v>-41324</v>
      </c>
      <c r="E11" s="9">
        <v>-6738</v>
      </c>
      <c r="F11" s="9">
        <v>-14619</v>
      </c>
      <c r="G11" s="9">
        <v>-54317</v>
      </c>
      <c r="H11" s="9">
        <v>-23559</v>
      </c>
      <c r="I11" s="9">
        <v>-13773</v>
      </c>
      <c r="J11" s="9">
        <v>-13827</v>
      </c>
      <c r="K11" s="9">
        <v>-19744</v>
      </c>
      <c r="L11" s="9">
        <v>-70903</v>
      </c>
      <c r="M11" s="9">
        <v>-19685</v>
      </c>
      <c r="N11" s="9">
        <v>-20589</v>
      </c>
      <c r="O11" s="9">
        <v>-12962</v>
      </c>
      <c r="P11" s="9">
        <v>-44277</v>
      </c>
      <c r="Q11" s="9">
        <v>-97513</v>
      </c>
      <c r="R11" s="9">
        <v>-59245</v>
      </c>
      <c r="S11" s="9">
        <v>-40601</v>
      </c>
      <c r="T11" s="20">
        <v>-38832</v>
      </c>
      <c r="U11" s="9">
        <v>-52215</v>
      </c>
      <c r="V11" s="9">
        <v>-190893</v>
      </c>
      <c r="W11" s="9">
        <v>-71870</v>
      </c>
      <c r="X11" s="9">
        <v>-54303</v>
      </c>
      <c r="Y11" s="9">
        <v>-32916</v>
      </c>
      <c r="Z11" s="9">
        <v>-69385</v>
      </c>
      <c r="AA11" s="9">
        <f>SUM(W11:Z11)</f>
        <v>-228474</v>
      </c>
      <c r="AB11" s="9">
        <v>-92943</v>
      </c>
      <c r="AC11" s="9">
        <f>-112708+4685</f>
        <v>-108023</v>
      </c>
      <c r="AD11" s="9">
        <v>-53925</v>
      </c>
      <c r="AE11" s="9"/>
      <c r="AF11" s="9"/>
    </row>
    <row r="12" spans="2:33" ht="15" customHeight="1" x14ac:dyDescent="0.2">
      <c r="B12" s="28" t="s">
        <v>144</v>
      </c>
      <c r="D12" s="9">
        <v>0</v>
      </c>
      <c r="E12" s="9">
        <v>652</v>
      </c>
      <c r="F12" s="9">
        <v>-3453</v>
      </c>
      <c r="G12" s="9">
        <v>-4200</v>
      </c>
      <c r="H12" s="9">
        <v>-2281</v>
      </c>
      <c r="I12" s="9">
        <v>-3089</v>
      </c>
      <c r="J12" s="9">
        <v>-299</v>
      </c>
      <c r="K12" s="9">
        <v>-4173</v>
      </c>
      <c r="L12" s="9">
        <v>-9842</v>
      </c>
      <c r="M12" s="9">
        <v>-2184</v>
      </c>
      <c r="N12" s="9">
        <v>-5238</v>
      </c>
      <c r="O12" s="9">
        <v>-1226</v>
      </c>
      <c r="P12" s="9">
        <v>-11097</v>
      </c>
      <c r="Q12" s="9">
        <v>-19745</v>
      </c>
      <c r="R12" s="9">
        <v>-7975</v>
      </c>
      <c r="S12" s="9">
        <v>-2519</v>
      </c>
      <c r="T12" s="20">
        <v>-5653</v>
      </c>
      <c r="U12" s="9">
        <v>-14090</v>
      </c>
      <c r="V12" s="9">
        <v>-30237</v>
      </c>
      <c r="W12" s="9">
        <v>-15255</v>
      </c>
      <c r="X12" s="9">
        <v>-13800</v>
      </c>
      <c r="Y12" s="9">
        <v>-11850</v>
      </c>
      <c r="Z12" s="9">
        <v>-25028</v>
      </c>
      <c r="AA12" s="9">
        <f>SUM(W12:Z12)</f>
        <v>-65933</v>
      </c>
      <c r="AB12" s="9">
        <f>-25119+1484</f>
        <v>-23635</v>
      </c>
      <c r="AC12" s="9">
        <f>-29931+4900</f>
        <v>-25031</v>
      </c>
      <c r="AD12" s="9">
        <f>-17139+8244</f>
        <v>-8895</v>
      </c>
      <c r="AE12" s="9"/>
      <c r="AF12" s="9"/>
    </row>
    <row r="13" spans="2:33" s="7" customFormat="1" ht="15" customHeight="1" x14ac:dyDescent="0.2">
      <c r="B13" s="7" t="s">
        <v>47</v>
      </c>
      <c r="D13" s="40">
        <f>SUM(D14:D15)</f>
        <v>117946</v>
      </c>
      <c r="E13" s="40">
        <f t="shared" ref="E13:Y13" si="2">SUM(E14:E15)</f>
        <v>32329</v>
      </c>
      <c r="F13" s="40">
        <f t="shared" si="2"/>
        <v>51800</v>
      </c>
      <c r="G13" s="40">
        <f t="shared" si="2"/>
        <v>185865</v>
      </c>
      <c r="H13" s="40">
        <f t="shared" si="2"/>
        <v>87794</v>
      </c>
      <c r="I13" s="40">
        <f t="shared" si="2"/>
        <v>64574</v>
      </c>
      <c r="J13" s="40">
        <f t="shared" si="2"/>
        <v>50776</v>
      </c>
      <c r="K13" s="40">
        <f t="shared" si="2"/>
        <v>97092</v>
      </c>
      <c r="L13" s="40">
        <f t="shared" si="2"/>
        <v>300236</v>
      </c>
      <c r="M13" s="40">
        <f t="shared" si="2"/>
        <v>95186</v>
      </c>
      <c r="N13" s="40">
        <f t="shared" si="2"/>
        <v>111739</v>
      </c>
      <c r="O13" s="40">
        <f t="shared" si="2"/>
        <v>56384</v>
      </c>
      <c r="P13" s="40">
        <f t="shared" si="2"/>
        <v>192270</v>
      </c>
      <c r="Q13" s="40">
        <f t="shared" si="2"/>
        <v>455579</v>
      </c>
      <c r="R13" s="40">
        <f t="shared" si="2"/>
        <v>194359</v>
      </c>
      <c r="S13" s="40">
        <f t="shared" si="2"/>
        <v>191744</v>
      </c>
      <c r="T13" s="40">
        <f t="shared" si="2"/>
        <v>164245</v>
      </c>
      <c r="U13" s="40">
        <f t="shared" si="2"/>
        <v>230232</v>
      </c>
      <c r="V13" s="40">
        <f t="shared" si="2"/>
        <v>780580</v>
      </c>
      <c r="W13" s="40">
        <f t="shared" si="2"/>
        <v>244547</v>
      </c>
      <c r="X13" s="40">
        <f t="shared" si="2"/>
        <v>188198</v>
      </c>
      <c r="Y13" s="40">
        <f t="shared" si="2"/>
        <v>138501</v>
      </c>
      <c r="Z13" s="40">
        <f>SUM(Z14:Z15)</f>
        <v>366421</v>
      </c>
      <c r="AA13" s="40">
        <f>SUM(AA14:AA15)</f>
        <v>937667</v>
      </c>
      <c r="AB13" s="40">
        <f>SUM(AB14:AB15)</f>
        <v>313459</v>
      </c>
      <c r="AC13" s="40">
        <f>SUM(AC14:AC15)</f>
        <v>279083</v>
      </c>
      <c r="AD13" s="40">
        <f>SUM(AD14:AD15)</f>
        <v>191102</v>
      </c>
      <c r="AE13" s="40"/>
      <c r="AF13" s="40"/>
    </row>
    <row r="14" spans="2:33" ht="15" customHeight="1" x14ac:dyDescent="0.2">
      <c r="B14" s="28" t="s">
        <v>143</v>
      </c>
      <c r="D14" s="9">
        <f>D8+D11</f>
        <v>117946</v>
      </c>
      <c r="E14" s="9">
        <f t="shared" ref="E14:V14" si="3">E8+E11</f>
        <v>31677</v>
      </c>
      <c r="F14" s="9">
        <f t="shared" si="3"/>
        <v>39103</v>
      </c>
      <c r="G14" s="9">
        <f t="shared" si="3"/>
        <v>164640</v>
      </c>
      <c r="H14" s="9">
        <f t="shared" si="3"/>
        <v>75206</v>
      </c>
      <c r="I14" s="9">
        <f t="shared" si="3"/>
        <v>49392</v>
      </c>
      <c r="J14" s="9">
        <f t="shared" si="3"/>
        <v>50385</v>
      </c>
      <c r="K14" s="9">
        <f t="shared" si="3"/>
        <v>57145</v>
      </c>
      <c r="L14" s="9">
        <f t="shared" si="3"/>
        <v>232128</v>
      </c>
      <c r="M14" s="9">
        <f t="shared" si="3"/>
        <v>79465</v>
      </c>
      <c r="N14" s="9">
        <f t="shared" si="3"/>
        <v>80243</v>
      </c>
      <c r="O14" s="9">
        <f t="shared" si="3"/>
        <v>54108</v>
      </c>
      <c r="P14" s="9">
        <f t="shared" si="3"/>
        <v>122043</v>
      </c>
      <c r="Q14" s="9">
        <f t="shared" si="3"/>
        <v>335859</v>
      </c>
      <c r="R14" s="9">
        <f t="shared" si="3"/>
        <v>161438</v>
      </c>
      <c r="S14" s="9">
        <f t="shared" si="3"/>
        <v>192427</v>
      </c>
      <c r="T14" s="9">
        <f t="shared" si="3"/>
        <v>121942</v>
      </c>
      <c r="U14" s="9">
        <f t="shared" si="3"/>
        <v>174445</v>
      </c>
      <c r="V14" s="9">
        <f t="shared" si="3"/>
        <v>650252</v>
      </c>
      <c r="W14" s="9">
        <v>192708</v>
      </c>
      <c r="X14" s="9">
        <v>145898</v>
      </c>
      <c r="Y14" s="9">
        <v>117052</v>
      </c>
      <c r="Z14" s="9">
        <v>251867</v>
      </c>
      <c r="AA14" s="9">
        <f>AA8+AA11</f>
        <v>707525</v>
      </c>
      <c r="AB14" s="9">
        <v>253215</v>
      </c>
      <c r="AC14" s="9">
        <f>254629+4685</f>
        <v>259314</v>
      </c>
      <c r="AD14" s="9">
        <v>153217</v>
      </c>
    </row>
    <row r="15" spans="2:33" s="9" customFormat="1" ht="15" customHeight="1" x14ac:dyDescent="0.2">
      <c r="B15" s="28" t="s">
        <v>144</v>
      </c>
      <c r="D15" s="9">
        <f>D9+D12</f>
        <v>0</v>
      </c>
      <c r="E15" s="9">
        <f t="shared" ref="E15:V15" si="4">E9+E12</f>
        <v>652</v>
      </c>
      <c r="F15" s="9">
        <f t="shared" si="4"/>
        <v>12697</v>
      </c>
      <c r="G15" s="9">
        <f t="shared" si="4"/>
        <v>21225</v>
      </c>
      <c r="H15" s="9">
        <f t="shared" si="4"/>
        <v>12588</v>
      </c>
      <c r="I15" s="9">
        <f t="shared" si="4"/>
        <v>15182</v>
      </c>
      <c r="J15" s="9">
        <f t="shared" si="4"/>
        <v>391</v>
      </c>
      <c r="K15" s="9">
        <f t="shared" si="4"/>
        <v>39947</v>
      </c>
      <c r="L15" s="9">
        <f t="shared" si="4"/>
        <v>68108</v>
      </c>
      <c r="M15" s="9">
        <f t="shared" si="4"/>
        <v>15721</v>
      </c>
      <c r="N15" s="9">
        <f t="shared" si="4"/>
        <v>31496</v>
      </c>
      <c r="O15" s="9">
        <f t="shared" si="4"/>
        <v>2276</v>
      </c>
      <c r="P15" s="9">
        <f t="shared" si="4"/>
        <v>70227</v>
      </c>
      <c r="Q15" s="9">
        <f t="shared" si="4"/>
        <v>119720</v>
      </c>
      <c r="R15" s="9">
        <f t="shared" si="4"/>
        <v>32921</v>
      </c>
      <c r="S15" s="9">
        <f t="shared" si="4"/>
        <v>-683</v>
      </c>
      <c r="T15" s="9">
        <f t="shared" si="4"/>
        <v>42303</v>
      </c>
      <c r="U15" s="9">
        <f t="shared" si="4"/>
        <v>55787</v>
      </c>
      <c r="V15" s="9">
        <f t="shared" si="4"/>
        <v>130328</v>
      </c>
      <c r="W15" s="9">
        <v>51839</v>
      </c>
      <c r="X15" s="9">
        <v>42300</v>
      </c>
      <c r="Y15" s="9">
        <v>21449</v>
      </c>
      <c r="Z15" s="9">
        <v>114554</v>
      </c>
      <c r="AA15" s="9">
        <f>AA9+AA12</f>
        <v>230142</v>
      </c>
      <c r="AB15" s="9">
        <f>61710-1466</f>
        <v>60244</v>
      </c>
      <c r="AC15" s="9">
        <f>27090-7321</f>
        <v>19769</v>
      </c>
      <c r="AD15" s="9">
        <f>41292-3407</f>
        <v>37885</v>
      </c>
    </row>
    <row r="16" spans="2:33" ht="15" customHeight="1" x14ac:dyDescent="0.2">
      <c r="F16" s="9"/>
      <c r="G16" s="9"/>
      <c r="K16" s="9"/>
      <c r="L16" s="9"/>
      <c r="M16" s="9"/>
      <c r="N16" s="9"/>
      <c r="O16" s="9"/>
      <c r="P16" s="9"/>
      <c r="Q16" s="9"/>
      <c r="R16" s="9"/>
      <c r="S16" s="9"/>
      <c r="T16" s="9"/>
      <c r="U16" s="9"/>
      <c r="V16" s="9"/>
      <c r="W16" s="9"/>
      <c r="X16" s="9"/>
      <c r="Y16" s="9"/>
      <c r="Z16" s="9"/>
      <c r="AA16" s="9"/>
      <c r="AB16" s="9"/>
      <c r="AC16" s="9"/>
      <c r="AD16" s="9"/>
    </row>
    <row r="17" spans="5:27" ht="15" customHeight="1" x14ac:dyDescent="0.2">
      <c r="M17" s="9"/>
      <c r="N17" s="9"/>
      <c r="O17" s="9"/>
      <c r="P17" s="9"/>
      <c r="Q17" s="9"/>
      <c r="R17" s="9"/>
      <c r="S17" s="9"/>
      <c r="T17" s="9"/>
      <c r="U17" s="9"/>
      <c r="V17" s="9"/>
      <c r="W17" s="9"/>
      <c r="X17" s="9"/>
      <c r="AA17" s="9"/>
    </row>
    <row r="18" spans="5:27" ht="15" customHeight="1" x14ac:dyDescent="0.2">
      <c r="F18" s="9"/>
    </row>
    <row r="19" spans="5:27" ht="15" customHeight="1" x14ac:dyDescent="0.2">
      <c r="E19" s="9"/>
      <c r="T19" s="1"/>
      <c r="V19" s="1"/>
      <c r="AA19" s="1"/>
    </row>
    <row r="20" spans="5:27" ht="15" customHeight="1" x14ac:dyDescent="0.2">
      <c r="E20" s="9"/>
    </row>
    <row r="22" spans="5:27" ht="15" customHeight="1" x14ac:dyDescent="0.2">
      <c r="F22" s="9"/>
    </row>
  </sheetData>
  <pageMargins left="0.23622047244094491" right="0.23622047244094491" top="0.74803149606299213" bottom="0.74803149606299213" header="0.31496062992125984" footer="0.31496062992125984"/>
  <pageSetup paperSize="9" scale="66" orientation="landscape" r:id="rId1"/>
  <ignoredErrors>
    <ignoredError sqref="AA8:AA9 AA11:AA12" formulaRange="1"/>
    <ignoredError sqref="AA10"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6">
    <tabColor rgb="FF92D050"/>
    <pageSetUpPr fitToPage="1"/>
  </sheetPr>
  <dimension ref="B2:AD92"/>
  <sheetViews>
    <sheetView showGridLines="0" zoomScale="90" zoomScaleNormal="90" workbookViewId="0">
      <pane xSplit="3" ySplit="5" topLeftCell="Y66" activePane="bottomRight" state="frozen"/>
      <selection activeCell="V43" sqref="V43"/>
      <selection pane="topRight" activeCell="V43" sqref="V43"/>
      <selection pane="bottomLeft" activeCell="V43" sqref="V43"/>
      <selection pane="bottomRight" activeCell="AB94" sqref="AB94"/>
    </sheetView>
  </sheetViews>
  <sheetFormatPr defaultColWidth="14.7109375" defaultRowHeight="15" customHeight="1" x14ac:dyDescent="0.2"/>
  <cols>
    <col min="1" max="1" width="2.85546875" style="1" customWidth="1"/>
    <col min="2" max="2" width="73.140625" style="1" bestFit="1" customWidth="1"/>
    <col min="3" max="3" width="2.7109375" style="1" customWidth="1"/>
    <col min="4" max="18" width="14.7109375" style="1"/>
    <col min="19" max="22" width="14.7109375" style="1" customWidth="1"/>
    <col min="23" max="24" width="14.7109375" style="1"/>
    <col min="25" max="25" width="14.7109375" style="1" customWidth="1"/>
    <col min="26" max="16384" width="14.7109375" style="1"/>
  </cols>
  <sheetData>
    <row r="2" spans="2:30" ht="15" customHeight="1" x14ac:dyDescent="0.25">
      <c r="B2" s="8" t="s">
        <v>55</v>
      </c>
    </row>
    <row r="3" spans="2:30" ht="15" customHeight="1" x14ac:dyDescent="0.2">
      <c r="B3" s="1" t="s">
        <v>36</v>
      </c>
    </row>
    <row r="5" spans="2:30" s="32" customFormat="1" ht="15" customHeight="1" x14ac:dyDescent="0.2">
      <c r="D5" s="32" t="s">
        <v>88</v>
      </c>
      <c r="E5" s="32" t="s">
        <v>86</v>
      </c>
      <c r="F5" s="32" t="s">
        <v>87</v>
      </c>
      <c r="G5" s="32" t="s">
        <v>37</v>
      </c>
      <c r="H5" s="32" t="s">
        <v>38</v>
      </c>
      <c r="I5" s="32" t="s">
        <v>39</v>
      </c>
      <c r="J5" s="32" t="s">
        <v>40</v>
      </c>
      <c r="K5" s="32" t="s">
        <v>41</v>
      </c>
      <c r="L5" s="32" t="s">
        <v>42</v>
      </c>
      <c r="M5" s="32" t="s">
        <v>43</v>
      </c>
      <c r="N5" s="32" t="s">
        <v>44</v>
      </c>
      <c r="O5" s="32" t="s">
        <v>45</v>
      </c>
      <c r="P5" s="32" t="s">
        <v>72</v>
      </c>
      <c r="Q5" s="32" t="s">
        <v>73</v>
      </c>
      <c r="R5" s="32" t="s">
        <v>120</v>
      </c>
      <c r="S5" s="32" t="s">
        <v>128</v>
      </c>
      <c r="T5" s="32" t="s">
        <v>130</v>
      </c>
      <c r="U5" s="32" t="s">
        <v>138</v>
      </c>
      <c r="V5" s="32" t="s">
        <v>139</v>
      </c>
      <c r="W5" s="32" t="s">
        <v>147</v>
      </c>
      <c r="X5" s="32" t="s">
        <v>169</v>
      </c>
      <c r="Y5" s="32" t="s">
        <v>199</v>
      </c>
      <c r="Z5" s="32" t="s">
        <v>201</v>
      </c>
      <c r="AA5" s="32" t="s">
        <v>202</v>
      </c>
      <c r="AB5" s="32" t="s">
        <v>210</v>
      </c>
      <c r="AC5" s="32" t="s">
        <v>211</v>
      </c>
      <c r="AD5" s="32" t="s">
        <v>212</v>
      </c>
    </row>
    <row r="6" spans="2:30" ht="15" customHeight="1" x14ac:dyDescent="0.2">
      <c r="B6" s="7" t="s">
        <v>56</v>
      </c>
    </row>
    <row r="7" spans="2:30" ht="15" customHeight="1" x14ac:dyDescent="0.2">
      <c r="B7" s="35" t="s">
        <v>98</v>
      </c>
      <c r="D7" s="2">
        <v>92838</v>
      </c>
      <c r="E7" s="2">
        <v>486</v>
      </c>
      <c r="F7" s="2">
        <v>12331</v>
      </c>
      <c r="G7" s="2">
        <v>66356</v>
      </c>
      <c r="H7" s="2">
        <v>53154</v>
      </c>
      <c r="I7" s="2">
        <v>21504</v>
      </c>
      <c r="J7" s="2">
        <v>-55585</v>
      </c>
      <c r="K7" s="2">
        <v>-119974</v>
      </c>
      <c r="L7" s="2">
        <v>-100901</v>
      </c>
      <c r="M7" s="2">
        <v>41561</v>
      </c>
      <c r="N7" s="2">
        <v>27981</v>
      </c>
      <c r="O7" s="2">
        <v>-150816</v>
      </c>
      <c r="P7" s="2">
        <v>38740</v>
      </c>
      <c r="Q7" s="2">
        <v>-42534</v>
      </c>
      <c r="R7" s="2">
        <v>10430</v>
      </c>
      <c r="S7" s="2">
        <v>22629</v>
      </c>
      <c r="T7" s="9">
        <v>-38677</v>
      </c>
      <c r="U7" s="2">
        <v>44720</v>
      </c>
      <c r="V7" s="9">
        <v>39102</v>
      </c>
      <c r="W7" s="9">
        <v>22411</v>
      </c>
      <c r="X7" s="9">
        <v>-26834</v>
      </c>
      <c r="Y7" s="9">
        <v>-196104</v>
      </c>
      <c r="Z7" s="9">
        <v>26870</v>
      </c>
      <c r="AA7" s="9">
        <f>SUM(W7:Z7)</f>
        <v>-173657</v>
      </c>
      <c r="AB7" s="9">
        <v>108890</v>
      </c>
      <c r="AC7" s="9">
        <v>-12114</v>
      </c>
      <c r="AD7" s="9">
        <v>-107845</v>
      </c>
    </row>
    <row r="8" spans="2:30" ht="15" customHeight="1" x14ac:dyDescent="0.2">
      <c r="B8" s="35" t="s">
        <v>99</v>
      </c>
      <c r="D8" s="2"/>
      <c r="E8" s="2"/>
      <c r="F8" s="2"/>
      <c r="G8" s="2"/>
      <c r="H8" s="2"/>
      <c r="I8" s="2"/>
      <c r="J8" s="2"/>
      <c r="K8" s="2"/>
      <c r="L8" s="2"/>
      <c r="M8" s="2"/>
      <c r="N8" s="2"/>
      <c r="O8" s="2"/>
      <c r="P8" s="2"/>
      <c r="Q8" s="2"/>
      <c r="R8" s="2"/>
      <c r="S8" s="2"/>
      <c r="T8" s="9"/>
      <c r="U8" s="2"/>
      <c r="V8" s="9"/>
      <c r="W8" s="9"/>
      <c r="X8" s="9"/>
      <c r="Y8" s="9"/>
      <c r="Z8" s="9"/>
      <c r="AA8" s="9"/>
      <c r="AB8" s="9"/>
      <c r="AC8" s="9"/>
      <c r="AD8" s="9"/>
    </row>
    <row r="9" spans="2:30" ht="15" customHeight="1" x14ac:dyDescent="0.2">
      <c r="B9" s="36" t="s">
        <v>262</v>
      </c>
      <c r="D9" s="2">
        <v>5757</v>
      </c>
      <c r="E9" s="2">
        <v>3379</v>
      </c>
      <c r="F9" s="2">
        <v>4417</v>
      </c>
      <c r="G9" s="2">
        <v>14288</v>
      </c>
      <c r="H9" s="2">
        <v>4374</v>
      </c>
      <c r="I9" s="2">
        <v>4528</v>
      </c>
      <c r="J9" s="2">
        <v>4957</v>
      </c>
      <c r="K9" s="2">
        <v>5735</v>
      </c>
      <c r="L9" s="2">
        <v>19594</v>
      </c>
      <c r="M9" s="2">
        <v>7240</v>
      </c>
      <c r="N9" s="2">
        <v>9103</v>
      </c>
      <c r="O9" s="2">
        <v>8106</v>
      </c>
      <c r="P9" s="2">
        <v>23865</v>
      </c>
      <c r="Q9" s="2">
        <v>48314</v>
      </c>
      <c r="R9" s="2">
        <v>28675</v>
      </c>
      <c r="S9" s="2">
        <v>31373</v>
      </c>
      <c r="T9" s="9">
        <v>29715</v>
      </c>
      <c r="U9" s="2">
        <v>37692</v>
      </c>
      <c r="V9" s="9">
        <v>127455</v>
      </c>
      <c r="W9" s="9">
        <v>48052</v>
      </c>
      <c r="X9" s="9">
        <v>45423</v>
      </c>
      <c r="Y9" s="9">
        <v>42605</v>
      </c>
      <c r="Z9" s="9">
        <v>58805</v>
      </c>
      <c r="AA9" s="9">
        <f t="shared" ref="AA9:AB26" si="0">SUM(W9:Z9)</f>
        <v>194885</v>
      </c>
      <c r="AB9" s="9">
        <v>65781</v>
      </c>
      <c r="AC9" s="9">
        <v>74302</v>
      </c>
      <c r="AD9" s="9">
        <v>55617</v>
      </c>
    </row>
    <row r="10" spans="2:30" ht="15" customHeight="1" x14ac:dyDescent="0.2">
      <c r="B10" s="36" t="s">
        <v>58</v>
      </c>
      <c r="D10" s="2">
        <v>4533</v>
      </c>
      <c r="E10" s="2">
        <v>234</v>
      </c>
      <c r="F10" s="2">
        <v>2842</v>
      </c>
      <c r="G10" s="2">
        <v>4481</v>
      </c>
      <c r="H10" s="2">
        <v>2096</v>
      </c>
      <c r="I10" s="2">
        <v>1146</v>
      </c>
      <c r="J10" s="2">
        <v>-865</v>
      </c>
      <c r="K10" s="2">
        <v>4875</v>
      </c>
      <c r="L10" s="2">
        <v>7252</v>
      </c>
      <c r="M10" s="2">
        <v>2228</v>
      </c>
      <c r="N10" s="2">
        <v>1332</v>
      </c>
      <c r="O10" s="2">
        <v>643</v>
      </c>
      <c r="P10" s="2">
        <v>4273</v>
      </c>
      <c r="Q10" s="2">
        <v>8476</v>
      </c>
      <c r="R10" s="2">
        <v>2106</v>
      </c>
      <c r="S10" s="2">
        <v>1538</v>
      </c>
      <c r="T10" s="9">
        <v>-305</v>
      </c>
      <c r="U10" s="2">
        <v>4114</v>
      </c>
      <c r="V10" s="9">
        <v>7453</v>
      </c>
      <c r="W10" s="9">
        <v>2224</v>
      </c>
      <c r="X10" s="9">
        <v>5162</v>
      </c>
      <c r="Y10" s="9">
        <v>5579</v>
      </c>
      <c r="Z10" s="9">
        <v>13813</v>
      </c>
      <c r="AA10" s="9">
        <f t="shared" si="0"/>
        <v>26778</v>
      </c>
      <c r="AB10" s="9">
        <v>2399</v>
      </c>
      <c r="AC10" s="9">
        <v>10940</v>
      </c>
      <c r="AD10" s="9">
        <v>9264</v>
      </c>
    </row>
    <row r="11" spans="2:30" ht="15" customHeight="1" x14ac:dyDescent="0.2">
      <c r="B11" s="36" t="s">
        <v>259</v>
      </c>
      <c r="D11" s="2">
        <v>5613</v>
      </c>
      <c r="E11" s="2">
        <v>1267</v>
      </c>
      <c r="F11" s="2">
        <v>2196</v>
      </c>
      <c r="G11" s="2">
        <v>5227</v>
      </c>
      <c r="H11" s="2">
        <v>3534</v>
      </c>
      <c r="I11" s="2">
        <v>-397</v>
      </c>
      <c r="J11" s="2">
        <v>2576</v>
      </c>
      <c r="K11" s="2">
        <v>3875</v>
      </c>
      <c r="L11" s="2">
        <v>9588</v>
      </c>
      <c r="M11" s="2">
        <v>1653</v>
      </c>
      <c r="N11" s="2">
        <v>550</v>
      </c>
      <c r="O11" s="2">
        <v>7286</v>
      </c>
      <c r="P11" s="2">
        <v>7903</v>
      </c>
      <c r="Q11" s="2">
        <v>17392</v>
      </c>
      <c r="R11" s="2">
        <v>6168</v>
      </c>
      <c r="S11" s="2">
        <v>6386</v>
      </c>
      <c r="T11" s="9">
        <v>15679</v>
      </c>
      <c r="U11" s="2">
        <v>6451</v>
      </c>
      <c r="V11" s="9">
        <v>34684</v>
      </c>
      <c r="W11" s="9">
        <v>3889</v>
      </c>
      <c r="X11" s="9">
        <v>6610</v>
      </c>
      <c r="Y11" s="9">
        <v>5987</v>
      </c>
      <c r="Z11" s="9">
        <v>10124</v>
      </c>
      <c r="AA11" s="9">
        <f t="shared" si="0"/>
        <v>26610</v>
      </c>
      <c r="AB11" s="9">
        <v>-6231</v>
      </c>
      <c r="AC11" s="9">
        <v>-372</v>
      </c>
      <c r="AD11" s="9">
        <v>-1919</v>
      </c>
    </row>
    <row r="12" spans="2:30" ht="15" customHeight="1" x14ac:dyDescent="0.2">
      <c r="B12" s="36" t="s">
        <v>260</v>
      </c>
      <c r="D12" s="2">
        <v>8</v>
      </c>
      <c r="E12" s="2">
        <v>0</v>
      </c>
      <c r="F12" s="2">
        <v>150</v>
      </c>
      <c r="G12" s="2">
        <v>664</v>
      </c>
      <c r="H12" s="2">
        <v>138</v>
      </c>
      <c r="I12" s="2">
        <v>0</v>
      </c>
      <c r="J12" s="2">
        <v>0</v>
      </c>
      <c r="K12" s="2">
        <v>0</v>
      </c>
      <c r="L12" s="2">
        <v>138</v>
      </c>
      <c r="M12" s="2">
        <v>102</v>
      </c>
      <c r="N12" s="2">
        <v>29</v>
      </c>
      <c r="O12" s="2">
        <v>462</v>
      </c>
      <c r="P12" s="2">
        <v>2906</v>
      </c>
      <c r="Q12" s="2">
        <v>3499</v>
      </c>
      <c r="R12" s="2">
        <v>672</v>
      </c>
      <c r="S12" s="2">
        <v>780</v>
      </c>
      <c r="T12" s="9">
        <v>72</v>
      </c>
      <c r="U12" s="2">
        <v>2753</v>
      </c>
      <c r="V12" s="9">
        <v>4277</v>
      </c>
      <c r="W12" s="9">
        <v>133</v>
      </c>
      <c r="X12" s="9">
        <v>2</v>
      </c>
      <c r="Y12" s="9">
        <v>87</v>
      </c>
      <c r="Z12" s="9">
        <v>686</v>
      </c>
      <c r="AA12" s="9">
        <f t="shared" si="0"/>
        <v>908</v>
      </c>
      <c r="AB12" s="9">
        <v>-78</v>
      </c>
      <c r="AC12" s="9">
        <v>-114</v>
      </c>
      <c r="AD12" s="9">
        <v>2</v>
      </c>
    </row>
    <row r="13" spans="2:30" ht="15" customHeight="1" x14ac:dyDescent="0.2">
      <c r="B13" s="36" t="s">
        <v>261</v>
      </c>
      <c r="D13" s="2">
        <v>-31682</v>
      </c>
      <c r="E13" s="2">
        <v>4792</v>
      </c>
      <c r="F13" s="2">
        <v>2352</v>
      </c>
      <c r="G13" s="2">
        <v>6657</v>
      </c>
      <c r="H13" s="2">
        <v>-1607</v>
      </c>
      <c r="I13" s="2">
        <v>-367</v>
      </c>
      <c r="J13" s="2">
        <v>-928</v>
      </c>
      <c r="K13" s="2">
        <v>2243</v>
      </c>
      <c r="L13" s="2">
        <v>-659</v>
      </c>
      <c r="M13" s="2">
        <v>1866</v>
      </c>
      <c r="N13" s="2">
        <v>0</v>
      </c>
      <c r="O13" s="2">
        <v>8483</v>
      </c>
      <c r="P13" s="2">
        <v>-10822</v>
      </c>
      <c r="Q13" s="2">
        <v>-473</v>
      </c>
      <c r="R13" s="2">
        <v>54</v>
      </c>
      <c r="S13" s="2">
        <v>-913</v>
      </c>
      <c r="T13" s="9">
        <v>421</v>
      </c>
      <c r="U13" s="2">
        <v>-124</v>
      </c>
      <c r="V13" s="9">
        <v>-562</v>
      </c>
      <c r="W13" s="9">
        <v>0</v>
      </c>
      <c r="X13" s="9">
        <v>0</v>
      </c>
      <c r="Y13" s="9">
        <v>0</v>
      </c>
      <c r="Z13" s="9">
        <v>37291</v>
      </c>
      <c r="AA13" s="9">
        <f t="shared" si="0"/>
        <v>37291</v>
      </c>
      <c r="AB13" s="9">
        <v>-11653</v>
      </c>
      <c r="AC13" s="9">
        <v>-84320</v>
      </c>
      <c r="AD13" s="9">
        <v>-58589</v>
      </c>
    </row>
    <row r="14" spans="2:30" ht="15" customHeight="1" x14ac:dyDescent="0.2">
      <c r="B14" s="36" t="s">
        <v>263</v>
      </c>
      <c r="D14" s="2">
        <v>0</v>
      </c>
      <c r="E14" s="2">
        <v>0</v>
      </c>
      <c r="F14" s="2">
        <v>0</v>
      </c>
      <c r="G14" s="2">
        <v>0</v>
      </c>
      <c r="H14" s="2">
        <v>0</v>
      </c>
      <c r="I14" s="2">
        <v>0</v>
      </c>
      <c r="J14" s="2">
        <v>0</v>
      </c>
      <c r="K14" s="2">
        <v>130378</v>
      </c>
      <c r="L14" s="2">
        <v>130378</v>
      </c>
      <c r="M14" s="2">
        <v>0</v>
      </c>
      <c r="N14" s="2">
        <v>0</v>
      </c>
      <c r="O14" s="2">
        <v>81781</v>
      </c>
      <c r="P14" s="2">
        <v>7622</v>
      </c>
      <c r="Q14" s="2">
        <v>89403</v>
      </c>
      <c r="R14" s="2">
        <v>6600</v>
      </c>
      <c r="S14" s="2">
        <v>294</v>
      </c>
      <c r="T14" s="9">
        <v>12978</v>
      </c>
      <c r="U14" s="2">
        <v>458</v>
      </c>
      <c r="V14" s="9">
        <v>20330</v>
      </c>
      <c r="W14" s="9">
        <v>-2188</v>
      </c>
      <c r="X14" s="9">
        <v>2677</v>
      </c>
      <c r="Y14" s="9">
        <v>74664</v>
      </c>
      <c r="Z14" s="9">
        <v>12667</v>
      </c>
      <c r="AA14" s="9">
        <f t="shared" si="0"/>
        <v>87820</v>
      </c>
      <c r="AB14" s="9">
        <v>7028</v>
      </c>
      <c r="AC14" s="9">
        <v>-33348</v>
      </c>
      <c r="AD14" s="9">
        <v>0</v>
      </c>
    </row>
    <row r="15" spans="2:30" ht="15" customHeight="1" x14ac:dyDescent="0.2">
      <c r="B15" s="36" t="s">
        <v>231</v>
      </c>
      <c r="D15" s="2">
        <v>1111</v>
      </c>
      <c r="E15" s="2">
        <v>114</v>
      </c>
      <c r="F15" s="2">
        <v>36</v>
      </c>
      <c r="G15" s="2">
        <v>705</v>
      </c>
      <c r="H15" s="2">
        <v>65</v>
      </c>
      <c r="I15" s="2">
        <v>229</v>
      </c>
      <c r="J15" s="2">
        <v>255</v>
      </c>
      <c r="K15" s="2">
        <v>243</v>
      </c>
      <c r="L15" s="2">
        <v>792</v>
      </c>
      <c r="M15" s="2">
        <v>492</v>
      </c>
      <c r="N15" s="2">
        <v>667</v>
      </c>
      <c r="O15" s="2">
        <v>794</v>
      </c>
      <c r="P15" s="2">
        <v>-153</v>
      </c>
      <c r="Q15" s="2">
        <v>1800</v>
      </c>
      <c r="R15" s="2">
        <v>706</v>
      </c>
      <c r="S15" s="2">
        <v>3293</v>
      </c>
      <c r="T15" s="9">
        <v>4042</v>
      </c>
      <c r="U15" s="2">
        <v>-8450</v>
      </c>
      <c r="V15" s="9">
        <v>-409</v>
      </c>
      <c r="W15" s="9">
        <v>1023</v>
      </c>
      <c r="X15" s="9">
        <v>1728</v>
      </c>
      <c r="Y15" s="9">
        <v>5575</v>
      </c>
      <c r="Z15" s="9">
        <v>13856</v>
      </c>
      <c r="AA15" s="9">
        <f t="shared" si="0"/>
        <v>22182</v>
      </c>
      <c r="AB15" s="9">
        <v>5642</v>
      </c>
      <c r="AC15" s="9">
        <v>14294</v>
      </c>
      <c r="AD15" s="9">
        <v>4284</v>
      </c>
    </row>
    <row r="16" spans="2:30" ht="15" customHeight="1" x14ac:dyDescent="0.2">
      <c r="B16" s="36" t="s">
        <v>101</v>
      </c>
      <c r="D16" s="2">
        <v>0</v>
      </c>
      <c r="E16" s="2">
        <v>0</v>
      </c>
      <c r="F16" s="2">
        <v>0</v>
      </c>
      <c r="G16" s="2">
        <v>-1184</v>
      </c>
      <c r="H16" s="2">
        <v>0</v>
      </c>
      <c r="I16" s="2">
        <v>0</v>
      </c>
      <c r="J16" s="2">
        <v>0</v>
      </c>
      <c r="K16" s="2">
        <v>0</v>
      </c>
      <c r="L16" s="2">
        <v>0</v>
      </c>
      <c r="M16" s="2">
        <v>0</v>
      </c>
      <c r="N16" s="2">
        <v>0</v>
      </c>
      <c r="O16" s="2">
        <v>0</v>
      </c>
      <c r="P16" s="2">
        <v>-3708</v>
      </c>
      <c r="Q16" s="2">
        <v>-3708</v>
      </c>
      <c r="R16" s="2">
        <v>0</v>
      </c>
      <c r="S16" s="2">
        <v>0</v>
      </c>
      <c r="T16" s="9">
        <v>-3248</v>
      </c>
      <c r="U16" s="2">
        <v>3555</v>
      </c>
      <c r="V16" s="9">
        <v>307</v>
      </c>
      <c r="W16" s="9">
        <v>0</v>
      </c>
      <c r="X16" s="9">
        <v>0</v>
      </c>
      <c r="Y16" s="9">
        <v>0</v>
      </c>
      <c r="Z16" s="9">
        <v>0</v>
      </c>
      <c r="AA16" s="9">
        <f t="shared" si="0"/>
        <v>0</v>
      </c>
      <c r="AB16" s="9">
        <f t="shared" si="0"/>
        <v>0</v>
      </c>
      <c r="AC16" s="9">
        <v>0</v>
      </c>
      <c r="AD16" s="9">
        <v>0</v>
      </c>
    </row>
    <row r="17" spans="2:30" ht="15" customHeight="1" x14ac:dyDescent="0.2">
      <c r="B17" s="36" t="s">
        <v>61</v>
      </c>
      <c r="D17" s="2">
        <v>2043</v>
      </c>
      <c r="E17" s="2">
        <v>553</v>
      </c>
      <c r="F17" s="2">
        <v>658</v>
      </c>
      <c r="G17" s="2">
        <v>1890</v>
      </c>
      <c r="H17" s="2">
        <v>343</v>
      </c>
      <c r="I17" s="2">
        <v>344</v>
      </c>
      <c r="J17" s="2">
        <v>59472</v>
      </c>
      <c r="K17" s="2">
        <v>138</v>
      </c>
      <c r="L17" s="2">
        <v>60297</v>
      </c>
      <c r="M17" s="2">
        <v>137</v>
      </c>
      <c r="N17" s="2">
        <f>138+14158</f>
        <v>14296</v>
      </c>
      <c r="O17" s="2">
        <f>136+17861+1</f>
        <v>17998</v>
      </c>
      <c r="P17" s="2">
        <v>612</v>
      </c>
      <c r="Q17" s="2">
        <v>33043</v>
      </c>
      <c r="R17" s="2">
        <v>8907</v>
      </c>
      <c r="S17" s="2">
        <v>8741</v>
      </c>
      <c r="T17" s="9">
        <v>-2339</v>
      </c>
      <c r="U17" s="2">
        <v>21024</v>
      </c>
      <c r="V17" s="9">
        <v>36333</v>
      </c>
      <c r="W17" s="9">
        <v>9366</v>
      </c>
      <c r="X17" s="9">
        <v>6189</v>
      </c>
      <c r="Y17" s="9">
        <v>41760</v>
      </c>
      <c r="Z17" s="9">
        <v>12812</v>
      </c>
      <c r="AA17" s="9">
        <f t="shared" si="0"/>
        <v>70127</v>
      </c>
      <c r="AB17" s="9">
        <v>6195</v>
      </c>
      <c r="AC17" s="9">
        <v>2851</v>
      </c>
      <c r="AD17" s="9">
        <v>17706</v>
      </c>
    </row>
    <row r="18" spans="2:30" ht="15" customHeight="1" x14ac:dyDescent="0.2">
      <c r="B18" s="36" t="s">
        <v>221</v>
      </c>
      <c r="D18" s="2">
        <v>0</v>
      </c>
      <c r="E18" s="2">
        <v>0</v>
      </c>
      <c r="F18" s="2">
        <v>0</v>
      </c>
      <c r="G18" s="2">
        <v>0</v>
      </c>
      <c r="H18" s="2">
        <v>0</v>
      </c>
      <c r="I18" s="2">
        <v>0</v>
      </c>
      <c r="J18" s="2">
        <v>0</v>
      </c>
      <c r="K18" s="2">
        <v>0</v>
      </c>
      <c r="L18" s="2">
        <v>0</v>
      </c>
      <c r="M18" s="2">
        <v>0</v>
      </c>
      <c r="N18" s="2">
        <v>0</v>
      </c>
      <c r="O18" s="2">
        <v>0</v>
      </c>
      <c r="P18" s="2">
        <v>0</v>
      </c>
      <c r="Q18" s="2">
        <v>0</v>
      </c>
      <c r="R18" s="2">
        <v>1242</v>
      </c>
      <c r="S18" s="2">
        <v>5733</v>
      </c>
      <c r="T18" s="9">
        <v>9077</v>
      </c>
      <c r="U18" s="2">
        <v>3810</v>
      </c>
      <c r="V18" s="9">
        <v>19862</v>
      </c>
      <c r="W18" s="9">
        <v>3689</v>
      </c>
      <c r="X18" s="9">
        <v>5216</v>
      </c>
      <c r="Y18" s="9">
        <v>11705</v>
      </c>
      <c r="Z18" s="9">
        <v>36635</v>
      </c>
      <c r="AA18" s="9">
        <f t="shared" si="0"/>
        <v>57245</v>
      </c>
      <c r="AB18" s="9">
        <v>48770</v>
      </c>
      <c r="AC18" s="9">
        <v>56774</v>
      </c>
      <c r="AD18" s="9">
        <v>72549</v>
      </c>
    </row>
    <row r="19" spans="2:30" ht="15" customHeight="1" x14ac:dyDescent="0.2">
      <c r="B19" s="36" t="s">
        <v>264</v>
      </c>
      <c r="D19" s="2">
        <v>101</v>
      </c>
      <c r="E19" s="2">
        <v>3109</v>
      </c>
      <c r="F19" s="2">
        <v>2588</v>
      </c>
      <c r="G19" s="2">
        <v>11179</v>
      </c>
      <c r="H19" s="2">
        <v>2080</v>
      </c>
      <c r="I19" s="2">
        <v>1972</v>
      </c>
      <c r="J19" s="2">
        <v>2274</v>
      </c>
      <c r="K19" s="2">
        <v>2378</v>
      </c>
      <c r="L19" s="2">
        <v>8704</v>
      </c>
      <c r="M19" s="2">
        <v>5942</v>
      </c>
      <c r="N19" s="2">
        <v>8498</v>
      </c>
      <c r="O19" s="2">
        <v>10270</v>
      </c>
      <c r="P19" s="2">
        <v>17496</v>
      </c>
      <c r="Q19" s="2">
        <v>42206</v>
      </c>
      <c r="R19" s="2">
        <v>20266</v>
      </c>
      <c r="S19" s="2">
        <v>16711</v>
      </c>
      <c r="T19" s="9">
        <v>13013</v>
      </c>
      <c r="U19" s="2">
        <v>18389</v>
      </c>
      <c r="V19" s="9">
        <v>68379</v>
      </c>
      <c r="W19" s="9">
        <v>27381</v>
      </c>
      <c r="X19" s="9">
        <v>26643</v>
      </c>
      <c r="Y19" s="9">
        <v>30802</v>
      </c>
      <c r="Z19" s="9">
        <v>36785</v>
      </c>
      <c r="AA19" s="9">
        <f t="shared" si="0"/>
        <v>121611</v>
      </c>
      <c r="AB19" s="9">
        <v>43930</v>
      </c>
      <c r="AC19" s="9">
        <v>45744</v>
      </c>
      <c r="AD19" s="9">
        <v>47268</v>
      </c>
    </row>
    <row r="20" spans="2:30" ht="15" customHeight="1" x14ac:dyDescent="0.2">
      <c r="B20" s="36" t="s">
        <v>265</v>
      </c>
      <c r="D20" s="4">
        <v>0</v>
      </c>
      <c r="E20" s="4">
        <v>0</v>
      </c>
      <c r="F20" s="4">
        <v>0</v>
      </c>
      <c r="G20" s="4">
        <v>0</v>
      </c>
      <c r="H20" s="4">
        <v>0</v>
      </c>
      <c r="I20" s="4">
        <v>0</v>
      </c>
      <c r="J20" s="4">
        <v>0</v>
      </c>
      <c r="K20" s="4">
        <v>0</v>
      </c>
      <c r="L20" s="4">
        <v>0</v>
      </c>
      <c r="M20" s="4">
        <v>0</v>
      </c>
      <c r="N20" s="4">
        <v>0</v>
      </c>
      <c r="O20" s="4">
        <v>0</v>
      </c>
      <c r="P20" s="4">
        <v>-45797</v>
      </c>
      <c r="Q20" s="4">
        <v>-45797</v>
      </c>
      <c r="R20" s="4">
        <v>-2039</v>
      </c>
      <c r="S20" s="4">
        <v>-3617</v>
      </c>
      <c r="T20" s="9">
        <v>-4200</v>
      </c>
      <c r="U20" s="4">
        <v>-3532</v>
      </c>
      <c r="V20" s="9">
        <v>-13388</v>
      </c>
      <c r="W20" s="9">
        <v>-3766</v>
      </c>
      <c r="X20" s="9">
        <v>-4729</v>
      </c>
      <c r="Y20" s="9">
        <v>-6421</v>
      </c>
      <c r="Z20" s="9">
        <v>-11014</v>
      </c>
      <c r="AA20" s="9">
        <f t="shared" si="0"/>
        <v>-25930</v>
      </c>
      <c r="AB20" s="9">
        <v>-20560</v>
      </c>
      <c r="AC20" s="9">
        <v>-17793</v>
      </c>
      <c r="AD20" s="9">
        <v>-24763</v>
      </c>
    </row>
    <row r="21" spans="2:30" ht="15" customHeight="1" x14ac:dyDescent="0.2">
      <c r="B21" s="36" t="s">
        <v>102</v>
      </c>
      <c r="D21" s="2">
        <v>0</v>
      </c>
      <c r="E21" s="2">
        <v>0</v>
      </c>
      <c r="F21" s="2">
        <v>0</v>
      </c>
      <c r="G21" s="2">
        <v>0</v>
      </c>
      <c r="H21" s="2">
        <v>0</v>
      </c>
      <c r="I21" s="2">
        <v>0</v>
      </c>
      <c r="J21" s="2">
        <v>0</v>
      </c>
      <c r="K21" s="2">
        <v>0</v>
      </c>
      <c r="L21" s="2">
        <v>0</v>
      </c>
      <c r="M21" s="2">
        <v>395</v>
      </c>
      <c r="N21" s="2">
        <v>387</v>
      </c>
      <c r="O21" s="2">
        <v>449</v>
      </c>
      <c r="P21" s="2">
        <v>258</v>
      </c>
      <c r="Q21" s="2">
        <v>1489</v>
      </c>
      <c r="R21" s="2">
        <v>732</v>
      </c>
      <c r="S21" s="2">
        <v>687</v>
      </c>
      <c r="T21" s="9">
        <v>641</v>
      </c>
      <c r="U21" s="2">
        <v>976</v>
      </c>
      <c r="V21" s="9">
        <v>3036</v>
      </c>
      <c r="W21" s="9">
        <v>1019</v>
      </c>
      <c r="X21" s="9">
        <v>1138</v>
      </c>
      <c r="Y21" s="9">
        <v>1204</v>
      </c>
      <c r="Z21" s="9">
        <v>1434</v>
      </c>
      <c r="AA21" s="9">
        <f t="shared" si="0"/>
        <v>4795</v>
      </c>
      <c r="AB21" s="9">
        <v>1161</v>
      </c>
      <c r="AC21" s="9">
        <v>1126</v>
      </c>
      <c r="AD21" s="9">
        <v>1001</v>
      </c>
    </row>
    <row r="22" spans="2:30" ht="15" customHeight="1" x14ac:dyDescent="0.2">
      <c r="B22" s="36" t="s">
        <v>94</v>
      </c>
      <c r="D22" s="2">
        <v>0</v>
      </c>
      <c r="E22" s="2">
        <v>0</v>
      </c>
      <c r="F22" s="2">
        <v>0</v>
      </c>
      <c r="G22" s="2">
        <v>0</v>
      </c>
      <c r="H22" s="2">
        <v>0</v>
      </c>
      <c r="I22" s="2">
        <v>76</v>
      </c>
      <c r="J22" s="2">
        <v>65</v>
      </c>
      <c r="K22" s="2">
        <v>-10</v>
      </c>
      <c r="L22" s="2">
        <v>131</v>
      </c>
      <c r="M22" s="2">
        <v>79</v>
      </c>
      <c r="N22" s="2">
        <v>132</v>
      </c>
      <c r="O22" s="2">
        <v>-111</v>
      </c>
      <c r="P22" s="2">
        <v>20</v>
      </c>
      <c r="Q22" s="2">
        <v>120</v>
      </c>
      <c r="R22" s="2">
        <v>33</v>
      </c>
      <c r="S22" s="2">
        <v>561</v>
      </c>
      <c r="T22" s="9">
        <v>0</v>
      </c>
      <c r="U22" s="2">
        <v>-7</v>
      </c>
      <c r="V22" s="9">
        <v>587</v>
      </c>
      <c r="W22" s="9">
        <v>646</v>
      </c>
      <c r="X22" s="9">
        <v>-857</v>
      </c>
      <c r="Y22" s="9">
        <v>248</v>
      </c>
      <c r="Z22" s="9">
        <v>-186</v>
      </c>
      <c r="AA22" s="9">
        <f t="shared" si="0"/>
        <v>-149</v>
      </c>
      <c r="AB22" s="9">
        <v>95</v>
      </c>
      <c r="AC22" s="9">
        <v>11</v>
      </c>
      <c r="AD22" s="9">
        <v>1317</v>
      </c>
    </row>
    <row r="23" spans="2:30" ht="15" customHeight="1" x14ac:dyDescent="0.2">
      <c r="B23" s="36" t="s">
        <v>125</v>
      </c>
      <c r="D23" s="2">
        <v>0</v>
      </c>
      <c r="E23" s="2">
        <v>0</v>
      </c>
      <c r="F23" s="2">
        <v>0</v>
      </c>
      <c r="G23" s="2">
        <v>0</v>
      </c>
      <c r="H23" s="2">
        <v>0</v>
      </c>
      <c r="I23" s="2">
        <v>0</v>
      </c>
      <c r="J23" s="2">
        <v>0</v>
      </c>
      <c r="K23" s="2">
        <v>0</v>
      </c>
      <c r="L23" s="2">
        <v>0</v>
      </c>
      <c r="M23" s="2">
        <v>0</v>
      </c>
      <c r="N23" s="2">
        <v>6518</v>
      </c>
      <c r="O23" s="2">
        <v>16881</v>
      </c>
      <c r="P23" s="2">
        <v>-15066</v>
      </c>
      <c r="Q23" s="2">
        <v>8333</v>
      </c>
      <c r="R23" s="2">
        <v>5888</v>
      </c>
      <c r="S23" s="2">
        <v>3158</v>
      </c>
      <c r="T23" s="9">
        <v>-10212</v>
      </c>
      <c r="U23" s="2">
        <v>-1831</v>
      </c>
      <c r="V23" s="9">
        <v>-2997</v>
      </c>
      <c r="W23" s="9">
        <v>-521</v>
      </c>
      <c r="X23" s="9">
        <v>1948</v>
      </c>
      <c r="Y23" s="9">
        <v>1259</v>
      </c>
      <c r="Z23" s="9">
        <v>-2451</v>
      </c>
      <c r="AA23" s="9">
        <f t="shared" si="0"/>
        <v>235</v>
      </c>
      <c r="AB23" s="9">
        <v>-3260</v>
      </c>
      <c r="AC23" s="9">
        <v>177</v>
      </c>
      <c r="AD23" s="9">
        <v>3871</v>
      </c>
    </row>
    <row r="24" spans="2:30" ht="15" customHeight="1" x14ac:dyDescent="0.2">
      <c r="B24" s="36" t="s">
        <v>232</v>
      </c>
      <c r="D24" s="2">
        <v>0</v>
      </c>
      <c r="E24" s="2">
        <v>0</v>
      </c>
      <c r="F24" s="2">
        <v>0</v>
      </c>
      <c r="G24" s="2">
        <v>0</v>
      </c>
      <c r="H24" s="2">
        <v>0</v>
      </c>
      <c r="I24" s="2">
        <v>0</v>
      </c>
      <c r="J24" s="2">
        <v>0</v>
      </c>
      <c r="K24" s="2">
        <v>34435</v>
      </c>
      <c r="L24" s="2">
        <v>34435</v>
      </c>
      <c r="M24" s="2">
        <v>-76</v>
      </c>
      <c r="N24" s="2">
        <v>592</v>
      </c>
      <c r="O24" s="2">
        <v>-532</v>
      </c>
      <c r="P24" s="2">
        <v>571</v>
      </c>
      <c r="Q24" s="2">
        <v>555</v>
      </c>
      <c r="R24" s="2">
        <v>-742</v>
      </c>
      <c r="S24" s="2">
        <v>922</v>
      </c>
      <c r="T24" s="9">
        <v>-551</v>
      </c>
      <c r="U24" s="2">
        <v>183</v>
      </c>
      <c r="V24" s="9">
        <v>-188</v>
      </c>
      <c r="W24" s="9">
        <v>279</v>
      </c>
      <c r="X24" s="9">
        <v>3813</v>
      </c>
      <c r="Y24" s="9">
        <v>-1945</v>
      </c>
      <c r="Z24" s="9">
        <v>-375</v>
      </c>
      <c r="AA24" s="9">
        <f t="shared" si="0"/>
        <v>1772</v>
      </c>
      <c r="AB24" s="9">
        <v>-105306</v>
      </c>
      <c r="AC24" s="9">
        <v>61644</v>
      </c>
      <c r="AD24" s="9">
        <v>21316</v>
      </c>
    </row>
    <row r="25" spans="2:30" ht="15" customHeight="1" x14ac:dyDescent="0.2">
      <c r="B25" s="36" t="s">
        <v>216</v>
      </c>
      <c r="D25" s="4">
        <v>0</v>
      </c>
      <c r="E25" s="4">
        <v>0</v>
      </c>
      <c r="F25" s="4">
        <v>0</v>
      </c>
      <c r="G25" s="4">
        <v>0</v>
      </c>
      <c r="H25" s="4">
        <v>0</v>
      </c>
      <c r="I25" s="4">
        <v>0</v>
      </c>
      <c r="J25" s="4">
        <v>0</v>
      </c>
      <c r="K25" s="2">
        <v>0</v>
      </c>
      <c r="L25" s="2">
        <v>0</v>
      </c>
      <c r="M25" s="2">
        <v>-3288</v>
      </c>
      <c r="N25" s="2">
        <v>2</v>
      </c>
      <c r="O25" s="2">
        <v>34</v>
      </c>
      <c r="P25" s="2">
        <v>-34</v>
      </c>
      <c r="Q25" s="2">
        <v>-3286</v>
      </c>
      <c r="R25" s="2">
        <v>0</v>
      </c>
      <c r="S25" s="2">
        <v>0</v>
      </c>
      <c r="T25" s="9">
        <v>0</v>
      </c>
      <c r="U25" s="2">
        <v>0</v>
      </c>
      <c r="V25" s="9">
        <v>0</v>
      </c>
      <c r="W25" s="9">
        <v>0</v>
      </c>
      <c r="X25" s="9">
        <v>0</v>
      </c>
      <c r="Y25" s="9">
        <v>0</v>
      </c>
      <c r="Z25" s="9">
        <v>-14022</v>
      </c>
      <c r="AA25" s="9">
        <f t="shared" si="0"/>
        <v>-14022</v>
      </c>
      <c r="AB25" s="9">
        <v>-16413</v>
      </c>
      <c r="AC25" s="9">
        <v>-1345</v>
      </c>
      <c r="AD25" s="9">
        <v>46</v>
      </c>
    </row>
    <row r="26" spans="2:30" ht="15" customHeight="1" x14ac:dyDescent="0.2">
      <c r="B26" s="36" t="s">
        <v>233</v>
      </c>
      <c r="D26" s="4">
        <v>0</v>
      </c>
      <c r="E26" s="4">
        <v>0</v>
      </c>
      <c r="F26" s="4">
        <v>0</v>
      </c>
      <c r="G26" s="4">
        <v>0</v>
      </c>
      <c r="H26" s="4">
        <v>0</v>
      </c>
      <c r="I26" s="4">
        <v>0</v>
      </c>
      <c r="J26" s="4">
        <v>0</v>
      </c>
      <c r="K26" s="4">
        <v>0</v>
      </c>
      <c r="L26" s="4">
        <v>0</v>
      </c>
      <c r="M26" s="4">
        <v>0</v>
      </c>
      <c r="N26" s="4">
        <v>-1202</v>
      </c>
      <c r="O26" s="4">
        <v>-279</v>
      </c>
      <c r="P26" s="4">
        <v>121</v>
      </c>
      <c r="Q26" s="4">
        <v>-1360</v>
      </c>
      <c r="R26" s="4">
        <v>0</v>
      </c>
      <c r="S26" s="4">
        <v>-1038</v>
      </c>
      <c r="T26" s="9">
        <v>-811</v>
      </c>
      <c r="U26" s="4">
        <v>-466</v>
      </c>
      <c r="V26" s="9">
        <v>-2315</v>
      </c>
      <c r="W26" s="9">
        <v>-359</v>
      </c>
      <c r="X26" s="9">
        <v>-2139</v>
      </c>
      <c r="Y26" s="9">
        <v>1792</v>
      </c>
      <c r="Z26" s="9">
        <v>-570</v>
      </c>
      <c r="AA26" s="9">
        <f t="shared" si="0"/>
        <v>-1276</v>
      </c>
      <c r="AB26" s="9">
        <v>-923</v>
      </c>
      <c r="AC26" s="9">
        <v>-2205</v>
      </c>
      <c r="AD26" s="9">
        <v>-987</v>
      </c>
    </row>
    <row r="27" spans="2:30" s="7" customFormat="1" ht="15" customHeight="1" x14ac:dyDescent="0.2">
      <c r="B27" s="35" t="s">
        <v>62</v>
      </c>
      <c r="D27" s="10">
        <f t="shared" ref="D27:Y27" si="1">SUM(D7:D26)</f>
        <v>80322</v>
      </c>
      <c r="E27" s="10">
        <f t="shared" si="1"/>
        <v>13934</v>
      </c>
      <c r="F27" s="10">
        <f t="shared" si="1"/>
        <v>27570</v>
      </c>
      <c r="G27" s="10">
        <f t="shared" si="1"/>
        <v>110263</v>
      </c>
      <c r="H27" s="10">
        <f t="shared" si="1"/>
        <v>64177</v>
      </c>
      <c r="I27" s="10">
        <f t="shared" si="1"/>
        <v>29035</v>
      </c>
      <c r="J27" s="10">
        <f t="shared" si="1"/>
        <v>12221</v>
      </c>
      <c r="K27" s="10">
        <f t="shared" si="1"/>
        <v>64316</v>
      </c>
      <c r="L27" s="10">
        <f t="shared" si="1"/>
        <v>169749</v>
      </c>
      <c r="M27" s="10">
        <f t="shared" si="1"/>
        <v>58331</v>
      </c>
      <c r="N27" s="10">
        <f t="shared" si="1"/>
        <v>68885</v>
      </c>
      <c r="O27" s="10">
        <f t="shared" si="1"/>
        <v>1449</v>
      </c>
      <c r="P27" s="10">
        <f t="shared" si="1"/>
        <v>28807</v>
      </c>
      <c r="Q27" s="10">
        <f t="shared" si="1"/>
        <v>157472</v>
      </c>
      <c r="R27" s="10">
        <f t="shared" si="1"/>
        <v>89698</v>
      </c>
      <c r="S27" s="10">
        <f t="shared" si="1"/>
        <v>97238</v>
      </c>
      <c r="T27" s="10">
        <f t="shared" si="1"/>
        <v>25295</v>
      </c>
      <c r="U27" s="10">
        <f t="shared" si="1"/>
        <v>129715</v>
      </c>
      <c r="V27" s="10">
        <f t="shared" si="1"/>
        <v>341946</v>
      </c>
      <c r="W27" s="10">
        <f t="shared" si="1"/>
        <v>113278</v>
      </c>
      <c r="X27" s="10">
        <f t="shared" si="1"/>
        <v>71990</v>
      </c>
      <c r="Y27" s="10">
        <f t="shared" si="1"/>
        <v>18797</v>
      </c>
      <c r="Z27" s="10">
        <f>SUM(Z7:Z26)</f>
        <v>233160</v>
      </c>
      <c r="AA27" s="10">
        <f>SUM(AA7:AA26)</f>
        <v>437225</v>
      </c>
      <c r="AB27" s="10">
        <f>SUM(AB7:AB26)</f>
        <v>125467</v>
      </c>
      <c r="AC27" s="10">
        <f>SUM(AC7:AC26)</f>
        <v>116252</v>
      </c>
      <c r="AD27" s="10">
        <f>SUM(AD7:AD26)</f>
        <v>40138</v>
      </c>
    </row>
    <row r="28" spans="2:30" ht="15" customHeight="1" x14ac:dyDescent="0.2">
      <c r="D28" s="2"/>
      <c r="E28" s="2"/>
      <c r="F28" s="2"/>
      <c r="G28" s="2"/>
      <c r="H28" s="2"/>
      <c r="I28" s="2"/>
      <c r="J28" s="2"/>
      <c r="K28" s="2"/>
      <c r="L28" s="2"/>
      <c r="M28" s="2"/>
      <c r="N28" s="2"/>
      <c r="O28" s="2"/>
      <c r="P28" s="2"/>
      <c r="Q28" s="2"/>
      <c r="R28" s="2"/>
      <c r="S28" s="2"/>
      <c r="T28" s="9"/>
      <c r="U28" s="2"/>
      <c r="V28" s="9"/>
      <c r="W28" s="9"/>
      <c r="X28" s="9"/>
      <c r="Y28" s="9"/>
      <c r="Z28" s="9"/>
      <c r="AA28" s="9"/>
      <c r="AB28" s="9"/>
      <c r="AC28" s="9"/>
      <c r="AD28" s="9"/>
    </row>
    <row r="29" spans="2:30" ht="15" customHeight="1" x14ac:dyDescent="0.2">
      <c r="B29" s="35" t="s">
        <v>103</v>
      </c>
      <c r="D29" s="2"/>
      <c r="E29" s="2"/>
      <c r="F29" s="2"/>
      <c r="G29" s="2"/>
      <c r="H29" s="2"/>
      <c r="I29" s="2"/>
      <c r="J29" s="2"/>
      <c r="K29" s="2"/>
      <c r="L29" s="2"/>
      <c r="M29" s="2"/>
      <c r="N29" s="2"/>
      <c r="O29" s="2"/>
      <c r="P29" s="2"/>
      <c r="Q29" s="2"/>
      <c r="R29" s="2"/>
      <c r="S29" s="2"/>
      <c r="T29" s="9"/>
      <c r="U29" s="2"/>
      <c r="V29" s="9"/>
      <c r="W29" s="9"/>
      <c r="X29" s="9"/>
      <c r="Y29" s="9"/>
      <c r="Z29" s="9"/>
      <c r="AA29" s="9"/>
      <c r="AB29" s="9"/>
      <c r="AC29" s="9"/>
      <c r="AD29" s="9"/>
    </row>
    <row r="30" spans="2:30" ht="15" customHeight="1" x14ac:dyDescent="0.2">
      <c r="B30" s="36" t="s">
        <v>6</v>
      </c>
      <c r="D30" s="2">
        <v>-13641</v>
      </c>
      <c r="E30" s="2">
        <v>13431</v>
      </c>
      <c r="F30" s="2">
        <v>-51025</v>
      </c>
      <c r="G30" s="2">
        <v>-24347</v>
      </c>
      <c r="H30" s="2">
        <v>-15862</v>
      </c>
      <c r="I30" s="2">
        <v>18949</v>
      </c>
      <c r="J30" s="2">
        <v>23333</v>
      </c>
      <c r="K30" s="2">
        <v>-83440</v>
      </c>
      <c r="L30" s="2">
        <v>-57020</v>
      </c>
      <c r="M30" s="2">
        <v>-16201</v>
      </c>
      <c r="N30" s="2">
        <v>7792</v>
      </c>
      <c r="O30" s="2">
        <v>48195</v>
      </c>
      <c r="P30" s="2">
        <v>-176193</v>
      </c>
      <c r="Q30" s="2">
        <v>-136407</v>
      </c>
      <c r="R30" s="2">
        <v>-20712</v>
      </c>
      <c r="S30" s="2">
        <v>39179</v>
      </c>
      <c r="T30" s="9">
        <v>22354</v>
      </c>
      <c r="U30" s="2">
        <v>-148908</v>
      </c>
      <c r="V30" s="9">
        <v>-108087</v>
      </c>
      <c r="W30" s="9">
        <v>-109075</v>
      </c>
      <c r="X30" s="9">
        <v>109460</v>
      </c>
      <c r="Y30" s="9">
        <v>95594</v>
      </c>
      <c r="Z30" s="9">
        <v>-280451</v>
      </c>
      <c r="AA30" s="9">
        <f t="shared" ref="AA30:AA38" si="2">SUM(W30:Z30)</f>
        <v>-184472</v>
      </c>
      <c r="AB30" s="9">
        <v>-206926</v>
      </c>
      <c r="AC30" s="9">
        <v>202582</v>
      </c>
      <c r="AD30" s="9">
        <v>170531</v>
      </c>
    </row>
    <row r="31" spans="2:30" ht="15" customHeight="1" x14ac:dyDescent="0.2">
      <c r="B31" s="36" t="s">
        <v>7</v>
      </c>
      <c r="D31" s="2">
        <v>-8312</v>
      </c>
      <c r="E31" s="2">
        <v>-6608</v>
      </c>
      <c r="F31" s="2">
        <v>-6815</v>
      </c>
      <c r="G31" s="2">
        <v>-8914</v>
      </c>
      <c r="H31" s="2">
        <v>2279</v>
      </c>
      <c r="I31" s="2">
        <v>-3226</v>
      </c>
      <c r="J31" s="2">
        <v>-4092</v>
      </c>
      <c r="K31" s="2">
        <v>1476</v>
      </c>
      <c r="L31" s="2">
        <v>-3563</v>
      </c>
      <c r="M31" s="2">
        <v>36</v>
      </c>
      <c r="N31" s="2">
        <v>-2067</v>
      </c>
      <c r="O31" s="2">
        <v>-8937</v>
      </c>
      <c r="P31" s="2">
        <v>-3669</v>
      </c>
      <c r="Q31" s="2">
        <v>-14637</v>
      </c>
      <c r="R31" s="2">
        <v>-485</v>
      </c>
      <c r="S31" s="2">
        <v>-7078</v>
      </c>
      <c r="T31" s="9">
        <v>-489</v>
      </c>
      <c r="U31" s="2">
        <v>-10109</v>
      </c>
      <c r="V31" s="9">
        <v>-18161</v>
      </c>
      <c r="W31" s="9">
        <v>3578</v>
      </c>
      <c r="X31" s="9">
        <v>-15545</v>
      </c>
      <c r="Y31" s="9">
        <v>-6372</v>
      </c>
      <c r="Z31" s="9">
        <v>-43873</v>
      </c>
      <c r="AA31" s="9">
        <f t="shared" si="2"/>
        <v>-62212</v>
      </c>
      <c r="AB31" s="9">
        <v>2115</v>
      </c>
      <c r="AC31" s="9">
        <v>-29786</v>
      </c>
      <c r="AD31" s="9">
        <v>-47514</v>
      </c>
    </row>
    <row r="32" spans="2:30" ht="15" customHeight="1" x14ac:dyDescent="0.2">
      <c r="B32" s="36" t="s">
        <v>104</v>
      </c>
      <c r="D32" s="2">
        <v>-2608</v>
      </c>
      <c r="E32" s="2">
        <v>-1493</v>
      </c>
      <c r="F32" s="2">
        <v>-636</v>
      </c>
      <c r="G32" s="2">
        <v>-2777</v>
      </c>
      <c r="H32" s="2">
        <v>-883</v>
      </c>
      <c r="I32" s="2">
        <v>-307</v>
      </c>
      <c r="J32" s="2">
        <v>1172</v>
      </c>
      <c r="K32" s="2">
        <v>-3789</v>
      </c>
      <c r="L32" s="2">
        <v>-3807</v>
      </c>
      <c r="M32" s="2">
        <v>-4972</v>
      </c>
      <c r="N32" s="2">
        <v>-401</v>
      </c>
      <c r="O32" s="2">
        <v>-2177</v>
      </c>
      <c r="P32" s="2">
        <v>-944</v>
      </c>
      <c r="Q32" s="2">
        <v>-8494</v>
      </c>
      <c r="R32" s="2">
        <v>-1694</v>
      </c>
      <c r="S32" s="2">
        <v>-2610</v>
      </c>
      <c r="T32" s="9">
        <v>-514</v>
      </c>
      <c r="U32" s="2">
        <v>7970</v>
      </c>
      <c r="V32" s="9">
        <v>3152</v>
      </c>
      <c r="W32" s="9">
        <v>-477</v>
      </c>
      <c r="X32" s="9">
        <v>2944</v>
      </c>
      <c r="Y32" s="9">
        <v>-5463</v>
      </c>
      <c r="Z32" s="9">
        <v>-36203</v>
      </c>
      <c r="AA32" s="9">
        <f t="shared" si="2"/>
        <v>-39199</v>
      </c>
      <c r="AB32" s="9">
        <v>3182</v>
      </c>
      <c r="AC32" s="9">
        <v>5266</v>
      </c>
      <c r="AD32" s="9">
        <v>-16421</v>
      </c>
    </row>
    <row r="33" spans="2:30" ht="15" customHeight="1" x14ac:dyDescent="0.2">
      <c r="B33" s="36" t="s">
        <v>9</v>
      </c>
      <c r="D33" s="2">
        <v>-2777</v>
      </c>
      <c r="E33" s="2">
        <v>-835</v>
      </c>
      <c r="F33" s="2">
        <v>1598</v>
      </c>
      <c r="G33" s="2">
        <v>-320</v>
      </c>
      <c r="H33" s="2">
        <v>-294</v>
      </c>
      <c r="I33" s="2">
        <v>-8262</v>
      </c>
      <c r="J33" s="2">
        <v>5833</v>
      </c>
      <c r="K33" s="2">
        <v>469</v>
      </c>
      <c r="L33" s="2">
        <v>-2254</v>
      </c>
      <c r="M33" s="2">
        <v>1952</v>
      </c>
      <c r="N33" s="2">
        <v>-9778</v>
      </c>
      <c r="O33" s="2">
        <v>1167</v>
      </c>
      <c r="P33" s="2">
        <v>-9376</v>
      </c>
      <c r="Q33" s="2">
        <v>-16035</v>
      </c>
      <c r="R33" s="2">
        <v>-17036</v>
      </c>
      <c r="S33" s="2">
        <v>-1865</v>
      </c>
      <c r="T33" s="9">
        <v>11582</v>
      </c>
      <c r="U33" s="2">
        <v>-6768</v>
      </c>
      <c r="V33" s="9">
        <v>-14087</v>
      </c>
      <c r="W33" s="9">
        <v>-3931</v>
      </c>
      <c r="X33" s="9">
        <v>-4524</v>
      </c>
      <c r="Y33" s="9">
        <v>-12776</v>
      </c>
      <c r="Z33" s="9">
        <v>-41571</v>
      </c>
      <c r="AA33" s="9">
        <f t="shared" si="2"/>
        <v>-62802</v>
      </c>
      <c r="AB33" s="9">
        <v>-8010</v>
      </c>
      <c r="AC33" s="9">
        <v>-27067</v>
      </c>
      <c r="AD33" s="9">
        <v>9867</v>
      </c>
    </row>
    <row r="34" spans="2:30" ht="15" customHeight="1" x14ac:dyDescent="0.2">
      <c r="B34" s="36" t="s">
        <v>18</v>
      </c>
      <c r="D34" s="2">
        <v>211</v>
      </c>
      <c r="E34" s="2">
        <v>1011</v>
      </c>
      <c r="F34" s="2">
        <v>-1143</v>
      </c>
      <c r="G34" s="2">
        <v>-1512</v>
      </c>
      <c r="H34" s="2">
        <v>-592</v>
      </c>
      <c r="I34" s="2">
        <v>2166</v>
      </c>
      <c r="J34" s="2">
        <v>3262</v>
      </c>
      <c r="K34" s="2">
        <v>5420</v>
      </c>
      <c r="L34" s="2">
        <v>10256</v>
      </c>
      <c r="M34" s="2">
        <v>686</v>
      </c>
      <c r="N34" s="2">
        <v>-27</v>
      </c>
      <c r="O34" s="2">
        <v>7833</v>
      </c>
      <c r="P34" s="2">
        <v>-37</v>
      </c>
      <c r="Q34" s="2">
        <v>8455</v>
      </c>
      <c r="R34" s="2">
        <v>12638</v>
      </c>
      <c r="S34" s="2">
        <v>-16353</v>
      </c>
      <c r="T34" s="9">
        <v>-76</v>
      </c>
      <c r="U34" s="2">
        <v>7677</v>
      </c>
      <c r="V34" s="9">
        <v>3886</v>
      </c>
      <c r="W34" s="9">
        <v>12118</v>
      </c>
      <c r="X34" s="9">
        <v>-4893</v>
      </c>
      <c r="Y34" s="9">
        <v>21809</v>
      </c>
      <c r="Z34" s="9">
        <v>23881</v>
      </c>
      <c r="AA34" s="9">
        <f t="shared" si="2"/>
        <v>52915</v>
      </c>
      <c r="AB34" s="9">
        <v>29455</v>
      </c>
      <c r="AC34" s="9">
        <v>22182</v>
      </c>
      <c r="AD34" s="9">
        <v>-2593</v>
      </c>
    </row>
    <row r="35" spans="2:30" ht="15" customHeight="1" x14ac:dyDescent="0.2">
      <c r="B35" s="36" t="s">
        <v>19</v>
      </c>
      <c r="D35" s="2">
        <v>2277</v>
      </c>
      <c r="E35" s="2">
        <v>1275</v>
      </c>
      <c r="F35" s="2">
        <v>-826</v>
      </c>
      <c r="G35" s="2">
        <v>3081</v>
      </c>
      <c r="H35" s="2">
        <v>300</v>
      </c>
      <c r="I35" s="2">
        <v>3457</v>
      </c>
      <c r="J35" s="2">
        <v>1572</v>
      </c>
      <c r="K35" s="2">
        <v>1840</v>
      </c>
      <c r="L35" s="2">
        <v>7169</v>
      </c>
      <c r="M35" s="2">
        <v>4774</v>
      </c>
      <c r="N35" s="2">
        <v>6580</v>
      </c>
      <c r="O35" s="2">
        <v>6986</v>
      </c>
      <c r="P35" s="2">
        <v>-2390</v>
      </c>
      <c r="Q35" s="2">
        <v>15950</v>
      </c>
      <c r="R35" s="2">
        <v>-5542</v>
      </c>
      <c r="S35" s="2">
        <v>21164</v>
      </c>
      <c r="T35" s="9">
        <v>29210</v>
      </c>
      <c r="U35" s="2">
        <v>-37593</v>
      </c>
      <c r="V35" s="9">
        <v>7239</v>
      </c>
      <c r="W35" s="9">
        <v>2335</v>
      </c>
      <c r="X35" s="9">
        <v>7921</v>
      </c>
      <c r="Y35" s="9">
        <v>1069</v>
      </c>
      <c r="Z35" s="9">
        <v>-17965</v>
      </c>
      <c r="AA35" s="9">
        <f t="shared" si="2"/>
        <v>-6640</v>
      </c>
      <c r="AB35" s="9">
        <v>14115</v>
      </c>
      <c r="AC35" s="9">
        <v>11630</v>
      </c>
      <c r="AD35" s="9">
        <v>324</v>
      </c>
    </row>
    <row r="36" spans="2:30" ht="15" customHeight="1" x14ac:dyDescent="0.2">
      <c r="B36" s="36" t="s">
        <v>20</v>
      </c>
      <c r="D36" s="2">
        <v>-521</v>
      </c>
      <c r="E36" s="2">
        <v>-10</v>
      </c>
      <c r="F36" s="2">
        <v>547</v>
      </c>
      <c r="G36" s="2">
        <v>553</v>
      </c>
      <c r="H36" s="2">
        <v>284</v>
      </c>
      <c r="I36" s="2">
        <v>355</v>
      </c>
      <c r="J36" s="2">
        <v>-201</v>
      </c>
      <c r="K36" s="2">
        <v>1038</v>
      </c>
      <c r="L36" s="2">
        <v>1476</v>
      </c>
      <c r="M36" s="2">
        <v>-572</v>
      </c>
      <c r="N36" s="2">
        <v>-475</v>
      </c>
      <c r="O36" s="2">
        <v>507</v>
      </c>
      <c r="P36" s="2">
        <v>2491</v>
      </c>
      <c r="Q36" s="2">
        <v>1951</v>
      </c>
      <c r="R36" s="2">
        <v>-2560</v>
      </c>
      <c r="S36" s="2">
        <v>-219</v>
      </c>
      <c r="T36" s="9">
        <v>12576</v>
      </c>
      <c r="U36" s="2">
        <v>-8650</v>
      </c>
      <c r="V36" s="9">
        <v>1147</v>
      </c>
      <c r="W36" s="9">
        <v>-2804</v>
      </c>
      <c r="X36" s="9">
        <v>-2279</v>
      </c>
      <c r="Y36" s="9">
        <v>-1388</v>
      </c>
      <c r="Z36" s="9">
        <v>3881</v>
      </c>
      <c r="AA36" s="9">
        <f t="shared" si="2"/>
        <v>-2590</v>
      </c>
      <c r="AB36" s="9">
        <v>-1206</v>
      </c>
      <c r="AC36" s="9">
        <v>228</v>
      </c>
      <c r="AD36" s="9">
        <v>-1671</v>
      </c>
    </row>
    <row r="37" spans="2:30" ht="15" customHeight="1" x14ac:dyDescent="0.2">
      <c r="B37" s="36" t="s">
        <v>23</v>
      </c>
      <c r="D37" s="2">
        <v>-1639</v>
      </c>
      <c r="E37" s="2">
        <v>-2901</v>
      </c>
      <c r="F37" s="2">
        <v>3581</v>
      </c>
      <c r="G37" s="2">
        <v>3950</v>
      </c>
      <c r="H37" s="2">
        <v>3007</v>
      </c>
      <c r="I37" s="2">
        <v>4638</v>
      </c>
      <c r="J37" s="2">
        <v>-9574</v>
      </c>
      <c r="K37" s="2">
        <v>2028</v>
      </c>
      <c r="L37" s="2">
        <v>99</v>
      </c>
      <c r="M37" s="2">
        <v>20828</v>
      </c>
      <c r="N37" s="2">
        <v>-5830</v>
      </c>
      <c r="O37" s="2">
        <v>-17335</v>
      </c>
      <c r="P37" s="2">
        <v>22334</v>
      </c>
      <c r="Q37" s="2">
        <v>19997</v>
      </c>
      <c r="R37" s="2">
        <v>49480</v>
      </c>
      <c r="S37" s="2">
        <v>-38654</v>
      </c>
      <c r="T37" s="9">
        <v>-31099</v>
      </c>
      <c r="U37" s="2">
        <v>17292</v>
      </c>
      <c r="V37" s="9">
        <v>-2981</v>
      </c>
      <c r="W37" s="9">
        <v>73783</v>
      </c>
      <c r="X37" s="9">
        <v>-53798</v>
      </c>
      <c r="Y37" s="9">
        <v>-36559</v>
      </c>
      <c r="Z37" s="9">
        <v>28239</v>
      </c>
      <c r="AA37" s="9">
        <f t="shared" si="2"/>
        <v>11665</v>
      </c>
      <c r="AB37" s="9">
        <v>135170</v>
      </c>
      <c r="AC37" s="9">
        <v>-109529</v>
      </c>
      <c r="AD37" s="9">
        <v>-55201</v>
      </c>
    </row>
    <row r="38" spans="2:30" ht="15" customHeight="1" x14ac:dyDescent="0.2">
      <c r="B38" s="36" t="s">
        <v>26</v>
      </c>
      <c r="D38" s="2">
        <v>2970</v>
      </c>
      <c r="E38" s="2">
        <v>3487</v>
      </c>
      <c r="F38" s="2">
        <v>206</v>
      </c>
      <c r="G38" s="2">
        <v>-654</v>
      </c>
      <c r="H38" s="2">
        <v>-1848</v>
      </c>
      <c r="I38" s="2">
        <v>937</v>
      </c>
      <c r="J38" s="2">
        <v>-4253</v>
      </c>
      <c r="K38" s="2">
        <v>1822</v>
      </c>
      <c r="L38" s="2">
        <v>-3342</v>
      </c>
      <c r="M38" s="2">
        <v>-301</v>
      </c>
      <c r="N38" s="2">
        <v>-53</v>
      </c>
      <c r="O38" s="2">
        <v>-26</v>
      </c>
      <c r="P38" s="2">
        <v>112</v>
      </c>
      <c r="Q38" s="2">
        <v>-268</v>
      </c>
      <c r="R38" s="2">
        <v>-58</v>
      </c>
      <c r="S38" s="2">
        <v>-924</v>
      </c>
      <c r="T38" s="9">
        <v>95</v>
      </c>
      <c r="U38" s="2">
        <v>-533</v>
      </c>
      <c r="V38" s="9">
        <v>-1420</v>
      </c>
      <c r="W38" s="9">
        <v>423</v>
      </c>
      <c r="X38" s="9">
        <v>1881</v>
      </c>
      <c r="Y38" s="9">
        <v>-574</v>
      </c>
      <c r="Z38" s="9">
        <v>-7454</v>
      </c>
      <c r="AA38" s="9">
        <f t="shared" si="2"/>
        <v>-5724</v>
      </c>
      <c r="AB38" s="9">
        <v>9424</v>
      </c>
      <c r="AC38" s="9">
        <v>-196</v>
      </c>
      <c r="AD38" s="9">
        <v>-7713</v>
      </c>
    </row>
    <row r="39" spans="2:30" ht="15" customHeight="1" x14ac:dyDescent="0.2">
      <c r="D39" s="2"/>
      <c r="E39" s="2"/>
      <c r="F39" s="2"/>
      <c r="G39" s="2"/>
      <c r="H39" s="2"/>
      <c r="I39" s="2"/>
      <c r="J39" s="2"/>
      <c r="K39" s="2"/>
      <c r="L39" s="2"/>
      <c r="M39" s="2"/>
      <c r="N39" s="2"/>
      <c r="O39" s="2"/>
      <c r="P39" s="2"/>
      <c r="Q39" s="2"/>
      <c r="R39" s="2"/>
      <c r="S39" s="2"/>
      <c r="T39" s="9"/>
      <c r="U39" s="2"/>
      <c r="V39" s="9"/>
      <c r="W39" s="9"/>
      <c r="X39" s="9"/>
      <c r="Y39" s="9"/>
      <c r="Z39" s="9"/>
      <c r="AA39" s="9"/>
      <c r="AB39" s="9"/>
      <c r="AC39" s="9"/>
      <c r="AD39" s="9"/>
    </row>
    <row r="40" spans="2:30" ht="15" customHeight="1" x14ac:dyDescent="0.2">
      <c r="B40" s="7" t="s">
        <v>234</v>
      </c>
      <c r="D40" s="11">
        <f>SUM(D27:D38)</f>
        <v>56282</v>
      </c>
      <c r="E40" s="11">
        <f>SUM(E27:E38)</f>
        <v>21291</v>
      </c>
      <c r="F40" s="11">
        <f>SUM(F27:F38)</f>
        <v>-26943</v>
      </c>
      <c r="G40" s="11">
        <f>SUM(G27:G38)</f>
        <v>79323</v>
      </c>
      <c r="H40" s="11">
        <f>SUM(H27:H38)</f>
        <v>50568</v>
      </c>
      <c r="I40" s="11">
        <f t="shared" ref="I40:Q40" si="3">SUM(I27:I38)</f>
        <v>47742</v>
      </c>
      <c r="J40" s="11">
        <f t="shared" si="3"/>
        <v>29273</v>
      </c>
      <c r="K40" s="11">
        <f t="shared" si="3"/>
        <v>-8820</v>
      </c>
      <c r="L40" s="11">
        <f t="shared" si="3"/>
        <v>118763</v>
      </c>
      <c r="M40" s="11">
        <f t="shared" si="3"/>
        <v>64561</v>
      </c>
      <c r="N40" s="11">
        <f t="shared" si="3"/>
        <v>64626</v>
      </c>
      <c r="O40" s="11">
        <f t="shared" si="3"/>
        <v>37662</v>
      </c>
      <c r="P40" s="11">
        <f>SUM(P27:P38)</f>
        <v>-138865</v>
      </c>
      <c r="Q40" s="11">
        <f t="shared" si="3"/>
        <v>27984</v>
      </c>
      <c r="R40" s="11">
        <f>SUM(R27:R38)</f>
        <v>103729</v>
      </c>
      <c r="S40" s="11">
        <f>SUM(S27:S38)</f>
        <v>89878</v>
      </c>
      <c r="T40" s="11">
        <f t="shared" ref="T40:AD40" si="4">SUM(T27:T39)</f>
        <v>68934</v>
      </c>
      <c r="U40" s="11">
        <f t="shared" si="4"/>
        <v>-49907</v>
      </c>
      <c r="V40" s="11">
        <f t="shared" si="4"/>
        <v>212634</v>
      </c>
      <c r="W40" s="11">
        <f t="shared" si="4"/>
        <v>89228</v>
      </c>
      <c r="X40" s="11">
        <f t="shared" si="4"/>
        <v>113157</v>
      </c>
      <c r="Y40" s="11">
        <f t="shared" si="4"/>
        <v>74137</v>
      </c>
      <c r="Z40" s="11">
        <f t="shared" si="4"/>
        <v>-138356</v>
      </c>
      <c r="AA40" s="11">
        <f t="shared" si="4"/>
        <v>138166</v>
      </c>
      <c r="AB40" s="11">
        <f t="shared" si="4"/>
        <v>102786</v>
      </c>
      <c r="AC40" s="11">
        <f t="shared" si="4"/>
        <v>191562</v>
      </c>
      <c r="AD40" s="11">
        <f t="shared" si="4"/>
        <v>89747</v>
      </c>
    </row>
    <row r="41" spans="2:30" ht="15" customHeight="1" x14ac:dyDescent="0.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2:30" ht="15" customHeight="1" x14ac:dyDescent="0.2">
      <c r="B42" s="36" t="s">
        <v>64</v>
      </c>
      <c r="D42" s="2">
        <v>-15045</v>
      </c>
      <c r="E42" s="2">
        <v>-3280</v>
      </c>
      <c r="F42" s="2">
        <v>-3640</v>
      </c>
      <c r="G42" s="2">
        <v>-16673</v>
      </c>
      <c r="H42" s="2">
        <v>-16340</v>
      </c>
      <c r="I42" s="2">
        <v>-4691</v>
      </c>
      <c r="J42" s="2">
        <v>-4434</v>
      </c>
      <c r="K42" s="2">
        <v>-1174</v>
      </c>
      <c r="L42" s="2">
        <v>-26639</v>
      </c>
      <c r="M42" s="2">
        <v>-18035</v>
      </c>
      <c r="N42" s="2">
        <v>-5175</v>
      </c>
      <c r="O42" s="2">
        <v>-5430</v>
      </c>
      <c r="P42" s="2">
        <v>-6107</v>
      </c>
      <c r="Q42" s="2">
        <v>-34747</v>
      </c>
      <c r="R42" s="2">
        <v>-57543</v>
      </c>
      <c r="S42" s="2">
        <v>-6477</v>
      </c>
      <c r="T42" s="9">
        <v>-26392</v>
      </c>
      <c r="U42" s="2">
        <v>-4641</v>
      </c>
      <c r="V42" s="9">
        <v>-95053</v>
      </c>
      <c r="W42" s="9">
        <v>-46988</v>
      </c>
      <c r="X42" s="9">
        <v>-4529</v>
      </c>
      <c r="Y42" s="9">
        <v>-19167</v>
      </c>
      <c r="Z42" s="9">
        <v>-1880</v>
      </c>
      <c r="AA42" s="9">
        <f>SUM(W42:Z42)</f>
        <v>-72564</v>
      </c>
      <c r="AB42" s="9">
        <v>-42682</v>
      </c>
      <c r="AC42" s="9">
        <v>-4792</v>
      </c>
      <c r="AD42" s="9">
        <v>-3101</v>
      </c>
    </row>
    <row r="43" spans="2:30" ht="15" customHeight="1" x14ac:dyDescent="0.2">
      <c r="B43" s="36" t="s">
        <v>105</v>
      </c>
      <c r="D43" s="2">
        <v>0</v>
      </c>
      <c r="E43" s="2">
        <v>0</v>
      </c>
      <c r="F43" s="2">
        <v>0</v>
      </c>
      <c r="G43" s="2">
        <v>0</v>
      </c>
      <c r="H43" s="2">
        <v>0</v>
      </c>
      <c r="I43" s="2">
        <v>0</v>
      </c>
      <c r="J43" s="2">
        <v>0</v>
      </c>
      <c r="K43" s="2">
        <v>0</v>
      </c>
      <c r="L43" s="2">
        <v>0</v>
      </c>
      <c r="M43" s="2">
        <v>0</v>
      </c>
      <c r="N43" s="2">
        <v>-220</v>
      </c>
      <c r="O43" s="2">
        <v>-177</v>
      </c>
      <c r="P43" s="2">
        <v>-455</v>
      </c>
      <c r="Q43" s="2">
        <v>-852</v>
      </c>
      <c r="R43" s="2">
        <v>-425</v>
      </c>
      <c r="S43" s="2">
        <v>-285</v>
      </c>
      <c r="T43" s="9">
        <v>-476</v>
      </c>
      <c r="U43" s="2">
        <v>-914</v>
      </c>
      <c r="V43" s="9">
        <v>-2100</v>
      </c>
      <c r="W43" s="9">
        <v>-860</v>
      </c>
      <c r="X43" s="9">
        <v>-743</v>
      </c>
      <c r="Y43" s="9">
        <v>-918</v>
      </c>
      <c r="Z43" s="9">
        <v>-773</v>
      </c>
      <c r="AA43" s="9">
        <f>SUM(W43:Z43)</f>
        <v>-3294</v>
      </c>
      <c r="AB43" s="9">
        <v>-1307</v>
      </c>
      <c r="AC43" s="9">
        <v>-1039</v>
      </c>
      <c r="AD43" s="9">
        <v>-1250</v>
      </c>
    </row>
    <row r="44" spans="2:30" ht="15" customHeight="1" x14ac:dyDescent="0.2">
      <c r="B44" s="36" t="s">
        <v>235</v>
      </c>
      <c r="D44" s="2">
        <v>0</v>
      </c>
      <c r="E44" s="2">
        <v>0</v>
      </c>
      <c r="F44" s="2">
        <v>0</v>
      </c>
      <c r="G44" s="2">
        <v>0</v>
      </c>
      <c r="H44" s="2">
        <v>0</v>
      </c>
      <c r="I44" s="2">
        <v>0</v>
      </c>
      <c r="J44" s="2">
        <v>0</v>
      </c>
      <c r="K44" s="2">
        <v>0</v>
      </c>
      <c r="L44" s="2">
        <v>0</v>
      </c>
      <c r="M44" s="2">
        <v>0</v>
      </c>
      <c r="N44" s="2">
        <v>0</v>
      </c>
      <c r="O44" s="2">
        <v>0</v>
      </c>
      <c r="P44" s="2">
        <v>0</v>
      </c>
      <c r="Q44" s="2">
        <v>0</v>
      </c>
      <c r="R44" s="2">
        <v>0</v>
      </c>
      <c r="S44" s="2">
        <v>0</v>
      </c>
      <c r="T44" s="9">
        <v>-47</v>
      </c>
      <c r="U44" s="2">
        <v>-140</v>
      </c>
      <c r="V44" s="9">
        <v>-187</v>
      </c>
      <c r="W44" s="9">
        <v>-4153</v>
      </c>
      <c r="X44" s="9">
        <v>-70</v>
      </c>
      <c r="Y44" s="9">
        <v>-1031</v>
      </c>
      <c r="Z44" s="9">
        <v>-8446</v>
      </c>
      <c r="AA44" s="9">
        <f>SUM(W44:Z44)</f>
        <v>-13700</v>
      </c>
      <c r="AB44" s="9">
        <v>-378</v>
      </c>
      <c r="AC44" s="9">
        <v>-36536</v>
      </c>
      <c r="AD44" s="9">
        <v>-1702</v>
      </c>
    </row>
    <row r="45" spans="2:30" ht="15" customHeight="1" x14ac:dyDescent="0.2">
      <c r="B45" s="36" t="s">
        <v>131</v>
      </c>
      <c r="D45" s="2">
        <v>0</v>
      </c>
      <c r="E45" s="2">
        <v>0</v>
      </c>
      <c r="F45" s="2">
        <v>0</v>
      </c>
      <c r="G45" s="2">
        <v>0</v>
      </c>
      <c r="H45" s="2">
        <v>0</v>
      </c>
      <c r="I45" s="2">
        <v>0</v>
      </c>
      <c r="J45" s="2">
        <v>0</v>
      </c>
      <c r="K45" s="2">
        <v>0</v>
      </c>
      <c r="L45" s="2">
        <v>0</v>
      </c>
      <c r="M45" s="2">
        <v>0</v>
      </c>
      <c r="N45" s="2">
        <v>0</v>
      </c>
      <c r="O45" s="2">
        <v>0</v>
      </c>
      <c r="P45" s="2">
        <v>0</v>
      </c>
      <c r="Q45" s="2">
        <v>0</v>
      </c>
      <c r="R45" s="2">
        <v>0</v>
      </c>
      <c r="S45" s="2">
        <v>0</v>
      </c>
      <c r="T45" s="9">
        <v>-9867</v>
      </c>
      <c r="U45" s="2">
        <v>-3556</v>
      </c>
      <c r="V45" s="9">
        <v>-13423</v>
      </c>
      <c r="W45" s="9">
        <v>-3567</v>
      </c>
      <c r="X45" s="9">
        <v>-4378</v>
      </c>
      <c r="Y45" s="9">
        <v>-5461</v>
      </c>
      <c r="Z45" s="9">
        <v>-6869</v>
      </c>
      <c r="AA45" s="9">
        <f>SUM(W45:Z45)</f>
        <v>-20275</v>
      </c>
      <c r="AB45" s="9">
        <v>-15580</v>
      </c>
      <c r="AC45" s="9">
        <v>-16412</v>
      </c>
      <c r="AD45" s="9">
        <v>-115856</v>
      </c>
    </row>
    <row r="46" spans="2:30" ht="15" customHeight="1" x14ac:dyDescent="0.2">
      <c r="B46" s="36" t="s">
        <v>140</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-9520</v>
      </c>
      <c r="V46" s="9">
        <v>-9520</v>
      </c>
      <c r="W46" s="9">
        <v>0</v>
      </c>
      <c r="X46" s="9">
        <v>-332</v>
      </c>
      <c r="Y46" s="9">
        <v>0</v>
      </c>
      <c r="Z46" s="9">
        <v>-3505</v>
      </c>
      <c r="AA46" s="9">
        <f>SUM(W46:Z46)</f>
        <v>-3837</v>
      </c>
      <c r="AB46" s="9">
        <v>0</v>
      </c>
      <c r="AC46" s="9">
        <v>-70541</v>
      </c>
      <c r="AD46" s="9">
        <v>-146</v>
      </c>
    </row>
    <row r="47" spans="2:30" ht="15" customHeight="1" x14ac:dyDescent="0.2">
      <c r="B47" s="36" t="s">
        <v>248</v>
      </c>
      <c r="D47" s="2">
        <v>0</v>
      </c>
      <c r="E47" s="2">
        <v>0</v>
      </c>
      <c r="F47" s="2">
        <v>0</v>
      </c>
      <c r="G47" s="2">
        <v>0</v>
      </c>
      <c r="H47" s="2">
        <v>0</v>
      </c>
      <c r="I47" s="2">
        <v>0</v>
      </c>
      <c r="J47" s="2">
        <v>0</v>
      </c>
      <c r="K47" s="2">
        <v>0</v>
      </c>
      <c r="L47" s="2">
        <v>0</v>
      </c>
      <c r="M47" s="2">
        <v>0</v>
      </c>
      <c r="N47" s="2">
        <v>0</v>
      </c>
      <c r="O47" s="2">
        <v>0</v>
      </c>
      <c r="P47" s="2">
        <v>0</v>
      </c>
      <c r="Q47" s="2">
        <v>0</v>
      </c>
      <c r="R47" s="2">
        <v>0</v>
      </c>
      <c r="S47" s="2">
        <v>0</v>
      </c>
      <c r="T47" s="2">
        <v>0</v>
      </c>
      <c r="U47" s="2">
        <v>0</v>
      </c>
      <c r="V47" s="2">
        <v>0</v>
      </c>
      <c r="W47" s="2">
        <v>0</v>
      </c>
      <c r="X47" s="2">
        <v>0</v>
      </c>
      <c r="Y47" s="2">
        <v>0</v>
      </c>
      <c r="Z47" s="2">
        <v>0</v>
      </c>
      <c r="AA47" s="2">
        <v>0</v>
      </c>
      <c r="AB47" s="2">
        <v>0</v>
      </c>
      <c r="AC47" s="9">
        <v>-75578</v>
      </c>
      <c r="AD47" s="9">
        <v>0</v>
      </c>
    </row>
    <row r="48" spans="2:30" ht="15" customHeight="1" x14ac:dyDescent="0.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2:30" s="7" customFormat="1" ht="15" customHeight="1" x14ac:dyDescent="0.2">
      <c r="B49" s="7" t="s">
        <v>106</v>
      </c>
      <c r="D49" s="10">
        <f t="shared" ref="D49:Y49" si="5">SUM(D40:D48)</f>
        <v>41237</v>
      </c>
      <c r="E49" s="10">
        <f t="shared" si="5"/>
        <v>18011</v>
      </c>
      <c r="F49" s="10">
        <f t="shared" si="5"/>
        <v>-30583</v>
      </c>
      <c r="G49" s="10">
        <f t="shared" si="5"/>
        <v>62650</v>
      </c>
      <c r="H49" s="10">
        <f t="shared" si="5"/>
        <v>34228</v>
      </c>
      <c r="I49" s="10">
        <f t="shared" si="5"/>
        <v>43051</v>
      </c>
      <c r="J49" s="10">
        <f t="shared" si="5"/>
        <v>24839</v>
      </c>
      <c r="K49" s="10">
        <f t="shared" si="5"/>
        <v>-9994</v>
      </c>
      <c r="L49" s="10">
        <f t="shared" si="5"/>
        <v>92124</v>
      </c>
      <c r="M49" s="10">
        <f t="shared" si="5"/>
        <v>46526</v>
      </c>
      <c r="N49" s="10">
        <f t="shared" si="5"/>
        <v>59231</v>
      </c>
      <c r="O49" s="10">
        <f t="shared" si="5"/>
        <v>32055</v>
      </c>
      <c r="P49" s="10">
        <f t="shared" si="5"/>
        <v>-145427</v>
      </c>
      <c r="Q49" s="10">
        <f t="shared" si="5"/>
        <v>-7615</v>
      </c>
      <c r="R49" s="10">
        <f t="shared" si="5"/>
        <v>45761</v>
      </c>
      <c r="S49" s="10">
        <f t="shared" si="5"/>
        <v>83116</v>
      </c>
      <c r="T49" s="10">
        <f t="shared" si="5"/>
        <v>32152</v>
      </c>
      <c r="U49" s="10">
        <f t="shared" si="5"/>
        <v>-68678</v>
      </c>
      <c r="V49" s="10">
        <f t="shared" si="5"/>
        <v>92351</v>
      </c>
      <c r="W49" s="10">
        <f t="shared" si="5"/>
        <v>33660</v>
      </c>
      <c r="X49" s="10">
        <f t="shared" si="5"/>
        <v>103105</v>
      </c>
      <c r="Y49" s="10">
        <f t="shared" si="5"/>
        <v>47560</v>
      </c>
      <c r="Z49" s="10">
        <f>SUM(Z40:Z48)</f>
        <v>-159829</v>
      </c>
      <c r="AA49" s="10">
        <f>SUM(AA40:AA48)</f>
        <v>24496</v>
      </c>
      <c r="AB49" s="10">
        <f>SUM(AB40:AB48)</f>
        <v>42839</v>
      </c>
      <c r="AC49" s="10">
        <f>SUM(AC40:AC48)</f>
        <v>-13336</v>
      </c>
      <c r="AD49" s="10">
        <f>SUM(AD40:AD48)</f>
        <v>-32308</v>
      </c>
    </row>
    <row r="50" spans="2:30" ht="15" customHeight="1" x14ac:dyDescent="0.2">
      <c r="D50" s="2"/>
      <c r="E50" s="2"/>
      <c r="F50" s="2"/>
      <c r="G50" s="2"/>
      <c r="H50" s="2"/>
      <c r="I50" s="2"/>
      <c r="J50" s="2"/>
      <c r="K50" s="2"/>
      <c r="L50" s="2"/>
      <c r="M50" s="2"/>
      <c r="N50" s="2"/>
      <c r="O50" s="2"/>
      <c r="P50" s="2"/>
      <c r="Q50" s="2"/>
      <c r="R50" s="2"/>
      <c r="S50" s="2"/>
      <c r="T50" s="9"/>
      <c r="U50" s="2"/>
      <c r="V50" s="9"/>
      <c r="W50" s="9"/>
      <c r="X50" s="9"/>
      <c r="Y50" s="9"/>
      <c r="Z50" s="9"/>
      <c r="AA50" s="9"/>
      <c r="AB50" s="9"/>
      <c r="AC50" s="9"/>
      <c r="AD50" s="9"/>
    </row>
    <row r="51" spans="2:30" ht="15" customHeight="1" x14ac:dyDescent="0.2">
      <c r="B51" s="7" t="s">
        <v>65</v>
      </c>
      <c r="D51" s="2"/>
      <c r="E51" s="2"/>
      <c r="F51" s="2"/>
      <c r="G51" s="2"/>
      <c r="H51" s="2"/>
      <c r="I51" s="2"/>
      <c r="J51" s="2"/>
      <c r="K51" s="2"/>
      <c r="L51" s="2"/>
      <c r="M51" s="2"/>
      <c r="N51" s="2"/>
      <c r="O51" s="2"/>
      <c r="P51" s="2"/>
      <c r="Q51" s="2"/>
      <c r="R51" s="2"/>
      <c r="S51" s="2"/>
      <c r="T51" s="9"/>
      <c r="U51" s="2"/>
      <c r="V51" s="9"/>
      <c r="W51" s="9"/>
      <c r="X51" s="9"/>
      <c r="Y51" s="9"/>
      <c r="Z51" s="9"/>
      <c r="AA51" s="9"/>
      <c r="AB51" s="9"/>
      <c r="AC51" s="9"/>
      <c r="AD51" s="9"/>
    </row>
    <row r="52" spans="2:30" ht="15" customHeight="1" x14ac:dyDescent="0.2">
      <c r="B52" s="28" t="s">
        <v>236</v>
      </c>
      <c r="D52" s="2">
        <v>-1591</v>
      </c>
      <c r="E52" s="2">
        <v>-1062</v>
      </c>
      <c r="F52" s="2">
        <v>-1419</v>
      </c>
      <c r="G52" s="2">
        <v>-5314</v>
      </c>
      <c r="H52" s="2">
        <v>-930</v>
      </c>
      <c r="I52" s="2">
        <v>-1228</v>
      </c>
      <c r="J52" s="2">
        <v>-1889</v>
      </c>
      <c r="K52" s="2">
        <v>-2807</v>
      </c>
      <c r="L52" s="2">
        <v>-6854</v>
      </c>
      <c r="M52" s="2">
        <v>-2793</v>
      </c>
      <c r="N52" s="2">
        <v>-3036</v>
      </c>
      <c r="O52" s="2">
        <v>-1780</v>
      </c>
      <c r="P52" s="2">
        <v>-3382</v>
      </c>
      <c r="Q52" s="2">
        <v>-10991</v>
      </c>
      <c r="R52" s="2">
        <v>-2377</v>
      </c>
      <c r="S52" s="2">
        <v>-1665</v>
      </c>
      <c r="T52" s="9">
        <v>-1621</v>
      </c>
      <c r="U52" s="2">
        <v>-5159</v>
      </c>
      <c r="V52" s="9">
        <v>-10822</v>
      </c>
      <c r="W52" s="9">
        <v>-2998</v>
      </c>
      <c r="X52" s="9">
        <v>-2534</v>
      </c>
      <c r="Y52" s="9">
        <v>-4010</v>
      </c>
      <c r="Z52" s="9">
        <v>-50536</v>
      </c>
      <c r="AA52" s="9">
        <f t="shared" ref="AA52:AA59" si="6">SUM(W52:Z52)</f>
        <v>-60078</v>
      </c>
      <c r="AB52" s="9">
        <v>-6672</v>
      </c>
      <c r="AC52" s="9">
        <v>-1726</v>
      </c>
      <c r="AD52" s="9">
        <v>-3925</v>
      </c>
    </row>
    <row r="53" spans="2:30" ht="15" customHeight="1" x14ac:dyDescent="0.2">
      <c r="B53" s="28" t="s">
        <v>132</v>
      </c>
      <c r="D53" s="2">
        <v>-7300</v>
      </c>
      <c r="E53" s="2">
        <v>0</v>
      </c>
      <c r="F53" s="2">
        <v>-7700</v>
      </c>
      <c r="G53" s="2">
        <v>-19900</v>
      </c>
      <c r="H53" s="2">
        <v>0</v>
      </c>
      <c r="I53" s="2">
        <v>0</v>
      </c>
      <c r="J53" s="2">
        <v>-2000</v>
      </c>
      <c r="K53" s="2">
        <v>0</v>
      </c>
      <c r="L53" s="2">
        <v>-2000</v>
      </c>
      <c r="M53" s="2">
        <v>0</v>
      </c>
      <c r="N53" s="2">
        <v>-4200</v>
      </c>
      <c r="O53" s="2">
        <v>-1218</v>
      </c>
      <c r="P53" s="2">
        <v>-36435</v>
      </c>
      <c r="Q53" s="2">
        <v>-41853</v>
      </c>
      <c r="R53" s="2">
        <v>-12675</v>
      </c>
      <c r="S53" s="2">
        <v>0</v>
      </c>
      <c r="T53" s="9">
        <v>-19953</v>
      </c>
      <c r="U53" s="2">
        <v>0</v>
      </c>
      <c r="V53" s="9">
        <v>-32628</v>
      </c>
      <c r="W53" s="9">
        <v>-25027</v>
      </c>
      <c r="X53" s="9">
        <v>-48195</v>
      </c>
      <c r="Y53" s="9">
        <v>-53538</v>
      </c>
      <c r="Z53" s="9">
        <v>1487</v>
      </c>
      <c r="AA53" s="9">
        <f t="shared" si="6"/>
        <v>-125273</v>
      </c>
      <c r="AB53" s="9">
        <v>-18</v>
      </c>
      <c r="AC53" s="9">
        <v>0</v>
      </c>
      <c r="AD53" s="9">
        <v>-14</v>
      </c>
    </row>
    <row r="54" spans="2:30" ht="15" customHeight="1" x14ac:dyDescent="0.2">
      <c r="B54" s="28" t="s">
        <v>237</v>
      </c>
      <c r="D54" s="2">
        <v>-32657</v>
      </c>
      <c r="E54" s="2">
        <v>-29036</v>
      </c>
      <c r="F54" s="2">
        <v>0</v>
      </c>
      <c r="G54" s="2">
        <v>-28347</v>
      </c>
      <c r="H54" s="2">
        <v>0</v>
      </c>
      <c r="I54" s="2">
        <v>0</v>
      </c>
      <c r="J54" s="2">
        <v>0</v>
      </c>
      <c r="K54" s="2">
        <v>0</v>
      </c>
      <c r="L54" s="2">
        <v>0</v>
      </c>
      <c r="M54" s="2">
        <v>0</v>
      </c>
      <c r="N54" s="2">
        <v>-16137</v>
      </c>
      <c r="O54" s="2">
        <v>0</v>
      </c>
      <c r="P54" s="2">
        <v>-782748</v>
      </c>
      <c r="Q54" s="2">
        <v>-798885</v>
      </c>
      <c r="R54" s="2">
        <v>0</v>
      </c>
      <c r="S54" s="2">
        <v>0</v>
      </c>
      <c r="T54" s="9">
        <v>-22002</v>
      </c>
      <c r="U54" s="2">
        <v>-182284</v>
      </c>
      <c r="V54" s="9">
        <v>-204286</v>
      </c>
      <c r="W54" s="9">
        <v>-15217</v>
      </c>
      <c r="X54" s="9">
        <v>0</v>
      </c>
      <c r="Y54" s="9">
        <v>-15839</v>
      </c>
      <c r="Z54" s="9">
        <v>-764849</v>
      </c>
      <c r="AA54" s="9">
        <f t="shared" si="6"/>
        <v>-795905</v>
      </c>
      <c r="AB54" s="9">
        <v>0</v>
      </c>
      <c r="AC54" s="9">
        <v>0</v>
      </c>
      <c r="AD54" s="9">
        <v>0</v>
      </c>
    </row>
    <row r="55" spans="2:30" ht="15" customHeight="1" x14ac:dyDescent="0.2">
      <c r="B55" s="28" t="s">
        <v>238</v>
      </c>
      <c r="D55" s="2">
        <v>0</v>
      </c>
      <c r="E55" s="2">
        <v>0</v>
      </c>
      <c r="F55" s="2">
        <v>0</v>
      </c>
      <c r="G55" s="2">
        <v>0</v>
      </c>
      <c r="H55" s="2">
        <v>-8045</v>
      </c>
      <c r="I55" s="2">
        <v>-5775</v>
      </c>
      <c r="J55" s="2">
        <v>0</v>
      </c>
      <c r="K55" s="2">
        <v>-936</v>
      </c>
      <c r="L55" s="2">
        <v>-14756</v>
      </c>
      <c r="M55" s="2">
        <v>0</v>
      </c>
      <c r="N55" s="2">
        <v>0</v>
      </c>
      <c r="O55" s="2">
        <v>0</v>
      </c>
      <c r="P55" s="2">
        <v>0</v>
      </c>
      <c r="Q55" s="2">
        <v>0</v>
      </c>
      <c r="R55" s="2">
        <v>0</v>
      </c>
      <c r="S55" s="2">
        <v>0</v>
      </c>
      <c r="T55" s="9">
        <v>0</v>
      </c>
      <c r="U55" s="2">
        <v>0</v>
      </c>
      <c r="V55" s="9">
        <v>0</v>
      </c>
      <c r="W55" s="9">
        <v>0</v>
      </c>
      <c r="X55" s="9">
        <v>-92836</v>
      </c>
      <c r="Y55" s="9">
        <v>-8449</v>
      </c>
      <c r="Z55" s="9">
        <v>-1</v>
      </c>
      <c r="AA55" s="9">
        <f t="shared" si="6"/>
        <v>-101286</v>
      </c>
      <c r="AB55" s="9">
        <v>0</v>
      </c>
      <c r="AC55" s="9">
        <v>0</v>
      </c>
      <c r="AD55" s="9">
        <v>-1270</v>
      </c>
    </row>
    <row r="56" spans="2:30" ht="15" customHeight="1" x14ac:dyDescent="0.2">
      <c r="B56" s="28" t="s">
        <v>66</v>
      </c>
      <c r="D56" s="2">
        <v>-5563</v>
      </c>
      <c r="E56" s="2">
        <v>-2786</v>
      </c>
      <c r="F56" s="2">
        <v>-1437</v>
      </c>
      <c r="G56" s="2">
        <v>-6047</v>
      </c>
      <c r="H56" s="2">
        <v>-1855</v>
      </c>
      <c r="I56" s="2">
        <v>-3056</v>
      </c>
      <c r="J56" s="2">
        <v>-4937</v>
      </c>
      <c r="K56" s="2">
        <v>-19555</v>
      </c>
      <c r="L56" s="2">
        <v>-29403</v>
      </c>
      <c r="M56" s="2">
        <v>-11492</v>
      </c>
      <c r="N56" s="2">
        <v>-6887</v>
      </c>
      <c r="O56" s="2">
        <v>-7982</v>
      </c>
      <c r="P56" s="2">
        <v>-16741</v>
      </c>
      <c r="Q56" s="2">
        <v>-43102</v>
      </c>
      <c r="R56" s="2">
        <v>-17059</v>
      </c>
      <c r="S56" s="2">
        <v>-22421</v>
      </c>
      <c r="T56" s="9">
        <v>-23589</v>
      </c>
      <c r="U56" s="2">
        <v>-33758</v>
      </c>
      <c r="V56" s="9">
        <v>-96827</v>
      </c>
      <c r="W56" s="9">
        <v>-32701</v>
      </c>
      <c r="X56" s="9">
        <v>-36842</v>
      </c>
      <c r="Y56" s="9">
        <v>-35190</v>
      </c>
      <c r="Z56" s="9">
        <v>-46585</v>
      </c>
      <c r="AA56" s="9">
        <f t="shared" si="6"/>
        <v>-151318</v>
      </c>
      <c r="AB56" s="9">
        <v>-45812</v>
      </c>
      <c r="AC56" s="9">
        <v>-50241</v>
      </c>
      <c r="AD56" s="9">
        <v>-26976</v>
      </c>
    </row>
    <row r="57" spans="2:30" ht="15" customHeight="1" x14ac:dyDescent="0.2">
      <c r="B57" s="28" t="s">
        <v>67</v>
      </c>
      <c r="D57" s="2">
        <v>-2900</v>
      </c>
      <c r="E57" s="2">
        <v>0</v>
      </c>
      <c r="F57" s="2">
        <v>0</v>
      </c>
      <c r="G57" s="2">
        <v>0</v>
      </c>
      <c r="H57" s="2">
        <v>0</v>
      </c>
      <c r="I57" s="2">
        <v>0</v>
      </c>
      <c r="J57" s="2">
        <v>0</v>
      </c>
      <c r="K57" s="2">
        <v>0</v>
      </c>
      <c r="L57" s="2">
        <v>0</v>
      </c>
      <c r="M57" s="2">
        <v>0</v>
      </c>
      <c r="N57" s="2">
        <v>0</v>
      </c>
      <c r="O57" s="2">
        <v>0</v>
      </c>
      <c r="P57" s="2">
        <v>0</v>
      </c>
      <c r="Q57" s="2">
        <v>0</v>
      </c>
      <c r="R57" s="2">
        <v>0</v>
      </c>
      <c r="S57" s="2">
        <v>0</v>
      </c>
      <c r="T57" s="9">
        <v>0</v>
      </c>
      <c r="U57" s="2">
        <v>0</v>
      </c>
      <c r="V57" s="2">
        <v>0</v>
      </c>
      <c r="W57" s="2">
        <v>0</v>
      </c>
      <c r="X57" s="2">
        <v>0</v>
      </c>
      <c r="Y57" s="9">
        <v>0</v>
      </c>
      <c r="Z57" s="9">
        <v>0</v>
      </c>
      <c r="AA57" s="2">
        <f t="shared" si="6"/>
        <v>0</v>
      </c>
      <c r="AB57" s="2">
        <v>0</v>
      </c>
      <c r="AC57" s="2">
        <v>0</v>
      </c>
      <c r="AD57" s="2">
        <v>0</v>
      </c>
    </row>
    <row r="58" spans="2:30" ht="15" customHeight="1" x14ac:dyDescent="0.2">
      <c r="B58" s="28" t="s">
        <v>239</v>
      </c>
      <c r="D58" s="2">
        <v>25797</v>
      </c>
      <c r="E58" s="2">
        <v>13659</v>
      </c>
      <c r="F58" s="2">
        <v>29214</v>
      </c>
      <c r="G58" s="2">
        <v>-17361</v>
      </c>
      <c r="H58" s="2">
        <v>-20286</v>
      </c>
      <c r="I58" s="2">
        <v>53756</v>
      </c>
      <c r="J58" s="2">
        <v>-4948</v>
      </c>
      <c r="K58" s="2">
        <v>-756473</v>
      </c>
      <c r="L58" s="2">
        <v>-727951</v>
      </c>
      <c r="M58" s="2">
        <v>-26291</v>
      </c>
      <c r="N58" s="2">
        <v>-36238</v>
      </c>
      <c r="O58" s="2">
        <v>-25903</v>
      </c>
      <c r="P58" s="2">
        <v>365821</v>
      </c>
      <c r="Q58" s="2">
        <v>277389</v>
      </c>
      <c r="R58" s="2">
        <v>-183176</v>
      </c>
      <c r="S58" s="2">
        <v>60774</v>
      </c>
      <c r="T58" s="9">
        <v>-199739</v>
      </c>
      <c r="U58" s="2">
        <v>192028</v>
      </c>
      <c r="V58" s="9">
        <v>-130113</v>
      </c>
      <c r="W58" s="9">
        <v>55117</v>
      </c>
      <c r="X58" s="9">
        <v>97818</v>
      </c>
      <c r="Y58" s="2">
        <v>213374</v>
      </c>
      <c r="Z58" s="9">
        <v>-631441</v>
      </c>
      <c r="AA58" s="9">
        <f t="shared" si="6"/>
        <v>-265132</v>
      </c>
      <c r="AB58" s="9">
        <v>258705</v>
      </c>
      <c r="AC58" s="2">
        <v>382188</v>
      </c>
      <c r="AD58" s="2">
        <v>-264243</v>
      </c>
    </row>
    <row r="59" spans="2:30" ht="15" customHeight="1" x14ac:dyDescent="0.2">
      <c r="B59" s="28" t="s">
        <v>8</v>
      </c>
      <c r="D59" s="3">
        <v>-707</v>
      </c>
      <c r="E59" s="3">
        <v>0</v>
      </c>
      <c r="F59" s="3">
        <v>0</v>
      </c>
      <c r="G59" s="3">
        <v>-300</v>
      </c>
      <c r="H59" s="3">
        <v>0</v>
      </c>
      <c r="I59" s="3">
        <v>0</v>
      </c>
      <c r="J59" s="3">
        <v>0</v>
      </c>
      <c r="K59" s="3">
        <v>0</v>
      </c>
      <c r="L59" s="3">
        <v>0</v>
      </c>
      <c r="M59" s="3">
        <v>-14000</v>
      </c>
      <c r="N59" s="3">
        <v>0</v>
      </c>
      <c r="O59" s="3">
        <v>0</v>
      </c>
      <c r="P59" s="3">
        <v>0</v>
      </c>
      <c r="Q59" s="3">
        <v>-14000</v>
      </c>
      <c r="R59" s="3">
        <v>0</v>
      </c>
      <c r="S59" s="3">
        <v>0</v>
      </c>
      <c r="T59" s="3">
        <v>0</v>
      </c>
      <c r="U59" s="3">
        <v>-5000</v>
      </c>
      <c r="V59" s="3">
        <v>-5000</v>
      </c>
      <c r="W59" s="3">
        <v>0</v>
      </c>
      <c r="X59" s="3">
        <v>0</v>
      </c>
      <c r="Y59" s="3">
        <v>0</v>
      </c>
      <c r="Z59" s="3">
        <v>5000</v>
      </c>
      <c r="AA59" s="3">
        <f t="shared" si="6"/>
        <v>5000</v>
      </c>
      <c r="AB59" s="3">
        <v>0</v>
      </c>
      <c r="AC59" s="3">
        <v>-4812</v>
      </c>
      <c r="AD59" s="3">
        <v>1</v>
      </c>
    </row>
    <row r="60" spans="2:30" ht="15" customHeight="1" x14ac:dyDescent="0.2">
      <c r="D60" s="2"/>
      <c r="E60" s="2"/>
      <c r="F60" s="2"/>
      <c r="G60" s="2"/>
      <c r="H60" s="2"/>
      <c r="I60" s="2"/>
      <c r="J60" s="2"/>
      <c r="K60" s="2"/>
      <c r="L60" s="2"/>
      <c r="M60" s="2"/>
      <c r="N60" s="2"/>
      <c r="O60" s="2"/>
      <c r="P60" s="2"/>
      <c r="Q60" s="2"/>
      <c r="R60" s="2"/>
      <c r="S60" s="2"/>
      <c r="T60" s="9"/>
      <c r="U60" s="2"/>
      <c r="V60" s="9"/>
      <c r="W60" s="9"/>
      <c r="X60" s="9"/>
      <c r="Y60" s="9"/>
      <c r="Z60" s="9"/>
      <c r="AA60" s="9"/>
      <c r="AB60" s="9"/>
      <c r="AC60" s="9"/>
      <c r="AD60" s="9"/>
    </row>
    <row r="61" spans="2:30" s="7" customFormat="1" ht="15" customHeight="1" x14ac:dyDescent="0.2">
      <c r="B61" s="7" t="s">
        <v>68</v>
      </c>
      <c r="D61" s="10">
        <f t="shared" ref="D61:S61" si="7">SUM(D52:D59)</f>
        <v>-24921</v>
      </c>
      <c r="E61" s="10">
        <f t="shared" si="7"/>
        <v>-19225</v>
      </c>
      <c r="F61" s="10">
        <f t="shared" si="7"/>
        <v>18658</v>
      </c>
      <c r="G61" s="10">
        <f t="shared" si="7"/>
        <v>-77269</v>
      </c>
      <c r="H61" s="10">
        <f t="shared" si="7"/>
        <v>-31116</v>
      </c>
      <c r="I61" s="10">
        <f t="shared" si="7"/>
        <v>43697</v>
      </c>
      <c r="J61" s="10">
        <f t="shared" si="7"/>
        <v>-13774</v>
      </c>
      <c r="K61" s="10">
        <f t="shared" si="7"/>
        <v>-779771</v>
      </c>
      <c r="L61" s="10">
        <f t="shared" si="7"/>
        <v>-780964</v>
      </c>
      <c r="M61" s="10">
        <f t="shared" si="7"/>
        <v>-54576</v>
      </c>
      <c r="N61" s="10">
        <f t="shared" si="7"/>
        <v>-66498</v>
      </c>
      <c r="O61" s="10">
        <f t="shared" si="7"/>
        <v>-36883</v>
      </c>
      <c r="P61" s="10">
        <f t="shared" si="7"/>
        <v>-473485</v>
      </c>
      <c r="Q61" s="10">
        <f t="shared" si="7"/>
        <v>-631442</v>
      </c>
      <c r="R61" s="10">
        <f t="shared" si="7"/>
        <v>-215287</v>
      </c>
      <c r="S61" s="10">
        <f t="shared" si="7"/>
        <v>36688</v>
      </c>
      <c r="T61" s="10">
        <f t="shared" ref="T61:Y61" si="8">SUM(T52:T60)</f>
        <v>-266904</v>
      </c>
      <c r="U61" s="10">
        <f t="shared" si="8"/>
        <v>-34173</v>
      </c>
      <c r="V61" s="10">
        <f t="shared" si="8"/>
        <v>-479676</v>
      </c>
      <c r="W61" s="10">
        <f t="shared" si="8"/>
        <v>-20826</v>
      </c>
      <c r="X61" s="10">
        <f t="shared" si="8"/>
        <v>-82589</v>
      </c>
      <c r="Y61" s="10">
        <f t="shared" si="8"/>
        <v>96348</v>
      </c>
      <c r="Z61" s="10">
        <f>SUM(Z52:Z60)</f>
        <v>-1486925</v>
      </c>
      <c r="AA61" s="10">
        <f>SUM(AA52:AA60)</f>
        <v>-1493992</v>
      </c>
      <c r="AB61" s="10">
        <f>SUM(AB52:AB60)</f>
        <v>206203</v>
      </c>
      <c r="AC61" s="10">
        <f>SUM(AC52:AC60)</f>
        <v>325409</v>
      </c>
      <c r="AD61" s="10">
        <f>SUM(AD52:AD60)</f>
        <v>-296427</v>
      </c>
    </row>
    <row r="62" spans="2:30" ht="15" customHeight="1" x14ac:dyDescent="0.2">
      <c r="D62" s="2"/>
      <c r="E62" s="2"/>
      <c r="F62" s="2"/>
      <c r="G62" s="2"/>
      <c r="H62" s="2"/>
      <c r="I62" s="2"/>
      <c r="J62" s="2"/>
      <c r="K62" s="2"/>
      <c r="L62" s="2"/>
      <c r="M62" s="2"/>
      <c r="N62" s="2"/>
      <c r="O62" s="2"/>
      <c r="P62" s="2"/>
      <c r="Q62" s="2"/>
      <c r="R62" s="2"/>
      <c r="S62" s="2"/>
      <c r="T62" s="9"/>
      <c r="U62" s="2"/>
      <c r="V62" s="9"/>
      <c r="W62" s="9"/>
      <c r="X62" s="9"/>
      <c r="Y62" s="9"/>
      <c r="Z62" s="9"/>
      <c r="AA62" s="9"/>
      <c r="AB62" s="9"/>
      <c r="AC62" s="9"/>
      <c r="AD62" s="9"/>
    </row>
    <row r="63" spans="2:30" ht="15" customHeight="1" x14ac:dyDescent="0.2">
      <c r="B63" s="7" t="s">
        <v>69</v>
      </c>
      <c r="D63" s="2"/>
      <c r="E63" s="2"/>
      <c r="F63" s="2"/>
      <c r="G63" s="2"/>
      <c r="H63" s="2"/>
      <c r="I63" s="2"/>
      <c r="J63" s="2"/>
      <c r="K63" s="2"/>
      <c r="L63" s="2"/>
      <c r="M63" s="2"/>
      <c r="N63" s="2"/>
      <c r="O63" s="2"/>
      <c r="P63" s="2"/>
      <c r="Q63" s="2"/>
      <c r="R63" s="2"/>
      <c r="S63" s="2"/>
      <c r="T63" s="9"/>
      <c r="U63" s="2"/>
      <c r="V63" s="9"/>
      <c r="W63" s="9"/>
      <c r="X63" s="9"/>
      <c r="Y63" s="9"/>
      <c r="Z63" s="9"/>
      <c r="AA63" s="9"/>
      <c r="AB63" s="9"/>
      <c r="AC63" s="9"/>
      <c r="AD63" s="9"/>
    </row>
    <row r="64" spans="2:30" ht="15" customHeight="1" x14ac:dyDescent="0.2">
      <c r="B64" s="28" t="s">
        <v>70</v>
      </c>
      <c r="D64" s="2">
        <v>0</v>
      </c>
      <c r="E64" s="2">
        <v>86148</v>
      </c>
      <c r="F64" s="2">
        <v>0</v>
      </c>
      <c r="G64" s="2">
        <v>86148</v>
      </c>
      <c r="H64" s="2">
        <v>0</v>
      </c>
      <c r="I64" s="2">
        <v>0</v>
      </c>
      <c r="J64" s="2">
        <v>3091</v>
      </c>
      <c r="K64" s="2">
        <v>0</v>
      </c>
      <c r="L64" s="2">
        <v>3091</v>
      </c>
      <c r="M64" s="2">
        <v>1218</v>
      </c>
      <c r="N64" s="2">
        <v>12611</v>
      </c>
      <c r="O64" s="2">
        <v>0</v>
      </c>
      <c r="P64" s="12">
        <v>1</v>
      </c>
      <c r="Q64" s="2">
        <v>13830</v>
      </c>
      <c r="R64" s="2">
        <v>0</v>
      </c>
      <c r="S64" s="2">
        <v>0</v>
      </c>
      <c r="T64" s="9">
        <v>0</v>
      </c>
      <c r="U64" s="2">
        <v>0</v>
      </c>
      <c r="V64" s="9">
        <v>0</v>
      </c>
      <c r="W64" s="2">
        <v>0</v>
      </c>
      <c r="X64" s="2">
        <v>0</v>
      </c>
      <c r="Y64" s="9">
        <v>0</v>
      </c>
      <c r="Z64" s="9">
        <v>0</v>
      </c>
      <c r="AA64" s="9">
        <f t="shared" ref="AA64:AA76" si="9">SUM(W64:Z64)</f>
        <v>0</v>
      </c>
      <c r="AB64" s="9">
        <v>0</v>
      </c>
      <c r="AC64" s="9">
        <v>0</v>
      </c>
      <c r="AD64" s="9">
        <v>0</v>
      </c>
    </row>
    <row r="65" spans="2:30" ht="15" customHeight="1" x14ac:dyDescent="0.2">
      <c r="B65" s="28" t="s">
        <v>107</v>
      </c>
      <c r="D65" s="2">
        <v>0</v>
      </c>
      <c r="E65" s="2">
        <v>0</v>
      </c>
      <c r="F65" s="2">
        <v>0</v>
      </c>
      <c r="G65" s="2">
        <v>0</v>
      </c>
      <c r="H65" s="2">
        <v>0</v>
      </c>
      <c r="I65" s="2">
        <v>0</v>
      </c>
      <c r="J65" s="2">
        <v>895182</v>
      </c>
      <c r="K65" s="2">
        <v>0</v>
      </c>
      <c r="L65" s="2">
        <v>895182</v>
      </c>
      <c r="M65" s="2">
        <v>0</v>
      </c>
      <c r="N65" s="2">
        <v>0</v>
      </c>
      <c r="O65" s="2">
        <v>0</v>
      </c>
      <c r="P65" s="2">
        <v>589602</v>
      </c>
      <c r="Q65" s="2">
        <v>589602</v>
      </c>
      <c r="R65" s="2">
        <v>0</v>
      </c>
      <c r="S65" s="2">
        <v>0</v>
      </c>
      <c r="T65" s="9">
        <v>591898</v>
      </c>
      <c r="U65" s="2">
        <v>0</v>
      </c>
      <c r="V65" s="9">
        <v>591898</v>
      </c>
      <c r="W65" s="2">
        <v>0</v>
      </c>
      <c r="X65" s="2">
        <v>0</v>
      </c>
      <c r="Y65" s="9">
        <v>0</v>
      </c>
      <c r="Z65" s="9">
        <v>0</v>
      </c>
      <c r="AA65" s="9">
        <f t="shared" si="9"/>
        <v>0</v>
      </c>
      <c r="AB65" s="9">
        <v>0</v>
      </c>
      <c r="AC65" s="9">
        <v>0</v>
      </c>
      <c r="AD65" s="9">
        <v>0</v>
      </c>
    </row>
    <row r="66" spans="2:30" ht="15" customHeight="1" x14ac:dyDescent="0.2">
      <c r="B66" s="28" t="s">
        <v>108</v>
      </c>
      <c r="D66" s="2">
        <v>0</v>
      </c>
      <c r="E66" s="2">
        <v>0</v>
      </c>
      <c r="F66" s="2">
        <v>0</v>
      </c>
      <c r="G66" s="2">
        <v>0</v>
      </c>
      <c r="H66" s="2">
        <v>0</v>
      </c>
      <c r="I66" s="2">
        <v>0</v>
      </c>
      <c r="J66" s="2">
        <v>-65577</v>
      </c>
      <c r="K66" s="2">
        <v>-12954</v>
      </c>
      <c r="L66" s="2">
        <v>-78531</v>
      </c>
      <c r="M66" s="2">
        <v>-673</v>
      </c>
      <c r="N66" s="2">
        <v>0</v>
      </c>
      <c r="O66" s="2">
        <v>0</v>
      </c>
      <c r="P66" s="2">
        <v>-18224</v>
      </c>
      <c r="Q66" s="2">
        <v>-18897</v>
      </c>
      <c r="R66" s="2">
        <v>0</v>
      </c>
      <c r="S66" s="2">
        <v>0</v>
      </c>
      <c r="T66" s="9">
        <v>-17531</v>
      </c>
      <c r="U66" s="2">
        <v>1240</v>
      </c>
      <c r="V66" s="9">
        <v>-16291</v>
      </c>
      <c r="W66" s="2">
        <v>0</v>
      </c>
      <c r="X66" s="2">
        <v>0</v>
      </c>
      <c r="Y66" s="9">
        <v>0</v>
      </c>
      <c r="Z66" s="9">
        <v>0</v>
      </c>
      <c r="AA66" s="9">
        <f t="shared" si="9"/>
        <v>0</v>
      </c>
      <c r="AB66" s="9">
        <v>0</v>
      </c>
      <c r="AC66" s="9">
        <v>0</v>
      </c>
      <c r="AD66" s="9">
        <v>0</v>
      </c>
    </row>
    <row r="67" spans="2:30" ht="15" customHeight="1" x14ac:dyDescent="0.2">
      <c r="B67" s="28" t="s">
        <v>71</v>
      </c>
      <c r="D67" s="2">
        <v>-13487</v>
      </c>
      <c r="E67" s="2">
        <v>-75053</v>
      </c>
      <c r="F67" s="2">
        <v>0</v>
      </c>
      <c r="G67" s="2">
        <v>-75053</v>
      </c>
      <c r="H67" s="2">
        <v>0</v>
      </c>
      <c r="I67" s="2">
        <v>-85050</v>
      </c>
      <c r="J67" s="2">
        <v>50</v>
      </c>
      <c r="K67" s="2">
        <v>0</v>
      </c>
      <c r="L67" s="2">
        <v>-85000</v>
      </c>
      <c r="M67" s="2">
        <v>0</v>
      </c>
      <c r="N67" s="2">
        <v>0</v>
      </c>
      <c r="O67" s="2">
        <v>0</v>
      </c>
      <c r="P67" s="2">
        <v>0</v>
      </c>
      <c r="Q67" s="2">
        <v>0</v>
      </c>
      <c r="R67" s="2">
        <v>0</v>
      </c>
      <c r="S67" s="2">
        <v>0</v>
      </c>
      <c r="T67" s="9">
        <v>0</v>
      </c>
      <c r="U67" s="2">
        <v>0</v>
      </c>
      <c r="V67" s="9">
        <v>0</v>
      </c>
      <c r="W67" s="2">
        <v>0</v>
      </c>
      <c r="X67" s="2">
        <v>0</v>
      </c>
      <c r="Y67" s="9">
        <v>0</v>
      </c>
      <c r="Z67" s="9">
        <v>0</v>
      </c>
      <c r="AA67" s="9">
        <f t="shared" si="9"/>
        <v>0</v>
      </c>
      <c r="AB67" s="9">
        <v>0</v>
      </c>
      <c r="AC67" s="9">
        <v>0</v>
      </c>
      <c r="AD67" s="9">
        <v>0</v>
      </c>
    </row>
    <row r="68" spans="2:30" ht="15" customHeight="1" x14ac:dyDescent="0.2">
      <c r="B68" s="28" t="s">
        <v>148</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9">
        <v>-53026</v>
      </c>
      <c r="X68" s="9">
        <v>-56711</v>
      </c>
      <c r="Y68" s="9">
        <v>-25069</v>
      </c>
      <c r="Z68" s="9">
        <v>-65945</v>
      </c>
      <c r="AA68" s="2">
        <f t="shared" si="9"/>
        <v>-200751</v>
      </c>
      <c r="AB68" s="2">
        <v>-34723</v>
      </c>
      <c r="AC68" s="2">
        <v>-16893</v>
      </c>
      <c r="AD68" s="2">
        <v>-1523</v>
      </c>
    </row>
    <row r="69" spans="2:30" ht="15" customHeight="1" x14ac:dyDescent="0.2">
      <c r="B69" s="28" t="s">
        <v>109</v>
      </c>
      <c r="D69" s="2">
        <v>0</v>
      </c>
      <c r="E69" s="2">
        <v>0</v>
      </c>
      <c r="F69" s="2">
        <v>0</v>
      </c>
      <c r="G69" s="2">
        <v>0</v>
      </c>
      <c r="H69" s="2">
        <v>0</v>
      </c>
      <c r="I69" s="2">
        <v>0</v>
      </c>
      <c r="J69" s="2">
        <v>0</v>
      </c>
      <c r="K69" s="2">
        <v>0</v>
      </c>
      <c r="L69" s="2">
        <v>0</v>
      </c>
      <c r="M69" s="2">
        <v>-515</v>
      </c>
      <c r="N69" s="2">
        <v>-565</v>
      </c>
      <c r="O69" s="2">
        <v>-1629</v>
      </c>
      <c r="P69" s="2">
        <v>-1698</v>
      </c>
      <c r="Q69" s="2">
        <v>-4407</v>
      </c>
      <c r="R69" s="2">
        <v>-2354</v>
      </c>
      <c r="S69" s="2">
        <v>-1425</v>
      </c>
      <c r="T69" s="9">
        <v>-1949</v>
      </c>
      <c r="U69" s="2">
        <v>-2782</v>
      </c>
      <c r="V69" s="9">
        <v>-8510</v>
      </c>
      <c r="W69" s="9">
        <v>-3390</v>
      </c>
      <c r="X69" s="9">
        <v>-2964</v>
      </c>
      <c r="Y69" s="9">
        <v>-4245</v>
      </c>
      <c r="Z69" s="9">
        <v>-5130</v>
      </c>
      <c r="AA69" s="9">
        <f t="shared" si="9"/>
        <v>-15729</v>
      </c>
      <c r="AB69" s="9">
        <v>-6293</v>
      </c>
      <c r="AC69" s="9">
        <v>-5712</v>
      </c>
      <c r="AD69" s="9">
        <v>-3774</v>
      </c>
    </row>
    <row r="70" spans="2:30" ht="15" customHeight="1" x14ac:dyDescent="0.2">
      <c r="B70" s="28" t="s">
        <v>110</v>
      </c>
      <c r="D70" s="2">
        <v>0</v>
      </c>
      <c r="E70" s="2">
        <v>0</v>
      </c>
      <c r="F70" s="2">
        <v>0</v>
      </c>
      <c r="G70" s="2">
        <v>0</v>
      </c>
      <c r="H70" s="2">
        <v>0</v>
      </c>
      <c r="I70" s="2">
        <v>0</v>
      </c>
      <c r="J70" s="2">
        <v>0</v>
      </c>
      <c r="K70" s="2">
        <v>0</v>
      </c>
      <c r="L70" s="2">
        <v>0</v>
      </c>
      <c r="M70" s="2">
        <v>0</v>
      </c>
      <c r="N70" s="2">
        <v>-14</v>
      </c>
      <c r="O70" s="2">
        <v>-38</v>
      </c>
      <c r="P70" s="2">
        <v>-511</v>
      </c>
      <c r="Q70" s="2">
        <v>-563</v>
      </c>
      <c r="R70" s="2">
        <v>0</v>
      </c>
      <c r="S70" s="2">
        <v>0</v>
      </c>
      <c r="T70" s="9">
        <v>-300314</v>
      </c>
      <c r="U70" s="2">
        <v>-837</v>
      </c>
      <c r="V70" s="9">
        <v>-301151</v>
      </c>
      <c r="W70" s="9">
        <v>-1700</v>
      </c>
      <c r="X70" s="9">
        <v>1700</v>
      </c>
      <c r="Y70" s="9">
        <v>0</v>
      </c>
      <c r="Z70" s="9">
        <v>0</v>
      </c>
      <c r="AA70" s="9">
        <f t="shared" si="9"/>
        <v>0</v>
      </c>
      <c r="AB70" s="9">
        <v>-1977</v>
      </c>
      <c r="AC70" s="9">
        <v>0</v>
      </c>
      <c r="AD70" s="9">
        <v>0</v>
      </c>
    </row>
    <row r="71" spans="2:30" ht="15" customHeight="1" x14ac:dyDescent="0.2">
      <c r="B71" s="28" t="s">
        <v>141</v>
      </c>
      <c r="D71" s="2">
        <v>846</v>
      </c>
      <c r="E71" s="2">
        <v>0</v>
      </c>
      <c r="F71" s="2">
        <v>0</v>
      </c>
      <c r="G71" s="2">
        <v>0</v>
      </c>
      <c r="H71" s="2">
        <v>0</v>
      </c>
      <c r="I71" s="2">
        <v>0</v>
      </c>
      <c r="J71" s="2">
        <v>0</v>
      </c>
      <c r="K71" s="2">
        <v>0</v>
      </c>
      <c r="L71" s="2">
        <v>0</v>
      </c>
      <c r="M71" s="2">
        <v>0</v>
      </c>
      <c r="N71" s="2">
        <v>0</v>
      </c>
      <c r="O71" s="2">
        <v>0</v>
      </c>
      <c r="P71" s="2">
        <v>-928</v>
      </c>
      <c r="Q71" s="2">
        <v>-928</v>
      </c>
      <c r="R71" s="2">
        <v>0</v>
      </c>
      <c r="S71" s="2">
        <v>-1001</v>
      </c>
      <c r="T71" s="9">
        <v>47</v>
      </c>
      <c r="U71" s="2">
        <v>-779</v>
      </c>
      <c r="V71" s="9">
        <v>-1733</v>
      </c>
      <c r="W71" s="9">
        <v>-18493</v>
      </c>
      <c r="X71" s="9">
        <v>-949</v>
      </c>
      <c r="Y71" s="9">
        <v>-13</v>
      </c>
      <c r="Z71" s="9">
        <v>-174499</v>
      </c>
      <c r="AA71" s="9">
        <f t="shared" si="9"/>
        <v>-193954</v>
      </c>
      <c r="AB71" s="9">
        <v>-205803</v>
      </c>
      <c r="AC71" s="9">
        <v>-119293</v>
      </c>
      <c r="AD71" s="9">
        <v>-10884</v>
      </c>
    </row>
    <row r="72" spans="2:30" ht="15" customHeight="1" x14ac:dyDescent="0.2">
      <c r="B72" s="28" t="s">
        <v>205</v>
      </c>
      <c r="D72" s="2">
        <v>0</v>
      </c>
      <c r="E72" s="2">
        <v>0</v>
      </c>
      <c r="F72" s="2">
        <v>0</v>
      </c>
      <c r="G72" s="2">
        <v>0</v>
      </c>
      <c r="H72" s="2">
        <v>0</v>
      </c>
      <c r="I72" s="2">
        <v>0</v>
      </c>
      <c r="J72" s="2">
        <v>0</v>
      </c>
      <c r="K72" s="2">
        <v>0</v>
      </c>
      <c r="L72" s="2">
        <v>0</v>
      </c>
      <c r="M72" s="2">
        <v>0</v>
      </c>
      <c r="N72" s="2">
        <v>0</v>
      </c>
      <c r="O72" s="2">
        <v>0</v>
      </c>
      <c r="P72" s="2">
        <v>0</v>
      </c>
      <c r="Q72" s="2">
        <v>0</v>
      </c>
      <c r="R72" s="2">
        <v>0</v>
      </c>
      <c r="S72" s="2">
        <v>0</v>
      </c>
      <c r="T72" s="9">
        <v>0</v>
      </c>
      <c r="U72" s="2">
        <v>0</v>
      </c>
      <c r="V72" s="9">
        <v>0</v>
      </c>
      <c r="W72" s="9">
        <v>0</v>
      </c>
      <c r="X72" s="9">
        <v>0</v>
      </c>
      <c r="Y72" s="9">
        <v>0</v>
      </c>
      <c r="Z72" s="9">
        <v>185409</v>
      </c>
      <c r="AA72" s="9">
        <f t="shared" si="9"/>
        <v>185409</v>
      </c>
      <c r="AB72" s="9">
        <v>0</v>
      </c>
      <c r="AC72" s="9">
        <v>0</v>
      </c>
      <c r="AD72" s="9">
        <v>0</v>
      </c>
    </row>
    <row r="73" spans="2:30" ht="15" customHeight="1" x14ac:dyDescent="0.2">
      <c r="B73" s="28" t="s">
        <v>255</v>
      </c>
      <c r="D73" s="9">
        <v>0</v>
      </c>
      <c r="E73" s="9">
        <v>0</v>
      </c>
      <c r="F73" s="9">
        <v>0</v>
      </c>
      <c r="G73" s="9">
        <v>0</v>
      </c>
      <c r="H73" s="9">
        <v>0</v>
      </c>
      <c r="I73" s="9">
        <v>0</v>
      </c>
      <c r="J73" s="9">
        <v>0</v>
      </c>
      <c r="K73" s="9">
        <v>0</v>
      </c>
      <c r="L73" s="9">
        <v>0</v>
      </c>
      <c r="M73" s="9">
        <v>0</v>
      </c>
      <c r="N73" s="9">
        <v>0</v>
      </c>
      <c r="O73" s="9">
        <v>0</v>
      </c>
      <c r="P73" s="9">
        <v>0</v>
      </c>
      <c r="Q73" s="9">
        <v>0</v>
      </c>
      <c r="R73" s="9">
        <v>0</v>
      </c>
      <c r="S73" s="9">
        <v>0</v>
      </c>
      <c r="T73" s="9">
        <v>0</v>
      </c>
      <c r="U73" s="9">
        <v>0</v>
      </c>
      <c r="V73" s="9">
        <v>0</v>
      </c>
      <c r="W73" s="9">
        <v>0</v>
      </c>
      <c r="X73" s="9">
        <v>0</v>
      </c>
      <c r="Y73" s="9">
        <v>0</v>
      </c>
      <c r="Z73" s="9">
        <v>0</v>
      </c>
      <c r="AA73" s="9">
        <v>0</v>
      </c>
      <c r="AB73" s="9">
        <v>0</v>
      </c>
      <c r="AC73" s="9">
        <v>0</v>
      </c>
      <c r="AD73" s="9">
        <v>1189058</v>
      </c>
    </row>
    <row r="74" spans="2:30" ht="15" customHeight="1" x14ac:dyDescent="0.2">
      <c r="B74" s="28" t="s">
        <v>256</v>
      </c>
      <c r="D74" s="2">
        <v>0</v>
      </c>
      <c r="E74" s="2">
        <v>0</v>
      </c>
      <c r="F74" s="2">
        <v>0</v>
      </c>
      <c r="G74" s="2">
        <v>0</v>
      </c>
      <c r="H74" s="2">
        <v>0</v>
      </c>
      <c r="I74" s="2">
        <v>0</v>
      </c>
      <c r="J74" s="2">
        <v>0</v>
      </c>
      <c r="K74" s="2">
        <v>0</v>
      </c>
      <c r="L74" s="2">
        <v>0</v>
      </c>
      <c r="M74" s="2">
        <v>0</v>
      </c>
      <c r="N74" s="2">
        <v>0</v>
      </c>
      <c r="O74" s="2">
        <v>0</v>
      </c>
      <c r="P74" s="2">
        <v>97574</v>
      </c>
      <c r="Q74" s="2">
        <v>97574</v>
      </c>
      <c r="R74" s="2">
        <v>198925</v>
      </c>
      <c r="S74" s="2">
        <v>0</v>
      </c>
      <c r="T74" s="9">
        <v>300000</v>
      </c>
      <c r="U74" s="2">
        <f>62+3076</f>
        <v>3138</v>
      </c>
      <c r="V74" s="2">
        <f>SUM(R74:U74)</f>
        <v>502063</v>
      </c>
      <c r="W74" s="2">
        <v>0</v>
      </c>
      <c r="X74" s="2">
        <v>-3443</v>
      </c>
      <c r="Y74" s="9">
        <v>899666</v>
      </c>
      <c r="Z74" s="9">
        <v>593842</v>
      </c>
      <c r="AA74" s="2">
        <f t="shared" si="9"/>
        <v>1490065</v>
      </c>
      <c r="AB74" s="2">
        <v>-57</v>
      </c>
      <c r="AC74" s="9">
        <v>-5469</v>
      </c>
      <c r="AD74" s="9">
        <v>-905582</v>
      </c>
    </row>
    <row r="75" spans="2:30" ht="15" customHeight="1" x14ac:dyDescent="0.2">
      <c r="B75" s="28" t="s">
        <v>257</v>
      </c>
      <c r="D75" s="2">
        <v>0</v>
      </c>
      <c r="E75" s="2">
        <v>0</v>
      </c>
      <c r="F75" s="2">
        <v>0</v>
      </c>
      <c r="G75" s="2">
        <v>0</v>
      </c>
      <c r="H75" s="2">
        <v>0</v>
      </c>
      <c r="I75" s="2">
        <v>0</v>
      </c>
      <c r="J75" s="2">
        <v>0</v>
      </c>
      <c r="K75" s="2">
        <v>0</v>
      </c>
      <c r="L75" s="2">
        <v>0</v>
      </c>
      <c r="M75" s="2">
        <v>0</v>
      </c>
      <c r="N75" s="2">
        <v>0</v>
      </c>
      <c r="O75" s="2">
        <v>0</v>
      </c>
      <c r="P75" s="2">
        <v>0</v>
      </c>
      <c r="Q75" s="2">
        <v>0</v>
      </c>
      <c r="R75" s="2">
        <v>0</v>
      </c>
      <c r="S75" s="2">
        <v>-553</v>
      </c>
      <c r="T75" s="9">
        <v>0</v>
      </c>
      <c r="U75" s="2">
        <v>-3076</v>
      </c>
      <c r="V75" s="2">
        <f>SUM(R75:U75)</f>
        <v>-3629</v>
      </c>
      <c r="W75" s="9">
        <v>0</v>
      </c>
      <c r="X75" s="9">
        <v>0</v>
      </c>
      <c r="Y75" s="9">
        <v>-8550</v>
      </c>
      <c r="Z75" s="9">
        <v>-13032</v>
      </c>
      <c r="AA75" s="2">
        <f t="shared" si="9"/>
        <v>-21582</v>
      </c>
      <c r="AB75" s="2">
        <v>0</v>
      </c>
      <c r="AC75" s="9">
        <v>0</v>
      </c>
      <c r="AD75" s="9">
        <v>0</v>
      </c>
    </row>
    <row r="76" spans="2:30" ht="15" customHeight="1" x14ac:dyDescent="0.2">
      <c r="B76" s="28" t="s">
        <v>126</v>
      </c>
      <c r="D76" s="2">
        <v>0</v>
      </c>
      <c r="E76" s="2">
        <v>0</v>
      </c>
      <c r="F76" s="2">
        <v>0</v>
      </c>
      <c r="G76" s="2">
        <v>0</v>
      </c>
      <c r="H76" s="2">
        <v>0</v>
      </c>
      <c r="I76" s="2">
        <v>0</v>
      </c>
      <c r="J76" s="2">
        <v>0</v>
      </c>
      <c r="K76" s="2">
        <v>0</v>
      </c>
      <c r="L76" s="2">
        <v>0</v>
      </c>
      <c r="M76" s="2">
        <v>0</v>
      </c>
      <c r="N76" s="2">
        <v>0</v>
      </c>
      <c r="O76" s="2">
        <v>0</v>
      </c>
      <c r="P76" s="2">
        <v>0</v>
      </c>
      <c r="Q76" s="2">
        <v>0</v>
      </c>
      <c r="R76" s="2">
        <v>-3696</v>
      </c>
      <c r="S76" s="2">
        <v>0</v>
      </c>
      <c r="T76" s="9">
        <v>0</v>
      </c>
      <c r="U76" s="2">
        <v>3696</v>
      </c>
      <c r="V76" s="9">
        <v>0</v>
      </c>
      <c r="W76" s="9">
        <v>0</v>
      </c>
      <c r="X76" s="9">
        <v>0</v>
      </c>
      <c r="Y76" s="9">
        <v>0</v>
      </c>
      <c r="Z76" s="9">
        <v>0</v>
      </c>
      <c r="AA76" s="9">
        <f t="shared" si="9"/>
        <v>0</v>
      </c>
      <c r="AB76" s="9">
        <v>0</v>
      </c>
      <c r="AC76" s="9">
        <v>0</v>
      </c>
      <c r="AD76" s="9">
        <v>0</v>
      </c>
    </row>
    <row r="77" spans="2:30" ht="15" customHeight="1" x14ac:dyDescent="0.2">
      <c r="D77" s="2"/>
      <c r="E77" s="2"/>
      <c r="F77" s="2"/>
      <c r="G77" s="2"/>
      <c r="H77" s="2"/>
      <c r="I77" s="2"/>
      <c r="J77" s="2"/>
      <c r="K77" s="2"/>
      <c r="L77" s="2"/>
      <c r="M77" s="2"/>
      <c r="N77" s="2"/>
      <c r="O77" s="2"/>
      <c r="P77" s="2"/>
      <c r="Q77" s="2"/>
      <c r="R77" s="2"/>
      <c r="S77" s="2"/>
      <c r="T77" s="9"/>
      <c r="U77" s="2"/>
      <c r="V77" s="9"/>
      <c r="W77" s="9"/>
      <c r="X77" s="9"/>
      <c r="Y77" s="9"/>
      <c r="Z77" s="9"/>
      <c r="AA77" s="9"/>
      <c r="AB77" s="9"/>
      <c r="AC77" s="9"/>
      <c r="AD77" s="9"/>
    </row>
    <row r="78" spans="2:30" ht="15" customHeight="1" x14ac:dyDescent="0.2">
      <c r="B78" s="7" t="s">
        <v>240</v>
      </c>
      <c r="D78" s="10">
        <f t="shared" ref="D78:P78" si="10">SUM(D64:D76)</f>
        <v>-12641</v>
      </c>
      <c r="E78" s="10">
        <f t="shared" si="10"/>
        <v>11095</v>
      </c>
      <c r="F78" s="10">
        <f t="shared" si="10"/>
        <v>0</v>
      </c>
      <c r="G78" s="10">
        <f t="shared" si="10"/>
        <v>11095</v>
      </c>
      <c r="H78" s="10">
        <f t="shared" si="10"/>
        <v>0</v>
      </c>
      <c r="I78" s="10">
        <f t="shared" si="10"/>
        <v>-85050</v>
      </c>
      <c r="J78" s="10">
        <f t="shared" si="10"/>
        <v>832746</v>
      </c>
      <c r="K78" s="10">
        <f t="shared" si="10"/>
        <v>-12954</v>
      </c>
      <c r="L78" s="10">
        <f t="shared" si="10"/>
        <v>734742</v>
      </c>
      <c r="M78" s="10">
        <f t="shared" si="10"/>
        <v>30</v>
      </c>
      <c r="N78" s="10">
        <f t="shared" si="10"/>
        <v>12032</v>
      </c>
      <c r="O78" s="10">
        <f t="shared" si="10"/>
        <v>-1667</v>
      </c>
      <c r="P78" s="10">
        <f t="shared" si="10"/>
        <v>665816</v>
      </c>
      <c r="Q78" s="10">
        <f>SUM(Q64:Q76)</f>
        <v>676211</v>
      </c>
      <c r="R78" s="10">
        <f>SUM(R64:R76)</f>
        <v>192875</v>
      </c>
      <c r="S78" s="10">
        <f>SUM(S64:S76)</f>
        <v>-2979</v>
      </c>
      <c r="T78" s="10">
        <f t="shared" ref="T78:Y78" si="11">SUM(T64:T77)</f>
        <v>572151</v>
      </c>
      <c r="U78" s="10">
        <f t="shared" si="11"/>
        <v>600</v>
      </c>
      <c r="V78" s="10">
        <f t="shared" si="11"/>
        <v>762647</v>
      </c>
      <c r="W78" s="10">
        <f t="shared" si="11"/>
        <v>-76609</v>
      </c>
      <c r="X78" s="10">
        <f t="shared" si="11"/>
        <v>-62367</v>
      </c>
      <c r="Y78" s="10">
        <f t="shared" si="11"/>
        <v>861789</v>
      </c>
      <c r="Z78" s="10">
        <f>SUM(Z64:Z77)</f>
        <v>520645</v>
      </c>
      <c r="AA78" s="10">
        <f>SUM(AA64:AA77)</f>
        <v>1243458</v>
      </c>
      <c r="AB78" s="10">
        <f>SUM(AB64:AB77)</f>
        <v>-248853</v>
      </c>
      <c r="AC78" s="10">
        <f>SUM(AC64:AC77)</f>
        <v>-147367</v>
      </c>
      <c r="AD78" s="10">
        <f>SUM(AD64:AD77)</f>
        <v>267295</v>
      </c>
    </row>
    <row r="79" spans="2:30" ht="15" customHeight="1" x14ac:dyDescent="0.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2:30" ht="15" customHeight="1" x14ac:dyDescent="0.2">
      <c r="B80" s="7" t="s">
        <v>111</v>
      </c>
      <c r="D80" s="10">
        <v>0</v>
      </c>
      <c r="E80" s="10">
        <v>0</v>
      </c>
      <c r="F80" s="10">
        <v>0</v>
      </c>
      <c r="G80" s="10">
        <v>0</v>
      </c>
      <c r="H80" s="10">
        <v>0</v>
      </c>
      <c r="I80" s="10">
        <v>0</v>
      </c>
      <c r="J80" s="10">
        <v>0</v>
      </c>
      <c r="K80" s="10">
        <v>-34435</v>
      </c>
      <c r="L80" s="10">
        <v>-34435</v>
      </c>
      <c r="M80" s="10">
        <v>76</v>
      </c>
      <c r="N80" s="10">
        <v>-592</v>
      </c>
      <c r="O80" s="10">
        <v>533</v>
      </c>
      <c r="P80" s="10">
        <v>-572</v>
      </c>
      <c r="Q80" s="10">
        <v>-555</v>
      </c>
      <c r="R80" s="10">
        <v>742</v>
      </c>
      <c r="S80" s="10">
        <v>-922</v>
      </c>
      <c r="T80" s="10">
        <v>551</v>
      </c>
      <c r="U80" s="10">
        <v>-183</v>
      </c>
      <c r="V80" s="10">
        <v>188</v>
      </c>
      <c r="W80" s="10">
        <v>-279</v>
      </c>
      <c r="X80" s="10">
        <v>-3813</v>
      </c>
      <c r="Y80" s="10">
        <v>1945</v>
      </c>
      <c r="Z80" s="10">
        <v>14918</v>
      </c>
      <c r="AA80" s="10">
        <f>SUM(W80:Z80)</f>
        <v>12771</v>
      </c>
      <c r="AB80" s="10">
        <v>-2028</v>
      </c>
      <c r="AC80" s="10">
        <v>1743</v>
      </c>
      <c r="AD80" s="10">
        <v>-298</v>
      </c>
    </row>
    <row r="81" spans="2:30" ht="15" customHeight="1" x14ac:dyDescent="0.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2:30" ht="15" customHeight="1" thickBot="1" x14ac:dyDescent="0.25">
      <c r="B82" s="7" t="s">
        <v>112</v>
      </c>
      <c r="D82" s="13">
        <f t="shared" ref="D82:W82" si="12">D49+D61+D78+D80</f>
        <v>3675</v>
      </c>
      <c r="E82" s="13">
        <f t="shared" si="12"/>
        <v>9881</v>
      </c>
      <c r="F82" s="13">
        <f t="shared" si="12"/>
        <v>-11925</v>
      </c>
      <c r="G82" s="13">
        <f t="shared" si="12"/>
        <v>-3524</v>
      </c>
      <c r="H82" s="13">
        <f t="shared" si="12"/>
        <v>3112</v>
      </c>
      <c r="I82" s="13">
        <f t="shared" si="12"/>
        <v>1698</v>
      </c>
      <c r="J82" s="13">
        <f t="shared" si="12"/>
        <v>843811</v>
      </c>
      <c r="K82" s="13">
        <f t="shared" si="12"/>
        <v>-837154</v>
      </c>
      <c r="L82" s="13">
        <f t="shared" si="12"/>
        <v>11467</v>
      </c>
      <c r="M82" s="13">
        <f t="shared" si="12"/>
        <v>-7944</v>
      </c>
      <c r="N82" s="13">
        <f t="shared" si="12"/>
        <v>4173</v>
      </c>
      <c r="O82" s="13">
        <f t="shared" si="12"/>
        <v>-5962</v>
      </c>
      <c r="P82" s="13">
        <f t="shared" si="12"/>
        <v>46332</v>
      </c>
      <c r="Q82" s="13">
        <f t="shared" si="12"/>
        <v>36599</v>
      </c>
      <c r="R82" s="13">
        <f t="shared" si="12"/>
        <v>24091</v>
      </c>
      <c r="S82" s="13">
        <f t="shared" si="12"/>
        <v>115903</v>
      </c>
      <c r="T82" s="13">
        <f t="shared" si="12"/>
        <v>337950</v>
      </c>
      <c r="U82" s="13">
        <f t="shared" si="12"/>
        <v>-102434</v>
      </c>
      <c r="V82" s="13">
        <f t="shared" si="12"/>
        <v>375510</v>
      </c>
      <c r="W82" s="13">
        <f t="shared" si="12"/>
        <v>-64054</v>
      </c>
      <c r="X82" s="13">
        <f t="shared" ref="X82:AD82" si="13">X49+X61+X78+X80</f>
        <v>-45664</v>
      </c>
      <c r="Y82" s="13">
        <f t="shared" si="13"/>
        <v>1007642</v>
      </c>
      <c r="Z82" s="13">
        <f t="shared" si="13"/>
        <v>-1111191</v>
      </c>
      <c r="AA82" s="13">
        <f t="shared" si="13"/>
        <v>-213267</v>
      </c>
      <c r="AB82" s="13">
        <f t="shared" si="13"/>
        <v>-1839</v>
      </c>
      <c r="AC82" s="13">
        <f t="shared" si="13"/>
        <v>166449</v>
      </c>
      <c r="AD82" s="13">
        <f t="shared" si="13"/>
        <v>-61738</v>
      </c>
    </row>
    <row r="83" spans="2:30" ht="15" customHeight="1" thickTop="1" x14ac:dyDescent="0.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2:30" ht="15" customHeight="1" x14ac:dyDescent="0.2">
      <c r="B84" s="1" t="s">
        <v>241</v>
      </c>
      <c r="D84" s="2">
        <v>683</v>
      </c>
      <c r="E84" s="2">
        <v>2897</v>
      </c>
      <c r="F84" s="2">
        <v>12759</v>
      </c>
      <c r="G84" s="2">
        <v>4358</v>
      </c>
      <c r="H84" s="2">
        <v>834</v>
      </c>
      <c r="I84" s="2">
        <v>3946</v>
      </c>
      <c r="J84" s="2">
        <v>5644</v>
      </c>
      <c r="K84" s="2">
        <v>849455</v>
      </c>
      <c r="L84" s="2">
        <v>834</v>
      </c>
      <c r="M84" s="2">
        <v>12301</v>
      </c>
      <c r="N84" s="2">
        <v>4357</v>
      </c>
      <c r="O84" s="2">
        <v>0</v>
      </c>
      <c r="P84" s="2">
        <v>0</v>
      </c>
      <c r="Q84" s="2">
        <v>12301</v>
      </c>
      <c r="R84" s="2">
        <v>48900</v>
      </c>
      <c r="S84" s="2">
        <v>72991</v>
      </c>
      <c r="T84" s="9">
        <v>188894</v>
      </c>
      <c r="U84" s="2">
        <v>526844</v>
      </c>
      <c r="V84" s="9">
        <v>48900</v>
      </c>
      <c r="W84" s="9">
        <v>424410</v>
      </c>
      <c r="X84" s="9">
        <f>W85</f>
        <v>360356</v>
      </c>
      <c r="Y84" s="9">
        <v>314692</v>
      </c>
      <c r="Z84" s="9">
        <v>1322334</v>
      </c>
      <c r="AA84" s="9">
        <v>424410</v>
      </c>
      <c r="AB84" s="9">
        <v>211143</v>
      </c>
      <c r="AC84" s="9">
        <v>209304</v>
      </c>
      <c r="AD84" s="9">
        <v>375753</v>
      </c>
    </row>
    <row r="85" spans="2:30" ht="15" customHeight="1" x14ac:dyDescent="0.2">
      <c r="B85" s="1" t="s">
        <v>242</v>
      </c>
      <c r="D85" s="2">
        <v>4358</v>
      </c>
      <c r="E85" s="2">
        <v>12778</v>
      </c>
      <c r="F85" s="2">
        <v>834</v>
      </c>
      <c r="G85" s="2">
        <v>834</v>
      </c>
      <c r="H85" s="2">
        <v>3946</v>
      </c>
      <c r="I85" s="2">
        <v>5644</v>
      </c>
      <c r="J85" s="2">
        <v>849455</v>
      </c>
      <c r="K85" s="2">
        <v>12301</v>
      </c>
      <c r="L85" s="2">
        <v>12301</v>
      </c>
      <c r="M85" s="2">
        <v>4357</v>
      </c>
      <c r="N85" s="2">
        <v>8530</v>
      </c>
      <c r="O85" s="2">
        <v>-5962</v>
      </c>
      <c r="P85" s="2">
        <v>46332</v>
      </c>
      <c r="Q85" s="2">
        <v>48900</v>
      </c>
      <c r="R85" s="2">
        <v>72991</v>
      </c>
      <c r="S85" s="2">
        <v>188894</v>
      </c>
      <c r="T85" s="9">
        <v>526844</v>
      </c>
      <c r="U85" s="2">
        <v>424410</v>
      </c>
      <c r="V85" s="9">
        <v>424410</v>
      </c>
      <c r="W85" s="9">
        <v>360356</v>
      </c>
      <c r="X85" s="9">
        <v>314692</v>
      </c>
      <c r="Y85" s="9">
        <v>1322334</v>
      </c>
      <c r="Z85" s="9">
        <v>211143</v>
      </c>
      <c r="AA85" s="9">
        <v>211143</v>
      </c>
      <c r="AB85" s="9">
        <v>209304</v>
      </c>
      <c r="AC85" s="9">
        <v>375753</v>
      </c>
      <c r="AD85" s="9">
        <v>314015</v>
      </c>
    </row>
    <row r="86" spans="2:30" ht="15" customHeight="1" x14ac:dyDescent="0.2">
      <c r="D86" s="2"/>
      <c r="E86" s="2"/>
      <c r="F86" s="2"/>
      <c r="G86" s="2"/>
      <c r="H86" s="2"/>
      <c r="I86" s="2"/>
      <c r="J86" s="2"/>
      <c r="K86" s="2"/>
      <c r="L86" s="2"/>
      <c r="M86" s="2"/>
      <c r="N86" s="2"/>
      <c r="O86" s="2"/>
      <c r="P86" s="2"/>
      <c r="Q86" s="2"/>
      <c r="R86" s="2"/>
      <c r="S86" s="2"/>
      <c r="T86" s="9"/>
      <c r="U86" s="2"/>
      <c r="V86" s="9"/>
      <c r="W86" s="9"/>
      <c r="X86" s="9"/>
      <c r="Y86" s="9"/>
      <c r="Z86" s="9"/>
      <c r="AA86" s="9"/>
      <c r="AB86" s="9"/>
      <c r="AC86" s="9"/>
      <c r="AD86" s="9"/>
    </row>
    <row r="87" spans="2:30" ht="15" customHeight="1" thickBot="1" x14ac:dyDescent="0.25">
      <c r="B87" s="7" t="s">
        <v>112</v>
      </c>
      <c r="D87" s="13">
        <f t="shared" ref="D87:Q87" si="14">D85-D84</f>
        <v>3675</v>
      </c>
      <c r="E87" s="13">
        <f t="shared" si="14"/>
        <v>9881</v>
      </c>
      <c r="F87" s="13">
        <f t="shared" si="14"/>
        <v>-11925</v>
      </c>
      <c r="G87" s="13">
        <f t="shared" si="14"/>
        <v>-3524</v>
      </c>
      <c r="H87" s="13">
        <f t="shared" si="14"/>
        <v>3112</v>
      </c>
      <c r="I87" s="13">
        <f t="shared" si="14"/>
        <v>1698</v>
      </c>
      <c r="J87" s="13">
        <f t="shared" si="14"/>
        <v>843811</v>
      </c>
      <c r="K87" s="14">
        <f t="shared" si="14"/>
        <v>-837154</v>
      </c>
      <c r="L87" s="13">
        <f t="shared" si="14"/>
        <v>11467</v>
      </c>
      <c r="M87" s="13">
        <f t="shared" si="14"/>
        <v>-7944</v>
      </c>
      <c r="N87" s="13">
        <f t="shared" si="14"/>
        <v>4173</v>
      </c>
      <c r="O87" s="13">
        <f t="shared" si="14"/>
        <v>-5962</v>
      </c>
      <c r="P87" s="13">
        <f t="shared" si="14"/>
        <v>46332</v>
      </c>
      <c r="Q87" s="13">
        <f t="shared" si="14"/>
        <v>36599</v>
      </c>
      <c r="R87" s="13">
        <f t="shared" ref="R87:AD87" si="15">R85-R84</f>
        <v>24091</v>
      </c>
      <c r="S87" s="13">
        <f t="shared" si="15"/>
        <v>115903</v>
      </c>
      <c r="T87" s="13">
        <f t="shared" si="15"/>
        <v>337950</v>
      </c>
      <c r="U87" s="13">
        <f t="shared" si="15"/>
        <v>-102434</v>
      </c>
      <c r="V87" s="13">
        <f t="shared" si="15"/>
        <v>375510</v>
      </c>
      <c r="W87" s="13">
        <f t="shared" si="15"/>
        <v>-64054</v>
      </c>
      <c r="X87" s="13">
        <f t="shared" si="15"/>
        <v>-45664</v>
      </c>
      <c r="Y87" s="13">
        <f t="shared" si="15"/>
        <v>1007642</v>
      </c>
      <c r="Z87" s="13">
        <f t="shared" si="15"/>
        <v>-1111191</v>
      </c>
      <c r="AA87" s="13">
        <f t="shared" si="15"/>
        <v>-213267</v>
      </c>
      <c r="AB87" s="13">
        <f t="shared" si="15"/>
        <v>-1839</v>
      </c>
      <c r="AC87" s="13">
        <f t="shared" si="15"/>
        <v>166449</v>
      </c>
      <c r="AD87" s="13">
        <f t="shared" si="15"/>
        <v>-61738</v>
      </c>
    </row>
    <row r="88" spans="2:30" ht="15" customHeight="1" thickTop="1" x14ac:dyDescent="0.2">
      <c r="T88" s="9"/>
      <c r="V88" s="9"/>
      <c r="AA88" s="9"/>
      <c r="AB88" s="9"/>
      <c r="AC88" s="9"/>
      <c r="AD88" s="9"/>
    </row>
    <row r="90" spans="2:30" ht="15" customHeight="1" x14ac:dyDescent="0.2">
      <c r="P90" s="2"/>
      <c r="Q90" s="2"/>
      <c r="R90" s="2"/>
      <c r="S90" s="2"/>
      <c r="T90" s="2"/>
      <c r="U90" s="2"/>
      <c r="V90" s="2"/>
      <c r="W90" s="2"/>
      <c r="X90" s="2"/>
      <c r="Y90" s="9"/>
      <c r="Z90" s="9"/>
      <c r="AA90" s="2"/>
      <c r="AB90" s="2"/>
      <c r="AC90" s="2"/>
      <c r="AD90" s="2"/>
    </row>
    <row r="91" spans="2:30" ht="15" customHeight="1" x14ac:dyDescent="0.2">
      <c r="P91" s="2"/>
      <c r="Q91" s="2"/>
      <c r="R91" s="2"/>
      <c r="S91" s="2"/>
      <c r="T91" s="9"/>
      <c r="U91" s="2"/>
      <c r="V91" s="9"/>
      <c r="W91" s="9"/>
      <c r="X91" s="9"/>
      <c r="Y91" s="9"/>
      <c r="Z91" s="9"/>
      <c r="AA91" s="9"/>
      <c r="AB91" s="9"/>
      <c r="AC91" s="9"/>
      <c r="AD91" s="9"/>
    </row>
    <row r="92" spans="2:30" ht="15" customHeight="1" x14ac:dyDescent="0.2">
      <c r="P92" s="9"/>
      <c r="Q92" s="9"/>
      <c r="R92" s="9"/>
      <c r="S92" s="9"/>
      <c r="T92" s="9"/>
      <c r="U92" s="9"/>
      <c r="V92" s="9"/>
      <c r="W92" s="9"/>
      <c r="X92" s="9"/>
      <c r="Y92" s="9"/>
      <c r="Z92" s="9"/>
      <c r="AA92" s="9"/>
      <c r="AB92" s="9"/>
      <c r="AC92" s="9"/>
      <c r="AD92" s="9"/>
    </row>
  </sheetData>
  <pageMargins left="0.23622047244094491" right="0.23622047244094491" top="0.74803149606299213" bottom="0.74803149606299213" header="0.31496062992125984" footer="0.31496062992125984"/>
  <pageSetup paperSize="9" scale="52" orientation="landscape" r:id="rId1"/>
  <ignoredErrors>
    <ignoredError sqref="AA74:AA1048576 V75 AA1:AA46 AA48:AA7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10">
    <tabColor rgb="FF92D050"/>
    <pageSetUpPr fitToPage="1"/>
  </sheetPr>
  <dimension ref="A2:AD106"/>
  <sheetViews>
    <sheetView showGridLines="0" zoomScale="85" zoomScaleNormal="85" workbookViewId="0">
      <pane xSplit="3" ySplit="5" topLeftCell="Y6" activePane="bottomRight" state="frozen"/>
      <selection activeCell="V43" sqref="V43"/>
      <selection pane="topRight" activeCell="V43" sqref="V43"/>
      <selection pane="bottomLeft" activeCell="V43" sqref="V43"/>
      <selection pane="bottomRight" activeCell="AD5" sqref="AD5"/>
    </sheetView>
  </sheetViews>
  <sheetFormatPr defaultColWidth="14.7109375" defaultRowHeight="15" customHeight="1" x14ac:dyDescent="0.2"/>
  <cols>
    <col min="1" max="1" width="2.85546875" style="1" customWidth="1"/>
    <col min="2" max="2" width="93.5703125" style="1" bestFit="1" customWidth="1"/>
    <col min="3" max="3" width="2.7109375" style="1" customWidth="1"/>
    <col min="4" max="4" width="1.28515625" style="1" customWidth="1"/>
    <col min="5" max="18" width="14.7109375" style="1"/>
    <col min="19" max="19" width="14.7109375" style="1" customWidth="1"/>
    <col min="20" max="20" width="14.7109375" style="18" customWidth="1"/>
    <col min="21" max="21" width="14.7109375" style="1" customWidth="1"/>
    <col min="22" max="22" width="14.7109375" style="18" customWidth="1"/>
    <col min="23" max="26" width="14.7109375" style="1"/>
    <col min="27" max="27" width="14.7109375" style="18"/>
    <col min="28" max="16384" width="14.7109375" style="1"/>
  </cols>
  <sheetData>
    <row r="2" spans="2:30" ht="15" customHeight="1" x14ac:dyDescent="0.25">
      <c r="B2" s="8" t="s">
        <v>81</v>
      </c>
    </row>
    <row r="3" spans="2:30" ht="15" customHeight="1" x14ac:dyDescent="0.2">
      <c r="B3" s="1" t="s">
        <v>36</v>
      </c>
    </row>
    <row r="4" spans="2:30" ht="15" customHeight="1" x14ac:dyDescent="0.2">
      <c r="T4" s="1"/>
      <c r="V4" s="1"/>
      <c r="AA4" s="1"/>
    </row>
    <row r="5" spans="2:30" s="32" customFormat="1" ht="15" customHeight="1" x14ac:dyDescent="0.2">
      <c r="E5" s="32" t="s">
        <v>86</v>
      </c>
      <c r="F5" s="32" t="s">
        <v>87</v>
      </c>
      <c r="G5" s="32" t="s">
        <v>37</v>
      </c>
      <c r="H5" s="32" t="s">
        <v>38</v>
      </c>
      <c r="I5" s="32" t="s">
        <v>39</v>
      </c>
      <c r="J5" s="32" t="s">
        <v>40</v>
      </c>
      <c r="K5" s="32" t="s">
        <v>41</v>
      </c>
      <c r="L5" s="32" t="s">
        <v>42</v>
      </c>
      <c r="M5" s="32" t="s">
        <v>43</v>
      </c>
      <c r="N5" s="32" t="s">
        <v>44</v>
      </c>
      <c r="O5" s="32" t="s">
        <v>45</v>
      </c>
      <c r="P5" s="32" t="s">
        <v>72</v>
      </c>
      <c r="Q5" s="32" t="s">
        <v>73</v>
      </c>
      <c r="R5" s="32" t="s">
        <v>120</v>
      </c>
      <c r="S5" s="32" t="s">
        <v>128</v>
      </c>
      <c r="T5" s="32" t="s">
        <v>130</v>
      </c>
      <c r="U5" s="32" t="s">
        <v>138</v>
      </c>
      <c r="V5" s="32" t="s">
        <v>139</v>
      </c>
      <c r="W5" s="33" t="s">
        <v>147</v>
      </c>
      <c r="X5" s="33" t="s">
        <v>169</v>
      </c>
      <c r="Y5" s="32" t="s">
        <v>199</v>
      </c>
      <c r="Z5" s="32" t="s">
        <v>201</v>
      </c>
      <c r="AA5" s="32" t="s">
        <v>202</v>
      </c>
      <c r="AB5" s="32" t="s">
        <v>210</v>
      </c>
      <c r="AC5" s="32" t="s">
        <v>211</v>
      </c>
      <c r="AD5" s="32" t="s">
        <v>212</v>
      </c>
    </row>
    <row r="6" spans="2:30" ht="15" customHeight="1" x14ac:dyDescent="0.2">
      <c r="B6" s="7" t="s">
        <v>74</v>
      </c>
    </row>
    <row r="7" spans="2:30" ht="15" customHeight="1" x14ac:dyDescent="0.2">
      <c r="B7" s="1" t="s">
        <v>243</v>
      </c>
      <c r="E7" s="2">
        <v>-664</v>
      </c>
      <c r="F7" s="2">
        <v>8055</v>
      </c>
      <c r="G7" s="2">
        <v>43640</v>
      </c>
      <c r="H7" s="2">
        <v>40391</v>
      </c>
      <c r="I7" s="2">
        <v>13916</v>
      </c>
      <c r="J7" s="2">
        <v>-60334</v>
      </c>
      <c r="K7" s="2">
        <v>-76889</v>
      </c>
      <c r="L7" s="2">
        <v>-82916</v>
      </c>
      <c r="M7" s="2">
        <v>30841</v>
      </c>
      <c r="N7" s="2">
        <v>25699</v>
      </c>
      <c r="O7" s="2">
        <v>-108486</v>
      </c>
      <c r="P7" s="2">
        <v>42515</v>
      </c>
      <c r="Q7" s="2">
        <v>-9431</v>
      </c>
      <c r="R7" s="2">
        <v>3821</v>
      </c>
      <c r="S7" s="2">
        <v>16244</v>
      </c>
      <c r="T7" s="20">
        <v>-27488</v>
      </c>
      <c r="U7" s="2">
        <v>24203</v>
      </c>
      <c r="V7" s="20">
        <v>16780</v>
      </c>
      <c r="W7" s="20">
        <v>11811</v>
      </c>
      <c r="X7" s="20">
        <v>-20019</v>
      </c>
      <c r="Y7" s="20">
        <v>-144060</v>
      </c>
      <c r="Z7" s="20">
        <v>-5815</v>
      </c>
      <c r="AA7" s="20">
        <f>SUM(W7:Z7)</f>
        <v>-158083</v>
      </c>
      <c r="AB7" s="20">
        <v>102659</v>
      </c>
      <c r="AC7" s="20">
        <v>-13341</v>
      </c>
      <c r="AD7" s="20">
        <v>-72464</v>
      </c>
    </row>
    <row r="8" spans="2:30" ht="15" customHeight="1" x14ac:dyDescent="0.2">
      <c r="B8" s="1" t="s">
        <v>136</v>
      </c>
      <c r="E8" s="2">
        <v>1150</v>
      </c>
      <c r="F8" s="2">
        <v>4276</v>
      </c>
      <c r="G8" s="2">
        <v>22716</v>
      </c>
      <c r="H8" s="2">
        <v>12763</v>
      </c>
      <c r="I8" s="2">
        <v>7588</v>
      </c>
      <c r="J8" s="2">
        <v>4749</v>
      </c>
      <c r="K8" s="2">
        <v>-43085</v>
      </c>
      <c r="L8" s="2">
        <v>-17985</v>
      </c>
      <c r="M8" s="2">
        <v>10720</v>
      </c>
      <c r="N8" s="2">
        <v>2282</v>
      </c>
      <c r="O8" s="2">
        <v>-42330</v>
      </c>
      <c r="P8" s="2">
        <v>-3775</v>
      </c>
      <c r="Q8" s="2">
        <v>-33103</v>
      </c>
      <c r="R8" s="2">
        <v>6609</v>
      </c>
      <c r="S8" s="2">
        <v>6385</v>
      </c>
      <c r="T8" s="20">
        <v>-11189</v>
      </c>
      <c r="U8" s="2">
        <v>20517</v>
      </c>
      <c r="V8" s="20">
        <v>22322</v>
      </c>
      <c r="W8" s="20">
        <v>10600</v>
      </c>
      <c r="X8" s="20">
        <v>-6815</v>
      </c>
      <c r="Y8" s="20">
        <v>-52044</v>
      </c>
      <c r="Z8" s="20">
        <v>32685</v>
      </c>
      <c r="AA8" s="20">
        <f>SUM(W8:Z8)</f>
        <v>-15574</v>
      </c>
      <c r="AB8" s="20">
        <v>6231</v>
      </c>
      <c r="AC8" s="20">
        <v>1227</v>
      </c>
      <c r="AD8" s="20">
        <v>-35381</v>
      </c>
    </row>
    <row r="9" spans="2:30" ht="15" customHeight="1" x14ac:dyDescent="0.2">
      <c r="B9" s="1" t="s">
        <v>75</v>
      </c>
      <c r="E9" s="2">
        <v>4575</v>
      </c>
      <c r="F9" s="2">
        <v>3265</v>
      </c>
      <c r="G9" s="2">
        <v>7858</v>
      </c>
      <c r="H9" s="2">
        <v>216</v>
      </c>
      <c r="I9" s="2">
        <v>258</v>
      </c>
      <c r="J9" s="2">
        <v>1749</v>
      </c>
      <c r="K9" s="2">
        <v>159954</v>
      </c>
      <c r="L9" s="2">
        <v>162177</v>
      </c>
      <c r="M9" s="2">
        <v>-475</v>
      </c>
      <c r="N9" s="2">
        <v>-1587</v>
      </c>
      <c r="O9" s="2">
        <v>88781</v>
      </c>
      <c r="P9" s="2">
        <v>12089</v>
      </c>
      <c r="Q9" s="2">
        <v>98808</v>
      </c>
      <c r="R9" s="2">
        <v>28952</v>
      </c>
      <c r="S9" s="2">
        <v>17960</v>
      </c>
      <c r="T9" s="2">
        <v>31394</v>
      </c>
      <c r="U9" s="2">
        <v>18496</v>
      </c>
      <c r="V9" s="2">
        <v>96802</v>
      </c>
      <c r="W9" s="2">
        <v>28674</v>
      </c>
      <c r="X9" s="2">
        <v>33564</v>
      </c>
      <c r="Y9" s="2">
        <v>104594</v>
      </c>
      <c r="Z9" s="2">
        <v>114042</v>
      </c>
      <c r="AA9" s="2">
        <f>SUM(W9:Z9)</f>
        <v>280874</v>
      </c>
      <c r="AB9" s="2">
        <v>-34132</v>
      </c>
      <c r="AC9" s="2">
        <v>24103</v>
      </c>
      <c r="AD9" s="2">
        <v>53882</v>
      </c>
    </row>
    <row r="10" spans="2:30" ht="15" customHeight="1" x14ac:dyDescent="0.2">
      <c r="B10" s="1" t="s">
        <v>76</v>
      </c>
      <c r="E10" s="2">
        <v>3379</v>
      </c>
      <c r="F10" s="2">
        <v>4417</v>
      </c>
      <c r="G10" s="2">
        <v>14288</v>
      </c>
      <c r="H10" s="2">
        <v>4374</v>
      </c>
      <c r="I10" s="2">
        <v>4528</v>
      </c>
      <c r="J10" s="2">
        <v>4957</v>
      </c>
      <c r="K10" s="2">
        <v>5735</v>
      </c>
      <c r="L10" s="2">
        <v>19594</v>
      </c>
      <c r="M10" s="2">
        <v>7240</v>
      </c>
      <c r="N10" s="2">
        <v>9103</v>
      </c>
      <c r="O10" s="2">
        <v>8106</v>
      </c>
      <c r="P10" s="2">
        <v>23865</v>
      </c>
      <c r="Q10" s="2">
        <v>48314</v>
      </c>
      <c r="R10" s="2">
        <v>28675</v>
      </c>
      <c r="S10" s="2">
        <v>31373</v>
      </c>
      <c r="T10" s="2">
        <v>29715</v>
      </c>
      <c r="U10" s="2">
        <v>37692</v>
      </c>
      <c r="V10" s="2">
        <v>127455</v>
      </c>
      <c r="W10" s="2">
        <v>48052</v>
      </c>
      <c r="X10" s="2">
        <v>45423</v>
      </c>
      <c r="Y10" s="2">
        <v>42605</v>
      </c>
      <c r="Z10" s="2">
        <v>58805</v>
      </c>
      <c r="AA10" s="2">
        <f>SUM(W10:Z10)</f>
        <v>194885</v>
      </c>
      <c r="AB10" s="2">
        <v>65781</v>
      </c>
      <c r="AC10" s="2">
        <v>74302</v>
      </c>
      <c r="AD10" s="2">
        <v>55617</v>
      </c>
    </row>
    <row r="11" spans="2:30" ht="15" customHeight="1" x14ac:dyDescent="0.2">
      <c r="B11" s="1" t="s">
        <v>244</v>
      </c>
      <c r="E11" s="2">
        <v>114</v>
      </c>
      <c r="F11" s="2">
        <v>36</v>
      </c>
      <c r="G11" s="2">
        <v>705</v>
      </c>
      <c r="H11" s="2">
        <v>65</v>
      </c>
      <c r="I11" s="2">
        <v>229</v>
      </c>
      <c r="J11" s="2">
        <v>255</v>
      </c>
      <c r="K11" s="2">
        <v>243</v>
      </c>
      <c r="L11" s="2">
        <v>792</v>
      </c>
      <c r="M11" s="2">
        <v>492</v>
      </c>
      <c r="N11" s="2">
        <v>667</v>
      </c>
      <c r="O11" s="2">
        <v>794</v>
      </c>
      <c r="P11" s="2">
        <v>-153</v>
      </c>
      <c r="Q11" s="2">
        <v>1800</v>
      </c>
      <c r="R11" s="2">
        <v>706</v>
      </c>
      <c r="S11" s="2">
        <v>3293</v>
      </c>
      <c r="T11" s="2">
        <v>4042</v>
      </c>
      <c r="U11" s="2">
        <v>-8450</v>
      </c>
      <c r="V11" s="2">
        <v>-409</v>
      </c>
      <c r="W11" s="2">
        <v>1023</v>
      </c>
      <c r="X11" s="2">
        <v>1728</v>
      </c>
      <c r="Y11" s="2">
        <v>5575</v>
      </c>
      <c r="Z11" s="2">
        <v>13856</v>
      </c>
      <c r="AA11" s="2">
        <f>SUM(W11:Z11)</f>
        <v>22182</v>
      </c>
      <c r="AB11" s="2">
        <v>5642</v>
      </c>
      <c r="AC11" s="2">
        <v>14294</v>
      </c>
      <c r="AD11" s="2">
        <v>4284</v>
      </c>
    </row>
    <row r="12" spans="2:30" ht="15" customHeight="1" x14ac:dyDescent="0.2">
      <c r="B12" s="7" t="s">
        <v>114</v>
      </c>
      <c r="E12" s="2">
        <f>SUM(E7:E11)</f>
        <v>8554</v>
      </c>
      <c r="F12" s="2">
        <f t="shared" ref="F12:Q12" si="0">SUM(F7:F11)</f>
        <v>20049</v>
      </c>
      <c r="G12" s="2">
        <f t="shared" si="0"/>
        <v>89207</v>
      </c>
      <c r="H12" s="2">
        <f t="shared" si="0"/>
        <v>57809</v>
      </c>
      <c r="I12" s="2">
        <f t="shared" si="0"/>
        <v>26519</v>
      </c>
      <c r="J12" s="2">
        <f t="shared" si="0"/>
        <v>-48624</v>
      </c>
      <c r="K12" s="2">
        <f t="shared" si="0"/>
        <v>45958</v>
      </c>
      <c r="L12" s="2">
        <f t="shared" si="0"/>
        <v>81662</v>
      </c>
      <c r="M12" s="2">
        <f t="shared" si="0"/>
        <v>48818</v>
      </c>
      <c r="N12" s="2">
        <f t="shared" si="0"/>
        <v>36164</v>
      </c>
      <c r="O12" s="2">
        <f t="shared" si="0"/>
        <v>-53135</v>
      </c>
      <c r="P12" s="2">
        <f t="shared" si="0"/>
        <v>74541</v>
      </c>
      <c r="Q12" s="2">
        <f t="shared" si="0"/>
        <v>106388</v>
      </c>
      <c r="R12" s="2">
        <f t="shared" ref="R12:AD12" si="1">SUM(R7:R11)</f>
        <v>68763</v>
      </c>
      <c r="S12" s="2">
        <f t="shared" si="1"/>
        <v>75255</v>
      </c>
      <c r="T12" s="67">
        <f t="shared" si="1"/>
        <v>26474</v>
      </c>
      <c r="U12" s="67">
        <f t="shared" si="1"/>
        <v>92458</v>
      </c>
      <c r="V12" s="67">
        <f t="shared" si="1"/>
        <v>262950</v>
      </c>
      <c r="W12" s="2">
        <f t="shared" si="1"/>
        <v>100160</v>
      </c>
      <c r="X12" s="2">
        <f t="shared" si="1"/>
        <v>53881</v>
      </c>
      <c r="Y12" s="2">
        <f t="shared" si="1"/>
        <v>-43330</v>
      </c>
      <c r="Z12" s="2">
        <f t="shared" si="1"/>
        <v>213573</v>
      </c>
      <c r="AA12" s="67">
        <f t="shared" si="1"/>
        <v>324284</v>
      </c>
      <c r="AB12" s="2">
        <f t="shared" si="1"/>
        <v>146181</v>
      </c>
      <c r="AC12" s="2">
        <f t="shared" si="1"/>
        <v>100585</v>
      </c>
      <c r="AD12" s="2">
        <f t="shared" si="1"/>
        <v>5938</v>
      </c>
    </row>
    <row r="13" spans="2:30" ht="15" customHeight="1" x14ac:dyDescent="0.2">
      <c r="B13" s="1" t="s">
        <v>224</v>
      </c>
      <c r="E13" s="2">
        <f t="shared" ref="E13:AA13" si="2">SUM(E14:E15)</f>
        <v>553</v>
      </c>
      <c r="F13" s="2">
        <f t="shared" si="2"/>
        <v>658</v>
      </c>
      <c r="G13" s="2">
        <f t="shared" si="2"/>
        <v>1890</v>
      </c>
      <c r="H13" s="2">
        <f t="shared" si="2"/>
        <v>343</v>
      </c>
      <c r="I13" s="2">
        <f t="shared" si="2"/>
        <v>344</v>
      </c>
      <c r="J13" s="2">
        <f t="shared" si="2"/>
        <v>59472</v>
      </c>
      <c r="K13" s="2">
        <f t="shared" si="2"/>
        <v>138</v>
      </c>
      <c r="L13" s="2">
        <f t="shared" si="2"/>
        <v>60297</v>
      </c>
      <c r="M13" s="2">
        <f t="shared" si="2"/>
        <v>137</v>
      </c>
      <c r="N13" s="2">
        <f t="shared" si="2"/>
        <v>20814</v>
      </c>
      <c r="O13" s="2">
        <f t="shared" si="2"/>
        <v>34878</v>
      </c>
      <c r="P13" s="2">
        <f t="shared" si="2"/>
        <v>11148</v>
      </c>
      <c r="Q13" s="2">
        <f t="shared" si="2"/>
        <v>66978</v>
      </c>
      <c r="R13" s="2">
        <f t="shared" si="2"/>
        <v>15960</v>
      </c>
      <c r="S13" s="2">
        <f t="shared" si="2"/>
        <v>15480</v>
      </c>
      <c r="T13" s="2">
        <f t="shared" si="2"/>
        <v>19840</v>
      </c>
      <c r="U13" s="2">
        <f t="shared" si="2"/>
        <v>18566</v>
      </c>
      <c r="V13" s="2">
        <f t="shared" si="2"/>
        <v>69846</v>
      </c>
      <c r="W13" s="2">
        <f t="shared" si="2"/>
        <v>11724</v>
      </c>
      <c r="X13" s="2">
        <f t="shared" si="2"/>
        <v>9324</v>
      </c>
      <c r="Y13" s="2">
        <f t="shared" si="2"/>
        <v>42993</v>
      </c>
      <c r="Z13" s="2">
        <f t="shared" si="2"/>
        <v>23749</v>
      </c>
      <c r="AA13" s="2">
        <f t="shared" si="2"/>
        <v>87790</v>
      </c>
      <c r="AB13" s="2">
        <f>SUM(AB14:AB15)</f>
        <v>15423</v>
      </c>
      <c r="AC13" s="2">
        <f>SUM(AC14:AC15)</f>
        <v>3726</v>
      </c>
      <c r="AD13" s="2">
        <f>SUM(AD14:AD15)</f>
        <v>21596</v>
      </c>
    </row>
    <row r="14" spans="2:30" ht="15" customHeight="1" x14ac:dyDescent="0.2">
      <c r="B14" s="68" t="s">
        <v>245</v>
      </c>
      <c r="E14" s="42">
        <v>553</v>
      </c>
      <c r="F14" s="42">
        <v>658</v>
      </c>
      <c r="G14" s="42">
        <v>1890</v>
      </c>
      <c r="H14" s="42">
        <v>343</v>
      </c>
      <c r="I14" s="42">
        <v>344</v>
      </c>
      <c r="J14" s="42">
        <v>59472</v>
      </c>
      <c r="K14" s="42">
        <v>138</v>
      </c>
      <c r="L14" s="42">
        <v>60297</v>
      </c>
      <c r="M14" s="42">
        <v>137</v>
      </c>
      <c r="N14" s="42">
        <v>20814</v>
      </c>
      <c r="O14" s="42">
        <v>34878</v>
      </c>
      <c r="P14" s="42">
        <v>11148</v>
      </c>
      <c r="Q14" s="42">
        <v>66978</v>
      </c>
      <c r="R14" s="42">
        <v>8909</v>
      </c>
      <c r="S14" s="42">
        <v>8868</v>
      </c>
      <c r="T14" s="63">
        <v>-2339</v>
      </c>
      <c r="U14" s="42">
        <v>21025</v>
      </c>
      <c r="V14" s="63">
        <f>SUM(R14:U14)</f>
        <v>36463</v>
      </c>
      <c r="W14" s="64">
        <f>8371+995</f>
        <v>9366</v>
      </c>
      <c r="X14" s="64">
        <v>6319</v>
      </c>
      <c r="Y14" s="64">
        <v>41630</v>
      </c>
      <c r="Z14" s="64">
        <v>12812</v>
      </c>
      <c r="AA14" s="63">
        <f>SUM(W14:Z14)</f>
        <v>70127</v>
      </c>
      <c r="AB14" s="64">
        <v>8020</v>
      </c>
      <c r="AC14" s="64">
        <v>1810</v>
      </c>
      <c r="AD14" s="64">
        <v>16922</v>
      </c>
    </row>
    <row r="15" spans="2:30" ht="15" customHeight="1" x14ac:dyDescent="0.2">
      <c r="B15" s="68" t="s">
        <v>209</v>
      </c>
      <c r="E15" s="42">
        <v>0</v>
      </c>
      <c r="F15" s="42">
        <v>0</v>
      </c>
      <c r="G15" s="42">
        <v>0</v>
      </c>
      <c r="H15" s="42">
        <v>0</v>
      </c>
      <c r="I15" s="42">
        <v>0</v>
      </c>
      <c r="J15" s="42">
        <v>0</v>
      </c>
      <c r="K15" s="42">
        <v>0</v>
      </c>
      <c r="L15" s="42">
        <v>0</v>
      </c>
      <c r="M15" s="42">
        <v>0</v>
      </c>
      <c r="N15" s="42">
        <v>0</v>
      </c>
      <c r="O15" s="42">
        <v>0</v>
      </c>
      <c r="P15" s="42">
        <v>0</v>
      </c>
      <c r="Q15" s="42">
        <v>0</v>
      </c>
      <c r="R15" s="42">
        <v>7051</v>
      </c>
      <c r="S15" s="42">
        <v>6612</v>
      </c>
      <c r="T15" s="63">
        <v>22179</v>
      </c>
      <c r="U15" s="42">
        <v>-2459</v>
      </c>
      <c r="V15" s="42">
        <f>SUM(R15:U15)</f>
        <v>33383</v>
      </c>
      <c r="W15" s="64">
        <f>2358</f>
        <v>2358</v>
      </c>
      <c r="X15" s="64">
        <v>3005</v>
      </c>
      <c r="Y15" s="64">
        <v>1363</v>
      </c>
      <c r="Z15" s="64">
        <v>10937</v>
      </c>
      <c r="AA15" s="42">
        <f>SUM(W15:Z15)</f>
        <v>17663</v>
      </c>
      <c r="AB15" s="64">
        <v>7403</v>
      </c>
      <c r="AC15" s="64">
        <v>1916</v>
      </c>
      <c r="AD15" s="64">
        <v>4674</v>
      </c>
    </row>
    <row r="16" spans="2:30" ht="15" customHeight="1" x14ac:dyDescent="0.2">
      <c r="B16" s="1" t="s">
        <v>227</v>
      </c>
      <c r="E16" s="2">
        <v>0</v>
      </c>
      <c r="F16" s="2">
        <v>0</v>
      </c>
      <c r="G16" s="2">
        <v>0</v>
      </c>
      <c r="H16" s="2">
        <v>0</v>
      </c>
      <c r="I16" s="2">
        <v>0</v>
      </c>
      <c r="J16" s="2">
        <v>0</v>
      </c>
      <c r="K16" s="2">
        <v>0</v>
      </c>
      <c r="L16" s="2">
        <v>0</v>
      </c>
      <c r="M16" s="2">
        <v>0</v>
      </c>
      <c r="N16" s="2">
        <v>4423</v>
      </c>
      <c r="O16" s="2">
        <v>8486</v>
      </c>
      <c r="P16" s="2">
        <v>15939</v>
      </c>
      <c r="Q16" s="2">
        <v>28848</v>
      </c>
      <c r="R16" s="2">
        <f>1564+5869</f>
        <v>7433</v>
      </c>
      <c r="S16" s="2">
        <f>2427+2666</f>
        <v>5093</v>
      </c>
      <c r="T16" s="34">
        <f>1697+5735</f>
        <v>7432</v>
      </c>
      <c r="U16" s="2">
        <f>8063+1931</f>
        <v>9994</v>
      </c>
      <c r="V16" s="34">
        <f>SUM(R16:U16)</f>
        <v>29952</v>
      </c>
      <c r="W16" s="34">
        <f>3997+1307</f>
        <v>5304</v>
      </c>
      <c r="X16" s="34">
        <f>3853+4599</f>
        <v>8452</v>
      </c>
      <c r="Y16" s="34">
        <f>14353+946</f>
        <v>15299</v>
      </c>
      <c r="Z16" s="2">
        <v>-13005</v>
      </c>
      <c r="AA16" s="34">
        <v>30072</v>
      </c>
      <c r="AB16" s="2">
        <v>1472</v>
      </c>
      <c r="AC16" s="2">
        <v>7714</v>
      </c>
      <c r="AD16" s="2">
        <v>1490.4699999999993</v>
      </c>
    </row>
    <row r="17" spans="1:30" ht="15" customHeight="1" x14ac:dyDescent="0.2">
      <c r="B17" s="1" t="s">
        <v>228</v>
      </c>
      <c r="E17" s="2">
        <v>0</v>
      </c>
      <c r="F17" s="2">
        <v>0</v>
      </c>
      <c r="G17" s="2">
        <v>0</v>
      </c>
      <c r="H17" s="2">
        <v>0</v>
      </c>
      <c r="I17" s="2">
        <v>0</v>
      </c>
      <c r="J17" s="2">
        <v>0</v>
      </c>
      <c r="K17" s="2">
        <v>0</v>
      </c>
      <c r="L17" s="2">
        <v>0</v>
      </c>
      <c r="M17" s="2">
        <v>0</v>
      </c>
      <c r="N17" s="2">
        <v>0</v>
      </c>
      <c r="O17" s="2">
        <v>0</v>
      </c>
      <c r="P17" s="2">
        <v>0</v>
      </c>
      <c r="Q17" s="2">
        <v>0</v>
      </c>
      <c r="R17" s="2">
        <v>0</v>
      </c>
      <c r="S17" s="2">
        <v>0</v>
      </c>
      <c r="T17" s="2">
        <v>0</v>
      </c>
      <c r="U17" s="2">
        <v>0</v>
      </c>
      <c r="V17" s="2">
        <v>0</v>
      </c>
      <c r="W17" s="2">
        <v>0</v>
      </c>
      <c r="X17" s="2">
        <v>0</v>
      </c>
      <c r="Y17" s="2">
        <v>0</v>
      </c>
      <c r="Z17" s="2">
        <v>0</v>
      </c>
      <c r="AA17" s="2">
        <v>-14022</v>
      </c>
      <c r="AB17" s="2">
        <v>-16413</v>
      </c>
      <c r="AC17" s="2">
        <v>-1345</v>
      </c>
      <c r="AD17" s="2">
        <v>46</v>
      </c>
    </row>
    <row r="18" spans="1:30" ht="15" customHeight="1" x14ac:dyDescent="0.2">
      <c r="B18" s="1" t="s">
        <v>121</v>
      </c>
      <c r="E18" s="2">
        <v>0</v>
      </c>
      <c r="F18" s="2">
        <v>0</v>
      </c>
      <c r="G18" s="2">
        <v>0</v>
      </c>
      <c r="H18" s="2">
        <v>0</v>
      </c>
      <c r="I18" s="2">
        <v>0</v>
      </c>
      <c r="J18" s="2">
        <v>0</v>
      </c>
      <c r="K18" s="2">
        <v>0</v>
      </c>
      <c r="L18" s="2">
        <v>0</v>
      </c>
      <c r="M18" s="2">
        <v>0</v>
      </c>
      <c r="N18" s="2">
        <v>0</v>
      </c>
      <c r="O18" s="2">
        <v>2467</v>
      </c>
      <c r="P18" s="2">
        <v>4675</v>
      </c>
      <c r="Q18" s="2">
        <v>7142</v>
      </c>
      <c r="R18" s="2">
        <f>7231-5869</f>
        <v>1362</v>
      </c>
      <c r="S18" s="2">
        <f>2827-2666</f>
        <v>161</v>
      </c>
      <c r="T18" s="34">
        <f>6694-5735</f>
        <v>959</v>
      </c>
      <c r="U18" s="2">
        <f>2736-1931</f>
        <v>805</v>
      </c>
      <c r="V18" s="34">
        <f>SUM(R18:U18)</f>
        <v>3287</v>
      </c>
      <c r="W18" s="34">
        <f>1875-1307</f>
        <v>568</v>
      </c>
      <c r="X18" s="34">
        <f>4683-4599</f>
        <v>84</v>
      </c>
      <c r="Y18" s="34">
        <f>1242-946</f>
        <v>296</v>
      </c>
      <c r="Z18" s="2">
        <v>-339</v>
      </c>
      <c r="AA18" s="34">
        <f>SUM(W18:Z18)</f>
        <v>609</v>
      </c>
      <c r="AB18" s="2">
        <v>0</v>
      </c>
      <c r="AC18" s="2">
        <v>0</v>
      </c>
      <c r="AD18" s="2">
        <v>8083</v>
      </c>
    </row>
    <row r="19" spans="1:30" ht="15" customHeight="1" x14ac:dyDescent="0.2">
      <c r="B19" s="1" t="s">
        <v>122</v>
      </c>
      <c r="E19" s="2">
        <v>0</v>
      </c>
      <c r="F19" s="2">
        <v>0</v>
      </c>
      <c r="G19" s="2">
        <v>0</v>
      </c>
      <c r="H19" s="2">
        <v>0</v>
      </c>
      <c r="I19" s="2">
        <v>0</v>
      </c>
      <c r="J19" s="2">
        <v>0</v>
      </c>
      <c r="K19" s="2">
        <v>0</v>
      </c>
      <c r="L19" s="2">
        <v>0</v>
      </c>
      <c r="M19" s="2">
        <v>0</v>
      </c>
      <c r="N19" s="2">
        <v>0</v>
      </c>
      <c r="O19" s="2">
        <v>0</v>
      </c>
      <c r="P19" s="2">
        <v>0</v>
      </c>
      <c r="Q19" s="2">
        <v>0</v>
      </c>
      <c r="R19" s="2">
        <v>3402</v>
      </c>
      <c r="S19" s="2">
        <v>4591</v>
      </c>
      <c r="T19" s="34">
        <v>2922</v>
      </c>
      <c r="U19" s="2">
        <v>4075</v>
      </c>
      <c r="V19" s="34">
        <v>14990</v>
      </c>
      <c r="W19" s="27">
        <v>629</v>
      </c>
      <c r="X19" s="27">
        <v>523</v>
      </c>
      <c r="Y19" s="27">
        <v>544</v>
      </c>
      <c r="Z19" s="22">
        <v>425.10725247990058</v>
      </c>
      <c r="AA19" s="34">
        <f>SUM(W19:Z19)</f>
        <v>2121.1072524799006</v>
      </c>
      <c r="AB19" s="22">
        <v>0</v>
      </c>
      <c r="AC19" s="22">
        <v>0</v>
      </c>
      <c r="AD19" s="22">
        <v>0</v>
      </c>
    </row>
    <row r="20" spans="1:30" ht="15" customHeight="1" x14ac:dyDescent="0.2">
      <c r="A20" s="7"/>
      <c r="B20" s="7" t="s">
        <v>246</v>
      </c>
      <c r="C20" s="7"/>
      <c r="D20" s="7"/>
      <c r="E20" s="11">
        <f t="shared" ref="E20:AD20" si="3">SUM(E14:E19,E12)</f>
        <v>9107</v>
      </c>
      <c r="F20" s="11">
        <f t="shared" si="3"/>
        <v>20707</v>
      </c>
      <c r="G20" s="11">
        <f t="shared" si="3"/>
        <v>91097</v>
      </c>
      <c r="H20" s="11">
        <f t="shared" si="3"/>
        <v>58152</v>
      </c>
      <c r="I20" s="11">
        <f t="shared" si="3"/>
        <v>26863</v>
      </c>
      <c r="J20" s="11">
        <f t="shared" si="3"/>
        <v>10848</v>
      </c>
      <c r="K20" s="11">
        <f t="shared" si="3"/>
        <v>46096</v>
      </c>
      <c r="L20" s="11">
        <f t="shared" si="3"/>
        <v>141959</v>
      </c>
      <c r="M20" s="11">
        <f t="shared" si="3"/>
        <v>48955</v>
      </c>
      <c r="N20" s="11">
        <f t="shared" si="3"/>
        <v>61401</v>
      </c>
      <c r="O20" s="11">
        <f t="shared" si="3"/>
        <v>-7304</v>
      </c>
      <c r="P20" s="11">
        <f t="shared" si="3"/>
        <v>106303</v>
      </c>
      <c r="Q20" s="11">
        <f t="shared" si="3"/>
        <v>209356</v>
      </c>
      <c r="R20" s="11">
        <f t="shared" si="3"/>
        <v>96920</v>
      </c>
      <c r="S20" s="11">
        <f t="shared" si="3"/>
        <v>100580</v>
      </c>
      <c r="T20" s="11">
        <f t="shared" si="3"/>
        <v>57627</v>
      </c>
      <c r="U20" s="11">
        <f t="shared" si="3"/>
        <v>125898</v>
      </c>
      <c r="V20" s="11">
        <f t="shared" si="3"/>
        <v>381025</v>
      </c>
      <c r="W20" s="11">
        <f t="shared" si="3"/>
        <v>118385</v>
      </c>
      <c r="X20" s="11">
        <f t="shared" si="3"/>
        <v>72264</v>
      </c>
      <c r="Y20" s="11">
        <f t="shared" si="3"/>
        <v>15802</v>
      </c>
      <c r="Z20" s="11">
        <f t="shared" si="3"/>
        <v>224403.10725247991</v>
      </c>
      <c r="AA20" s="11">
        <f t="shared" si="3"/>
        <v>430854.10725247988</v>
      </c>
      <c r="AB20" s="11">
        <f t="shared" si="3"/>
        <v>146663</v>
      </c>
      <c r="AC20" s="11">
        <f t="shared" si="3"/>
        <v>110680</v>
      </c>
      <c r="AD20" s="11">
        <f t="shared" si="3"/>
        <v>37153.47</v>
      </c>
    </row>
    <row r="21" spans="1:30" s="7" customFormat="1" ht="15" customHeight="1" x14ac:dyDescent="0.2">
      <c r="A21" s="1"/>
      <c r="B21" s="1" t="s">
        <v>77</v>
      </c>
      <c r="C21" s="1"/>
      <c r="D21" s="1"/>
      <c r="E21" s="2">
        <v>38415</v>
      </c>
      <c r="F21" s="2">
        <v>69872</v>
      </c>
      <c r="G21" s="2">
        <v>244382</v>
      </c>
      <c r="H21" s="2">
        <v>113634</v>
      </c>
      <c r="I21" s="2">
        <v>81436</v>
      </c>
      <c r="J21" s="2">
        <v>64902</v>
      </c>
      <c r="K21" s="2">
        <v>121009</v>
      </c>
      <c r="L21" s="2">
        <v>380981</v>
      </c>
      <c r="M21" s="2">
        <v>117055</v>
      </c>
      <c r="N21" s="2">
        <v>137566</v>
      </c>
      <c r="O21" s="2">
        <v>70572</v>
      </c>
      <c r="P21" s="2">
        <v>247644</v>
      </c>
      <c r="Q21" s="2">
        <v>572837</v>
      </c>
      <c r="R21" s="2">
        <v>261579</v>
      </c>
      <c r="S21" s="2">
        <v>234864</v>
      </c>
      <c r="T21" s="2">
        <v>208730</v>
      </c>
      <c r="U21" s="2">
        <v>296537</v>
      </c>
      <c r="V21" s="2">
        <v>1001710</v>
      </c>
      <c r="W21" s="22">
        <v>331672</v>
      </c>
      <c r="X21" s="22">
        <v>256301</v>
      </c>
      <c r="Y21" s="22">
        <v>183267</v>
      </c>
      <c r="Z21" s="22">
        <v>460834</v>
      </c>
      <c r="AA21" s="2">
        <f>SUM(W21:Z21)</f>
        <v>1232074</v>
      </c>
      <c r="AB21" s="22">
        <v>430037</v>
      </c>
      <c r="AC21" s="22">
        <v>412137</v>
      </c>
      <c r="AD21" s="22">
        <v>253922</v>
      </c>
    </row>
    <row r="22" spans="1:30" s="7" customFormat="1" ht="15" customHeight="1" x14ac:dyDescent="0.2">
      <c r="A22" s="1"/>
      <c r="B22" s="7" t="s">
        <v>118</v>
      </c>
      <c r="C22" s="1"/>
      <c r="D22" s="1"/>
      <c r="E22" s="15">
        <f t="shared" ref="E22:AC22" si="4">E12/E21</f>
        <v>0.22267343485617597</v>
      </c>
      <c r="F22" s="15">
        <f t="shared" si="4"/>
        <v>0.28693897412411268</v>
      </c>
      <c r="G22" s="15">
        <f t="shared" si="4"/>
        <v>0.3650309760948024</v>
      </c>
      <c r="H22" s="15">
        <f t="shared" si="4"/>
        <v>0.50872978157945681</v>
      </c>
      <c r="I22" s="15">
        <f t="shared" si="4"/>
        <v>0.32564222211307037</v>
      </c>
      <c r="J22" s="15">
        <f t="shared" si="4"/>
        <v>-0.74919108810206159</v>
      </c>
      <c r="K22" s="15">
        <f t="shared" si="4"/>
        <v>0.37978993298019154</v>
      </c>
      <c r="L22" s="15">
        <f t="shared" si="4"/>
        <v>0.21434664720812849</v>
      </c>
      <c r="M22" s="15">
        <f t="shared" si="4"/>
        <v>0.41705181325018154</v>
      </c>
      <c r="N22" s="15">
        <f t="shared" si="4"/>
        <v>0.26288472442318594</v>
      </c>
      <c r="O22" s="15">
        <f t="shared" si="4"/>
        <v>-0.75291900470441531</v>
      </c>
      <c r="P22" s="15">
        <f t="shared" si="4"/>
        <v>0.30100062993652177</v>
      </c>
      <c r="Q22" s="15">
        <f t="shared" si="4"/>
        <v>0.18572124356492337</v>
      </c>
      <c r="R22" s="15">
        <f t="shared" si="4"/>
        <v>0.26287660706708105</v>
      </c>
      <c r="S22" s="15">
        <f t="shared" si="4"/>
        <v>0.32041947680359695</v>
      </c>
      <c r="T22" s="15">
        <f t="shared" si="4"/>
        <v>0.12683370861878981</v>
      </c>
      <c r="U22" s="15">
        <f t="shared" si="4"/>
        <v>0.31179245760225538</v>
      </c>
      <c r="V22" s="15">
        <f t="shared" si="4"/>
        <v>0.26250112307953399</v>
      </c>
      <c r="W22" s="15">
        <f t="shared" si="4"/>
        <v>0.30198509370703586</v>
      </c>
      <c r="X22" s="15">
        <f t="shared" si="4"/>
        <v>0.21022547707578199</v>
      </c>
      <c r="Y22" s="15">
        <f t="shared" si="4"/>
        <v>-0.23643099957984798</v>
      </c>
      <c r="Z22" s="15">
        <f t="shared" si="4"/>
        <v>0.46344887746997837</v>
      </c>
      <c r="AA22" s="15">
        <f t="shared" si="4"/>
        <v>0.26320172327311508</v>
      </c>
      <c r="AB22" s="15">
        <f t="shared" si="4"/>
        <v>0.33992656445840708</v>
      </c>
      <c r="AC22" s="15">
        <f t="shared" si="4"/>
        <v>0.24405719457364905</v>
      </c>
      <c r="AD22" s="15">
        <f t="shared" ref="AD22" si="5">AD12/AD21</f>
        <v>2.3385134017532942E-2</v>
      </c>
    </row>
    <row r="23" spans="1:30" ht="15" customHeight="1" x14ac:dyDescent="0.2">
      <c r="A23" s="7"/>
      <c r="B23" s="7" t="s">
        <v>115</v>
      </c>
      <c r="C23" s="7"/>
      <c r="D23" s="7"/>
      <c r="E23" s="16">
        <f>E20/E21</f>
        <v>0.23706885331250813</v>
      </c>
      <c r="F23" s="16">
        <f>F20/F21</f>
        <v>0.29635619418365011</v>
      </c>
      <c r="G23" s="16">
        <f>G20/G21</f>
        <v>0.3727647699094041</v>
      </c>
      <c r="H23" s="16">
        <f>H20/H21</f>
        <v>0.51174824436348276</v>
      </c>
      <c r="I23" s="16">
        <f>I20/I21</f>
        <v>0.32986639815315094</v>
      </c>
      <c r="J23" s="16">
        <f t="shared" ref="J23:P23" si="6">J20/J21</f>
        <v>0.16714430988259221</v>
      </c>
      <c r="K23" s="16">
        <f t="shared" si="6"/>
        <v>0.38093034402399822</v>
      </c>
      <c r="L23" s="16">
        <f t="shared" si="6"/>
        <v>0.37261438234452637</v>
      </c>
      <c r="M23" s="16">
        <f t="shared" si="6"/>
        <v>0.41822220323779419</v>
      </c>
      <c r="N23" s="16">
        <f t="shared" si="6"/>
        <v>0.44633848480002325</v>
      </c>
      <c r="O23" s="16">
        <f t="shared" si="6"/>
        <v>-0.10349713767499859</v>
      </c>
      <c r="P23" s="16">
        <f t="shared" si="6"/>
        <v>0.42925732099303837</v>
      </c>
      <c r="Q23" s="16">
        <f t="shared" ref="Q23:AC23" si="7">Q20/Q21</f>
        <v>0.36547220238916134</v>
      </c>
      <c r="R23" s="16">
        <f t="shared" si="7"/>
        <v>0.37051904013701403</v>
      </c>
      <c r="S23" s="16">
        <f t="shared" si="7"/>
        <v>0.42824783704612029</v>
      </c>
      <c r="T23" s="16">
        <f t="shared" si="7"/>
        <v>0.27608393618550281</v>
      </c>
      <c r="U23" s="16">
        <f t="shared" si="7"/>
        <v>0.42456084738160837</v>
      </c>
      <c r="V23" s="16">
        <f t="shared" si="7"/>
        <v>0.38037455950324944</v>
      </c>
      <c r="W23" s="16">
        <f t="shared" si="7"/>
        <v>0.35693395885091295</v>
      </c>
      <c r="X23" s="16">
        <f t="shared" si="7"/>
        <v>0.28194973878369572</v>
      </c>
      <c r="Y23" s="16">
        <f t="shared" si="7"/>
        <v>8.6223924656375669E-2</v>
      </c>
      <c r="Z23" s="16">
        <f t="shared" si="7"/>
        <v>0.48694998036707343</v>
      </c>
      <c r="AA23" s="16">
        <f t="shared" si="7"/>
        <v>0.34969823829776447</v>
      </c>
      <c r="AB23" s="16">
        <f t="shared" si="7"/>
        <v>0.3410473982471276</v>
      </c>
      <c r="AC23" s="16">
        <f t="shared" si="7"/>
        <v>0.2685514768147485</v>
      </c>
      <c r="AD23" s="16">
        <f t="shared" ref="AD23" si="8">AD20/AD21</f>
        <v>0.14631843637022393</v>
      </c>
    </row>
    <row r="24" spans="1:30" s="7" customFormat="1" ht="15" customHeight="1" x14ac:dyDescent="0.2">
      <c r="A24" s="1"/>
      <c r="B24" s="1"/>
      <c r="C24" s="1"/>
      <c r="D24" s="1"/>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1:30" ht="15" customHeight="1" x14ac:dyDescent="0.2">
      <c r="B25" s="7" t="s">
        <v>78</v>
      </c>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1:30" ht="15" customHeight="1" x14ac:dyDescent="0.2">
      <c r="B26" s="1" t="s">
        <v>113</v>
      </c>
      <c r="E26" s="2">
        <v>-664</v>
      </c>
      <c r="F26" s="2">
        <v>8055</v>
      </c>
      <c r="G26" s="2">
        <v>43640</v>
      </c>
      <c r="H26" s="2">
        <v>40391</v>
      </c>
      <c r="I26" s="2">
        <v>13916</v>
      </c>
      <c r="J26" s="2">
        <v>-60334</v>
      </c>
      <c r="K26" s="2">
        <v>-76889</v>
      </c>
      <c r="L26" s="2">
        <v>-82916</v>
      </c>
      <c r="M26" s="2">
        <v>30841</v>
      </c>
      <c r="N26" s="2">
        <v>25699</v>
      </c>
      <c r="O26" s="2">
        <v>-108486</v>
      </c>
      <c r="P26" s="2">
        <v>42515</v>
      </c>
      <c r="Q26" s="2">
        <v>-9431</v>
      </c>
      <c r="R26" s="2">
        <v>3821</v>
      </c>
      <c r="S26" s="2">
        <v>16244</v>
      </c>
      <c r="T26" s="9">
        <v>-27488</v>
      </c>
      <c r="U26" s="2">
        <v>24203</v>
      </c>
      <c r="V26" s="9">
        <v>16780</v>
      </c>
      <c r="W26" s="9">
        <v>11811</v>
      </c>
      <c r="X26" s="9">
        <v>-20019</v>
      </c>
      <c r="Y26" s="9">
        <v>-144060</v>
      </c>
      <c r="Z26" s="9">
        <v>-5815</v>
      </c>
      <c r="AA26" s="9">
        <f>SUM(W26:Z26)</f>
        <v>-158083</v>
      </c>
      <c r="AB26" s="9">
        <v>102659</v>
      </c>
      <c r="AC26" s="9">
        <v>-13341</v>
      </c>
      <c r="AD26" s="9">
        <v>-72464</v>
      </c>
    </row>
    <row r="27" spans="1:30" ht="15" customHeight="1" x14ac:dyDescent="0.2">
      <c r="B27" s="1" t="s">
        <v>170</v>
      </c>
      <c r="E27" s="9">
        <f t="shared" ref="E27:AD27" si="9">SUM(E28:E31)</f>
        <v>4078</v>
      </c>
      <c r="F27" s="9">
        <f t="shared" si="9"/>
        <v>5168</v>
      </c>
      <c r="G27" s="9">
        <f t="shared" si="9"/>
        <v>16442</v>
      </c>
      <c r="H27" s="9">
        <f t="shared" si="9"/>
        <v>4945</v>
      </c>
      <c r="I27" s="9">
        <f t="shared" si="9"/>
        <v>4825</v>
      </c>
      <c r="J27" s="9">
        <f t="shared" si="9"/>
        <v>5127</v>
      </c>
      <c r="K27" s="9">
        <f t="shared" si="9"/>
        <v>135598</v>
      </c>
      <c r="L27" s="9">
        <f t="shared" si="9"/>
        <v>150495</v>
      </c>
      <c r="M27" s="9">
        <f t="shared" si="9"/>
        <v>9591</v>
      </c>
      <c r="N27" s="9">
        <f t="shared" si="9"/>
        <v>10816</v>
      </c>
      <c r="O27" s="9">
        <f t="shared" si="9"/>
        <v>95582.9</v>
      </c>
      <c r="P27" s="9">
        <f t="shared" si="9"/>
        <v>31947</v>
      </c>
      <c r="Q27" s="9">
        <f t="shared" si="9"/>
        <v>147937</v>
      </c>
      <c r="R27" s="9">
        <f t="shared" si="9"/>
        <v>35903</v>
      </c>
      <c r="S27" s="9">
        <f t="shared" si="9"/>
        <v>27466</v>
      </c>
      <c r="T27" s="9">
        <f t="shared" si="9"/>
        <v>39467</v>
      </c>
      <c r="U27" s="9">
        <f t="shared" si="9"/>
        <v>35187</v>
      </c>
      <c r="V27" s="9">
        <f t="shared" si="9"/>
        <v>138023</v>
      </c>
      <c r="W27" s="9">
        <f t="shared" si="9"/>
        <v>45148</v>
      </c>
      <c r="X27" s="9">
        <f t="shared" si="9"/>
        <v>44665.025339999978</v>
      </c>
      <c r="Y27" s="9">
        <f t="shared" si="9"/>
        <v>114669</v>
      </c>
      <c r="Z27" s="9">
        <f t="shared" si="9"/>
        <v>57917</v>
      </c>
      <c r="AA27" s="9">
        <f t="shared" si="9"/>
        <v>262399.02533999999</v>
      </c>
      <c r="AB27" s="9">
        <f t="shared" si="9"/>
        <v>49903</v>
      </c>
      <c r="AC27" s="9">
        <f t="shared" si="9"/>
        <v>8134.1159799999841</v>
      </c>
      <c r="AD27" s="9">
        <f t="shared" si="9"/>
        <v>31435</v>
      </c>
    </row>
    <row r="28" spans="1:30" ht="15" customHeight="1" x14ac:dyDescent="0.2">
      <c r="B28" s="41" t="s">
        <v>171</v>
      </c>
      <c r="C28" s="41"/>
      <c r="D28" s="41"/>
      <c r="E28" s="42">
        <v>2286</v>
      </c>
      <c r="F28" s="42">
        <v>2942</v>
      </c>
      <c r="G28" s="42">
        <v>9573</v>
      </c>
      <c r="H28" s="42">
        <v>3033</v>
      </c>
      <c r="I28" s="42">
        <v>2798</v>
      </c>
      <c r="J28" s="42">
        <v>2977</v>
      </c>
      <c r="K28" s="42">
        <v>2958</v>
      </c>
      <c r="L28" s="42">
        <v>11766</v>
      </c>
      <c r="M28" s="42">
        <v>2980</v>
      </c>
      <c r="N28" s="42">
        <v>3085</v>
      </c>
      <c r="O28" s="42">
        <v>3622.9000000000005</v>
      </c>
      <c r="P28" s="42">
        <v>13485</v>
      </c>
      <c r="Q28" s="42">
        <v>23173</v>
      </c>
      <c r="R28" s="42">
        <v>17983</v>
      </c>
      <c r="S28" s="42">
        <v>18252</v>
      </c>
      <c r="T28" s="63">
        <v>18483</v>
      </c>
      <c r="U28" s="42">
        <v>21349</v>
      </c>
      <c r="V28" s="63">
        <v>76067</v>
      </c>
      <c r="W28" s="64">
        <v>24862</v>
      </c>
      <c r="X28" s="64">
        <v>24890.025339999978</v>
      </c>
      <c r="Y28" s="64">
        <v>25598</v>
      </c>
      <c r="Z28" s="64">
        <v>27844</v>
      </c>
      <c r="AA28" s="63">
        <f t="shared" ref="AA28:AA42" si="10">SUM(W28:Z28)</f>
        <v>103194.02533999998</v>
      </c>
      <c r="AB28" s="64">
        <v>28457</v>
      </c>
      <c r="AC28" s="64">
        <v>29142.115979999984</v>
      </c>
      <c r="AD28" s="64">
        <v>23911</v>
      </c>
    </row>
    <row r="29" spans="1:30" ht="15" customHeight="1" x14ac:dyDescent="0.2">
      <c r="B29" s="41" t="s">
        <v>173</v>
      </c>
      <c r="C29" s="41"/>
      <c r="D29" s="41"/>
      <c r="E29" s="42">
        <v>0</v>
      </c>
      <c r="F29" s="42">
        <v>0</v>
      </c>
      <c r="G29" s="42"/>
      <c r="H29" s="42">
        <v>0</v>
      </c>
      <c r="I29" s="42">
        <v>0</v>
      </c>
      <c r="J29" s="42">
        <v>0</v>
      </c>
      <c r="K29" s="42">
        <v>130378</v>
      </c>
      <c r="L29" s="42">
        <v>130378</v>
      </c>
      <c r="M29" s="42">
        <v>0</v>
      </c>
      <c r="N29" s="42">
        <v>0</v>
      </c>
      <c r="O29" s="42">
        <v>81781</v>
      </c>
      <c r="P29" s="42">
        <v>7622</v>
      </c>
      <c r="Q29" s="42">
        <v>89403</v>
      </c>
      <c r="R29" s="42">
        <v>6600</v>
      </c>
      <c r="S29" s="42">
        <v>294</v>
      </c>
      <c r="T29" s="63">
        <v>12978</v>
      </c>
      <c r="U29" s="42">
        <v>458</v>
      </c>
      <c r="V29" s="63">
        <v>20330</v>
      </c>
      <c r="W29" s="64">
        <v>-2188</v>
      </c>
      <c r="X29" s="64">
        <v>2677</v>
      </c>
      <c r="Y29" s="64">
        <v>74664</v>
      </c>
      <c r="Z29" s="64">
        <v>12667</v>
      </c>
      <c r="AA29" s="63">
        <f t="shared" si="10"/>
        <v>87820</v>
      </c>
      <c r="AB29" s="64">
        <v>7028</v>
      </c>
      <c r="AC29" s="64">
        <v>-33348</v>
      </c>
      <c r="AD29" s="64">
        <v>0</v>
      </c>
    </row>
    <row r="30" spans="1:30" ht="15" customHeight="1" x14ac:dyDescent="0.2">
      <c r="B30" s="41" t="s">
        <v>222</v>
      </c>
      <c r="C30" s="41"/>
      <c r="D30" s="41"/>
      <c r="E30" s="42">
        <v>1792</v>
      </c>
      <c r="F30" s="42">
        <v>2226</v>
      </c>
      <c r="G30" s="42">
        <v>6869</v>
      </c>
      <c r="H30" s="42">
        <v>1912</v>
      </c>
      <c r="I30" s="42">
        <v>2027</v>
      </c>
      <c r="J30" s="42">
        <v>2150</v>
      </c>
      <c r="K30" s="42">
        <v>2262</v>
      </c>
      <c r="L30" s="42">
        <v>8351</v>
      </c>
      <c r="M30" s="42">
        <v>6611</v>
      </c>
      <c r="N30" s="42">
        <v>7731</v>
      </c>
      <c r="O30" s="42">
        <v>10179</v>
      </c>
      <c r="P30" s="42">
        <v>10840</v>
      </c>
      <c r="Q30" s="42">
        <v>35361</v>
      </c>
      <c r="R30" s="42">
        <v>11320</v>
      </c>
      <c r="S30" s="42">
        <v>8920</v>
      </c>
      <c r="T30" s="63">
        <v>8006</v>
      </c>
      <c r="U30" s="42">
        <v>13380</v>
      </c>
      <c r="V30" s="42">
        <v>41626</v>
      </c>
      <c r="W30" s="64">
        <v>22474</v>
      </c>
      <c r="X30" s="64">
        <v>17098</v>
      </c>
      <c r="Y30" s="64">
        <v>14407</v>
      </c>
      <c r="Z30" s="64">
        <v>17406</v>
      </c>
      <c r="AA30" s="42">
        <f>SUM(W30:Z30)</f>
        <v>71385</v>
      </c>
      <c r="AB30" s="64">
        <v>14418</v>
      </c>
      <c r="AC30" s="64">
        <v>12340</v>
      </c>
      <c r="AD30" s="64">
        <v>7524</v>
      </c>
    </row>
    <row r="31" spans="1:30" ht="15" customHeight="1" x14ac:dyDescent="0.2">
      <c r="B31" s="41" t="s">
        <v>172</v>
      </c>
      <c r="C31" s="41"/>
      <c r="D31" s="41"/>
      <c r="E31" s="42">
        <v>0</v>
      </c>
      <c r="F31" s="42">
        <v>0</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64">
        <v>0</v>
      </c>
      <c r="X31" s="64">
        <v>0</v>
      </c>
      <c r="Y31" s="64">
        <v>0</v>
      </c>
      <c r="Z31" s="64">
        <v>0</v>
      </c>
      <c r="AA31" s="42">
        <f t="shared" si="10"/>
        <v>0</v>
      </c>
      <c r="AB31" s="64">
        <v>0</v>
      </c>
      <c r="AC31" s="64">
        <v>0</v>
      </c>
      <c r="AD31" s="64">
        <v>0</v>
      </c>
    </row>
    <row r="32" spans="1:30" ht="15" customHeight="1" x14ac:dyDescent="0.2">
      <c r="B32" s="1" t="s">
        <v>224</v>
      </c>
      <c r="E32" s="9">
        <f>SUM(E33:E34)</f>
        <v>553</v>
      </c>
      <c r="F32" s="9">
        <f t="shared" ref="F32:AD32" si="11">SUM(F33:F34)</f>
        <v>658</v>
      </c>
      <c r="G32" s="9">
        <f t="shared" si="11"/>
        <v>1890</v>
      </c>
      <c r="H32" s="9">
        <f t="shared" si="11"/>
        <v>343</v>
      </c>
      <c r="I32" s="9">
        <f t="shared" si="11"/>
        <v>344</v>
      </c>
      <c r="J32" s="9">
        <f t="shared" si="11"/>
        <v>59472</v>
      </c>
      <c r="K32" s="9">
        <f t="shared" si="11"/>
        <v>138</v>
      </c>
      <c r="L32" s="9">
        <f t="shared" si="11"/>
        <v>60297</v>
      </c>
      <c r="M32" s="9">
        <f t="shared" si="11"/>
        <v>137</v>
      </c>
      <c r="N32" s="9">
        <f t="shared" si="11"/>
        <v>20814</v>
      </c>
      <c r="O32" s="9">
        <f t="shared" si="11"/>
        <v>34878</v>
      </c>
      <c r="P32" s="9">
        <f t="shared" si="11"/>
        <v>11148</v>
      </c>
      <c r="Q32" s="9">
        <f t="shared" si="11"/>
        <v>66978</v>
      </c>
      <c r="R32" s="9">
        <f t="shared" si="11"/>
        <v>15960</v>
      </c>
      <c r="S32" s="9">
        <f t="shared" si="11"/>
        <v>15480</v>
      </c>
      <c r="T32" s="9">
        <f t="shared" si="11"/>
        <v>19840</v>
      </c>
      <c r="U32" s="9">
        <f t="shared" si="11"/>
        <v>18566</v>
      </c>
      <c r="V32" s="9">
        <f t="shared" si="11"/>
        <v>69846</v>
      </c>
      <c r="W32" s="9">
        <f t="shared" si="11"/>
        <v>11724</v>
      </c>
      <c r="X32" s="9">
        <f t="shared" si="11"/>
        <v>9324</v>
      </c>
      <c r="Y32" s="9">
        <f t="shared" si="11"/>
        <v>42993</v>
      </c>
      <c r="Z32" s="9">
        <f t="shared" si="11"/>
        <v>23749</v>
      </c>
      <c r="AA32" s="9">
        <f t="shared" si="11"/>
        <v>87790</v>
      </c>
      <c r="AB32" s="9">
        <f t="shared" si="11"/>
        <v>15423</v>
      </c>
      <c r="AC32" s="9">
        <f t="shared" si="11"/>
        <v>3726</v>
      </c>
      <c r="AD32" s="9">
        <f t="shared" si="11"/>
        <v>21596</v>
      </c>
    </row>
    <row r="33" spans="1:30" ht="15" customHeight="1" x14ac:dyDescent="0.2">
      <c r="B33" s="41" t="s">
        <v>225</v>
      </c>
      <c r="C33" s="41"/>
      <c r="D33" s="41"/>
      <c r="E33" s="42">
        <v>553</v>
      </c>
      <c r="F33" s="42">
        <v>658</v>
      </c>
      <c r="G33" s="42">
        <v>1890</v>
      </c>
      <c r="H33" s="42">
        <v>343</v>
      </c>
      <c r="I33" s="42">
        <v>344</v>
      </c>
      <c r="J33" s="42">
        <v>59472</v>
      </c>
      <c r="K33" s="42">
        <v>138</v>
      </c>
      <c r="L33" s="42">
        <v>60297</v>
      </c>
      <c r="M33" s="42">
        <v>137</v>
      </c>
      <c r="N33" s="42">
        <v>20814</v>
      </c>
      <c r="O33" s="42">
        <v>34878</v>
      </c>
      <c r="P33" s="42">
        <v>11148</v>
      </c>
      <c r="Q33" s="42">
        <v>66978</v>
      </c>
      <c r="R33" s="42">
        <f>15960-7051</f>
        <v>8909</v>
      </c>
      <c r="S33" s="42">
        <f>15480-6612</f>
        <v>8868</v>
      </c>
      <c r="T33" s="63">
        <f>19840-22179</f>
        <v>-2339</v>
      </c>
      <c r="U33" s="42">
        <f>18566-(-2459)</f>
        <v>21025</v>
      </c>
      <c r="V33" s="63">
        <f>SUM(R33:U33)</f>
        <v>36463</v>
      </c>
      <c r="W33" s="64">
        <f>11724-2358</f>
        <v>9366</v>
      </c>
      <c r="X33" s="64">
        <f>9324-3005</f>
        <v>6319</v>
      </c>
      <c r="Y33" s="64">
        <f>42993-1363</f>
        <v>41630</v>
      </c>
      <c r="Z33" s="64">
        <v>12812</v>
      </c>
      <c r="AA33" s="63">
        <f t="shared" si="10"/>
        <v>70127</v>
      </c>
      <c r="AB33" s="64">
        <v>8020</v>
      </c>
      <c r="AC33" s="64">
        <v>1810</v>
      </c>
      <c r="AD33" s="64">
        <v>16922</v>
      </c>
    </row>
    <row r="34" spans="1:30" ht="15" customHeight="1" x14ac:dyDescent="0.2">
      <c r="B34" s="41" t="s">
        <v>223</v>
      </c>
      <c r="C34" s="41"/>
      <c r="D34" s="41"/>
      <c r="E34" s="42">
        <v>0</v>
      </c>
      <c r="F34" s="42">
        <v>0</v>
      </c>
      <c r="G34" s="42">
        <v>0</v>
      </c>
      <c r="H34" s="42">
        <v>0</v>
      </c>
      <c r="I34" s="42">
        <v>0</v>
      </c>
      <c r="J34" s="42">
        <v>0</v>
      </c>
      <c r="K34" s="42">
        <v>0</v>
      </c>
      <c r="L34" s="42">
        <v>0</v>
      </c>
      <c r="M34" s="42">
        <v>0</v>
      </c>
      <c r="N34" s="42">
        <v>0</v>
      </c>
      <c r="O34" s="42">
        <v>0</v>
      </c>
      <c r="P34" s="42">
        <v>0</v>
      </c>
      <c r="Q34" s="42">
        <v>0</v>
      </c>
      <c r="R34" s="42">
        <v>7051</v>
      </c>
      <c r="S34" s="42">
        <v>6612</v>
      </c>
      <c r="T34" s="63">
        <v>22179</v>
      </c>
      <c r="U34" s="42">
        <v>-2459</v>
      </c>
      <c r="V34" s="42">
        <f>SUM(R34:U34)</f>
        <v>33383</v>
      </c>
      <c r="W34" s="64">
        <f>2358</f>
        <v>2358</v>
      </c>
      <c r="X34" s="64">
        <v>3005</v>
      </c>
      <c r="Y34" s="64">
        <v>1363</v>
      </c>
      <c r="Z34" s="64">
        <v>10937</v>
      </c>
      <c r="AA34" s="42">
        <f t="shared" ref="AA34:AA39" si="12">SUM(W34:Z34)</f>
        <v>17663</v>
      </c>
      <c r="AB34" s="64">
        <v>7403</v>
      </c>
      <c r="AC34" s="64">
        <v>1916</v>
      </c>
      <c r="AD34" s="64">
        <v>4674</v>
      </c>
    </row>
    <row r="35" spans="1:30" ht="15" customHeight="1" x14ac:dyDescent="0.2">
      <c r="B35" s="1" t="s">
        <v>227</v>
      </c>
      <c r="D35" s="9">
        <v>0</v>
      </c>
      <c r="E35" s="9">
        <v>0</v>
      </c>
      <c r="F35" s="9">
        <v>0</v>
      </c>
      <c r="G35" s="9">
        <v>0</v>
      </c>
      <c r="H35" s="9">
        <v>0</v>
      </c>
      <c r="I35" s="9">
        <v>0</v>
      </c>
      <c r="J35" s="9">
        <v>0</v>
      </c>
      <c r="K35" s="9">
        <v>0</v>
      </c>
      <c r="L35" s="9">
        <v>0</v>
      </c>
      <c r="M35" s="9">
        <v>0</v>
      </c>
      <c r="N35" s="2">
        <v>4423</v>
      </c>
      <c r="O35" s="2">
        <v>8486</v>
      </c>
      <c r="P35" s="2">
        <v>15939</v>
      </c>
      <c r="Q35" s="2">
        <f>SUM(N35:P35)</f>
        <v>28848</v>
      </c>
      <c r="R35" s="9">
        <v>7433</v>
      </c>
      <c r="S35" s="9">
        <v>5093</v>
      </c>
      <c r="T35" s="9">
        <v>7432</v>
      </c>
      <c r="U35" s="9">
        <v>9994</v>
      </c>
      <c r="V35" s="9">
        <v>29952</v>
      </c>
      <c r="W35" s="9">
        <v>5304</v>
      </c>
      <c r="X35" s="9">
        <v>8452</v>
      </c>
      <c r="Y35" s="9">
        <v>15299</v>
      </c>
      <c r="Z35" s="9">
        <v>30072</v>
      </c>
      <c r="AA35" s="9">
        <f t="shared" si="12"/>
        <v>59127</v>
      </c>
      <c r="AB35" s="9">
        <v>1472</v>
      </c>
      <c r="AC35" s="9">
        <v>7714</v>
      </c>
      <c r="AD35" s="9">
        <f>AD16</f>
        <v>1490.4699999999993</v>
      </c>
    </row>
    <row r="36" spans="1:30" ht="15" customHeight="1" x14ac:dyDescent="0.2">
      <c r="B36" s="1" t="s">
        <v>228</v>
      </c>
      <c r="E36" s="2">
        <f>'Cash Flow Statement'!E25</f>
        <v>0</v>
      </c>
      <c r="F36" s="2">
        <f>'Cash Flow Statement'!F25</f>
        <v>0</v>
      </c>
      <c r="G36" s="2">
        <f>'Cash Flow Statement'!G25</f>
        <v>0</v>
      </c>
      <c r="H36" s="2">
        <f>'Cash Flow Statement'!H25</f>
        <v>0</v>
      </c>
      <c r="I36" s="2">
        <f>'Cash Flow Statement'!I25</f>
        <v>0</v>
      </c>
      <c r="J36" s="2">
        <f>'Cash Flow Statement'!J25</f>
        <v>0</v>
      </c>
      <c r="K36" s="2">
        <f>'Cash Flow Statement'!K25</f>
        <v>0</v>
      </c>
      <c r="L36" s="2">
        <f>'Cash Flow Statement'!L25</f>
        <v>0</v>
      </c>
      <c r="M36" s="2">
        <v>0</v>
      </c>
      <c r="N36" s="2">
        <v>0</v>
      </c>
      <c r="O36" s="2">
        <v>0</v>
      </c>
      <c r="P36" s="2">
        <v>0</v>
      </c>
      <c r="Q36" s="2">
        <f>SUM(N36:P36)</f>
        <v>0</v>
      </c>
      <c r="R36" s="2">
        <f>'Cash Flow Statement'!R25</f>
        <v>0</v>
      </c>
      <c r="S36" s="2">
        <f>'Cash Flow Statement'!S25</f>
        <v>0</v>
      </c>
      <c r="T36" s="2">
        <f>'Cash Flow Statement'!T25</f>
        <v>0</v>
      </c>
      <c r="U36" s="2">
        <f>'Cash Flow Statement'!U25</f>
        <v>0</v>
      </c>
      <c r="V36" s="2">
        <f>'Cash Flow Statement'!V25</f>
        <v>0</v>
      </c>
      <c r="W36" s="2">
        <f>'Cash Flow Statement'!W25</f>
        <v>0</v>
      </c>
      <c r="X36" s="2">
        <f>'Cash Flow Statement'!X25</f>
        <v>0</v>
      </c>
      <c r="Y36" s="2">
        <f>'Cash Flow Statement'!Y25</f>
        <v>0</v>
      </c>
      <c r="Z36" s="9">
        <f>'Cash Flow Statement'!Z25</f>
        <v>-14022</v>
      </c>
      <c r="AA36" s="9">
        <f t="shared" si="12"/>
        <v>-14022</v>
      </c>
      <c r="AB36" s="9">
        <f>'Cash Flow Statement'!AB25</f>
        <v>-16413</v>
      </c>
      <c r="AC36" s="9">
        <v>-1345</v>
      </c>
      <c r="AD36" s="9">
        <v>46</v>
      </c>
    </row>
    <row r="37" spans="1:30" ht="15" customHeight="1" x14ac:dyDescent="0.2">
      <c r="B37" s="1" t="s">
        <v>121</v>
      </c>
      <c r="E37" s="4">
        <v>0</v>
      </c>
      <c r="F37" s="4">
        <v>0</v>
      </c>
      <c r="G37" s="4">
        <v>0</v>
      </c>
      <c r="H37" s="4">
        <v>0</v>
      </c>
      <c r="I37" s="4">
        <v>0</v>
      </c>
      <c r="J37" s="4">
        <v>0</v>
      </c>
      <c r="K37" s="4">
        <v>0</v>
      </c>
      <c r="L37" s="4">
        <v>0</v>
      </c>
      <c r="M37" s="4">
        <v>0</v>
      </c>
      <c r="N37" s="4">
        <v>0</v>
      </c>
      <c r="O37" s="4">
        <v>2467</v>
      </c>
      <c r="P37" s="4">
        <v>4675</v>
      </c>
      <c r="Q37" s="4">
        <v>7142</v>
      </c>
      <c r="R37" s="2">
        <f>7231-5869</f>
        <v>1362</v>
      </c>
      <c r="S37" s="2">
        <f>2827-2666</f>
        <v>161</v>
      </c>
      <c r="T37" s="34">
        <f>6694-5735</f>
        <v>959</v>
      </c>
      <c r="U37" s="2">
        <f>2736-1931</f>
        <v>805</v>
      </c>
      <c r="V37" s="34">
        <f>SUM(R37:U37)</f>
        <v>3287</v>
      </c>
      <c r="W37" s="34">
        <f>1875-1307</f>
        <v>568</v>
      </c>
      <c r="X37" s="34">
        <f>4683-4599</f>
        <v>84</v>
      </c>
      <c r="Y37" s="34">
        <f>1242-946</f>
        <v>296</v>
      </c>
      <c r="Z37" s="2">
        <v>-339</v>
      </c>
      <c r="AA37" s="9">
        <f t="shared" si="12"/>
        <v>609</v>
      </c>
      <c r="AB37" s="2">
        <v>0</v>
      </c>
      <c r="AC37" s="2">
        <v>0</v>
      </c>
      <c r="AD37" s="2">
        <f>AD18</f>
        <v>8083</v>
      </c>
    </row>
    <row r="38" spans="1:30" ht="15" customHeight="1" x14ac:dyDescent="0.2">
      <c r="B38" s="1" t="s">
        <v>122</v>
      </c>
      <c r="E38" s="4">
        <v>0</v>
      </c>
      <c r="F38" s="4">
        <v>0</v>
      </c>
      <c r="G38" s="4">
        <v>0</v>
      </c>
      <c r="H38" s="4">
        <v>0</v>
      </c>
      <c r="I38" s="4">
        <v>0</v>
      </c>
      <c r="J38" s="4">
        <v>0</v>
      </c>
      <c r="K38" s="4">
        <v>0</v>
      </c>
      <c r="L38" s="4">
        <v>0</v>
      </c>
      <c r="M38" s="4">
        <v>0</v>
      </c>
      <c r="N38" s="4">
        <v>0</v>
      </c>
      <c r="O38" s="4">
        <v>0</v>
      </c>
      <c r="P38" s="4">
        <v>0</v>
      </c>
      <c r="Q38" s="4">
        <v>0</v>
      </c>
      <c r="R38" s="4">
        <v>3402</v>
      </c>
      <c r="S38" s="4">
        <v>4591</v>
      </c>
      <c r="T38" s="65">
        <v>2922</v>
      </c>
      <c r="U38" s="4">
        <v>4075</v>
      </c>
      <c r="V38" s="65">
        <v>14990</v>
      </c>
      <c r="W38" s="65">
        <v>629</v>
      </c>
      <c r="X38" s="65">
        <v>523</v>
      </c>
      <c r="Y38" s="65">
        <v>544</v>
      </c>
      <c r="Z38" s="65">
        <v>425.10725247990058</v>
      </c>
      <c r="AA38" s="9">
        <f t="shared" si="12"/>
        <v>2121.1072524799006</v>
      </c>
      <c r="AB38" s="65">
        <v>0</v>
      </c>
      <c r="AC38" s="65">
        <v>0</v>
      </c>
      <c r="AD38" s="65">
        <v>0</v>
      </c>
    </row>
    <row r="39" spans="1:30" ht="15" customHeight="1" x14ac:dyDescent="0.2">
      <c r="B39" s="1" t="s">
        <v>79</v>
      </c>
      <c r="D39" s="1">
        <v>0</v>
      </c>
      <c r="E39" s="2">
        <v>0</v>
      </c>
      <c r="F39" s="2">
        <v>0</v>
      </c>
      <c r="G39" s="2">
        <v>0</v>
      </c>
      <c r="H39" s="2">
        <v>0</v>
      </c>
      <c r="I39" s="2">
        <v>0</v>
      </c>
      <c r="J39" s="2">
        <v>0</v>
      </c>
      <c r="K39" s="2">
        <v>0</v>
      </c>
      <c r="L39" s="2">
        <v>0</v>
      </c>
      <c r="M39" s="2">
        <v>0</v>
      </c>
      <c r="N39" s="2">
        <v>0</v>
      </c>
      <c r="O39" s="2">
        <v>0</v>
      </c>
      <c r="P39" s="2">
        <v>0</v>
      </c>
      <c r="Q39" s="2">
        <v>0</v>
      </c>
      <c r="R39" s="2">
        <v>0</v>
      </c>
      <c r="S39" s="2">
        <v>0</v>
      </c>
      <c r="T39" s="9">
        <v>0</v>
      </c>
      <c r="U39" s="2">
        <v>0</v>
      </c>
      <c r="V39" s="9">
        <v>0</v>
      </c>
      <c r="W39" s="9">
        <v>0</v>
      </c>
      <c r="X39" s="9">
        <v>0</v>
      </c>
      <c r="Y39" s="9">
        <v>0</v>
      </c>
      <c r="Z39" s="9">
        <v>0</v>
      </c>
      <c r="AA39" s="9">
        <f t="shared" si="12"/>
        <v>0</v>
      </c>
      <c r="AB39" s="9">
        <v>0</v>
      </c>
      <c r="AC39" s="9">
        <v>0</v>
      </c>
      <c r="AD39" s="9">
        <v>-32690</v>
      </c>
    </row>
    <row r="40" spans="1:30" ht="15" customHeight="1" x14ac:dyDescent="0.2">
      <c r="B40" s="1" t="s">
        <v>226</v>
      </c>
      <c r="E40" s="9">
        <v>4792</v>
      </c>
      <c r="F40" s="9">
        <v>2352</v>
      </c>
      <c r="G40" s="9">
        <v>6657</v>
      </c>
      <c r="H40" s="9">
        <v>-1607</v>
      </c>
      <c r="I40" s="9">
        <v>-367</v>
      </c>
      <c r="J40" s="9">
        <v>-928</v>
      </c>
      <c r="K40" s="9">
        <v>2243</v>
      </c>
      <c r="L40" s="9">
        <v>-659</v>
      </c>
      <c r="M40" s="9">
        <v>1866</v>
      </c>
      <c r="N40" s="9">
        <v>0</v>
      </c>
      <c r="O40" s="9">
        <v>8483</v>
      </c>
      <c r="P40" s="9">
        <v>-10822</v>
      </c>
      <c r="Q40" s="9">
        <v>-473</v>
      </c>
      <c r="R40" s="9">
        <v>54</v>
      </c>
      <c r="S40" s="9">
        <v>-913</v>
      </c>
      <c r="T40" s="9">
        <v>421</v>
      </c>
      <c r="U40" s="9">
        <v>-124</v>
      </c>
      <c r="V40" s="9">
        <v>-562</v>
      </c>
      <c r="W40" s="9">
        <v>0</v>
      </c>
      <c r="X40" s="9">
        <v>0</v>
      </c>
      <c r="Y40" s="9">
        <v>0</v>
      </c>
      <c r="Z40" s="9">
        <v>39225</v>
      </c>
      <c r="AA40" s="9">
        <v>39225</v>
      </c>
      <c r="AB40" s="9">
        <v>-105649</v>
      </c>
      <c r="AC40" s="9">
        <v>-19571.316170000006</v>
      </c>
      <c r="AD40" s="9">
        <v>0</v>
      </c>
    </row>
    <row r="41" spans="1:30" ht="15" customHeight="1" x14ac:dyDescent="0.2">
      <c r="B41" s="1" t="s">
        <v>137</v>
      </c>
      <c r="E41" s="2">
        <v>0</v>
      </c>
      <c r="F41" s="2">
        <v>0</v>
      </c>
      <c r="G41" s="2">
        <v>0</v>
      </c>
      <c r="H41" s="2">
        <v>0</v>
      </c>
      <c r="I41" s="2">
        <v>0</v>
      </c>
      <c r="J41" s="2">
        <v>0</v>
      </c>
      <c r="K41" s="2">
        <v>0</v>
      </c>
      <c r="L41" s="2">
        <v>0</v>
      </c>
      <c r="M41" s="2">
        <v>0</v>
      </c>
      <c r="N41" s="2">
        <v>0</v>
      </c>
      <c r="O41" s="2">
        <v>0</v>
      </c>
      <c r="P41" s="2">
        <v>0</v>
      </c>
      <c r="Q41" s="2">
        <v>0</v>
      </c>
      <c r="R41" s="2">
        <v>0</v>
      </c>
      <c r="S41" s="2">
        <v>0</v>
      </c>
      <c r="T41" s="9">
        <v>0</v>
      </c>
      <c r="U41" s="2">
        <v>0</v>
      </c>
      <c r="V41" s="2">
        <v>0</v>
      </c>
      <c r="W41" s="9">
        <v>0</v>
      </c>
      <c r="X41" s="9">
        <v>0</v>
      </c>
      <c r="Y41" s="9">
        <v>0</v>
      </c>
      <c r="Z41" s="9">
        <v>0</v>
      </c>
      <c r="AA41" s="9">
        <f>SUM(W41:Z41)</f>
        <v>0</v>
      </c>
      <c r="AB41" s="9">
        <v>0</v>
      </c>
      <c r="AC41" s="9">
        <v>0</v>
      </c>
      <c r="AD41" s="65">
        <v>0</v>
      </c>
    </row>
    <row r="42" spans="1:30" ht="15" customHeight="1" x14ac:dyDescent="0.2">
      <c r="B42" s="1" t="s">
        <v>174</v>
      </c>
      <c r="C42" s="41"/>
      <c r="D42" s="41"/>
      <c r="E42" s="4">
        <v>-2960</v>
      </c>
      <c r="F42" s="4">
        <v>-2196</v>
      </c>
      <c r="G42" s="4">
        <v>-7064</v>
      </c>
      <c r="H42" s="4">
        <v>122</v>
      </c>
      <c r="I42" s="4">
        <v>-954</v>
      </c>
      <c r="J42" s="4">
        <v>2104</v>
      </c>
      <c r="K42" s="4">
        <v>-52797.470108048001</v>
      </c>
      <c r="L42" s="4">
        <v>-51525.470108048001</v>
      </c>
      <c r="M42" s="4">
        <v>-2992</v>
      </c>
      <c r="N42" s="4">
        <v>-10732</v>
      </c>
      <c r="O42" s="4">
        <v>-40733</v>
      </c>
      <c r="P42" s="4">
        <v>-25112</v>
      </c>
      <c r="Q42" s="4">
        <v>-79569</v>
      </c>
      <c r="R42" s="4">
        <v>-20428</v>
      </c>
      <c r="S42" s="4">
        <v>-21996</v>
      </c>
      <c r="T42" s="65">
        <v>-12768</v>
      </c>
      <c r="U42" s="4">
        <v>-21706</v>
      </c>
      <c r="V42" s="65">
        <v>-76898</v>
      </c>
      <c r="W42" s="65">
        <v>-20322</v>
      </c>
      <c r="X42" s="65">
        <v>-21733.224326013995</v>
      </c>
      <c r="Y42" s="65">
        <v>-61738</v>
      </c>
      <c r="Z42" s="65">
        <v>-13412</v>
      </c>
      <c r="AA42" s="9">
        <f t="shared" si="10"/>
        <v>-117205.22432601399</v>
      </c>
      <c r="AB42" s="65">
        <v>-16140</v>
      </c>
      <c r="AC42" s="65">
        <v>-8500</v>
      </c>
      <c r="AD42" s="65">
        <v>-19441</v>
      </c>
    </row>
    <row r="43" spans="1:30" ht="15" customHeight="1" x14ac:dyDescent="0.2">
      <c r="A43" s="7"/>
      <c r="B43" s="7" t="s">
        <v>62</v>
      </c>
      <c r="C43" s="7"/>
      <c r="D43" s="7"/>
      <c r="E43" s="11">
        <f t="shared" ref="E43:AD43" si="13">SUM(E26,E27,E33:E42)</f>
        <v>5799</v>
      </c>
      <c r="F43" s="11">
        <f t="shared" si="13"/>
        <v>14037</v>
      </c>
      <c r="G43" s="11">
        <f t="shared" si="13"/>
        <v>61565</v>
      </c>
      <c r="H43" s="11">
        <f t="shared" si="13"/>
        <v>44194</v>
      </c>
      <c r="I43" s="11">
        <f t="shared" si="13"/>
        <v>17764</v>
      </c>
      <c r="J43" s="11">
        <f t="shared" si="13"/>
        <v>5441</v>
      </c>
      <c r="K43" s="11">
        <f t="shared" si="13"/>
        <v>8292.5298919519992</v>
      </c>
      <c r="L43" s="11">
        <f t="shared" si="13"/>
        <v>75691.529891951999</v>
      </c>
      <c r="M43" s="11">
        <f t="shared" si="13"/>
        <v>39443</v>
      </c>
      <c r="N43" s="11">
        <f t="shared" si="13"/>
        <v>51020</v>
      </c>
      <c r="O43" s="11">
        <f t="shared" si="13"/>
        <v>677.89999999999418</v>
      </c>
      <c r="P43" s="11">
        <f t="shared" si="13"/>
        <v>70290</v>
      </c>
      <c r="Q43" s="11">
        <f t="shared" si="13"/>
        <v>161432</v>
      </c>
      <c r="R43" s="11">
        <f t="shared" si="13"/>
        <v>47507</v>
      </c>
      <c r="S43" s="11">
        <f t="shared" si="13"/>
        <v>46126</v>
      </c>
      <c r="T43" s="21">
        <f t="shared" si="13"/>
        <v>30785</v>
      </c>
      <c r="U43" s="21">
        <f t="shared" si="13"/>
        <v>71000</v>
      </c>
      <c r="V43" s="21">
        <f t="shared" si="13"/>
        <v>195418</v>
      </c>
      <c r="W43" s="11">
        <f t="shared" si="13"/>
        <v>54862</v>
      </c>
      <c r="X43" s="11">
        <f t="shared" si="13"/>
        <v>21295.801013985983</v>
      </c>
      <c r="Y43" s="11">
        <f t="shared" si="13"/>
        <v>-31997</v>
      </c>
      <c r="Z43" s="11">
        <f t="shared" si="13"/>
        <v>117800.10725247988</v>
      </c>
      <c r="AA43" s="21">
        <f t="shared" si="13"/>
        <v>161960.90826646594</v>
      </c>
      <c r="AB43" s="11">
        <f t="shared" si="13"/>
        <v>31255</v>
      </c>
      <c r="AC43" s="11">
        <f t="shared" si="13"/>
        <v>-23183.200190000021</v>
      </c>
      <c r="AD43" s="11">
        <f t="shared" si="13"/>
        <v>-61944.53</v>
      </c>
    </row>
    <row r="44" spans="1:30" ht="15" customHeight="1" x14ac:dyDescent="0.2">
      <c r="B44" s="1" t="s">
        <v>206</v>
      </c>
      <c r="C44" s="41"/>
      <c r="D44" s="41"/>
      <c r="E44" s="20">
        <v>1367</v>
      </c>
      <c r="F44" s="20">
        <v>304</v>
      </c>
      <c r="G44" s="20">
        <v>4310</v>
      </c>
      <c r="H44" s="20">
        <v>586</v>
      </c>
      <c r="I44" s="20">
        <v>299</v>
      </c>
      <c r="J44" s="20">
        <v>388</v>
      </c>
      <c r="K44" s="20">
        <v>157</v>
      </c>
      <c r="L44" s="20">
        <v>1430</v>
      </c>
      <c r="M44" s="20">
        <v>913</v>
      </c>
      <c r="N44" s="20">
        <v>-1374</v>
      </c>
      <c r="O44" s="20">
        <v>-171</v>
      </c>
      <c r="P44" s="20">
        <v>6313</v>
      </c>
      <c r="Q44" s="20">
        <v>5681</v>
      </c>
      <c r="R44" s="20">
        <v>8698</v>
      </c>
      <c r="S44" s="20">
        <v>7558</v>
      </c>
      <c r="T44" s="20">
        <v>4507</v>
      </c>
      <c r="U44" s="20">
        <v>4669</v>
      </c>
      <c r="V44" s="20">
        <v>25432</v>
      </c>
      <c r="W44" s="20">
        <v>4907</v>
      </c>
      <c r="X44" s="20">
        <v>9545</v>
      </c>
      <c r="Y44" s="20">
        <v>16395</v>
      </c>
      <c r="Z44" s="9">
        <f>-SUM(W44:Y44)</f>
        <v>-30847</v>
      </c>
      <c r="AA44" s="42">
        <f>SUM(W44:Z44)</f>
        <v>0</v>
      </c>
      <c r="AB44" s="9">
        <v>0</v>
      </c>
      <c r="AC44" s="9">
        <v>0</v>
      </c>
      <c r="AD44" s="9">
        <v>0</v>
      </c>
    </row>
    <row r="45" spans="1:30" ht="15" customHeight="1" x14ac:dyDescent="0.2">
      <c r="B45" s="1" t="s">
        <v>137</v>
      </c>
      <c r="E45" s="20">
        <v>114</v>
      </c>
      <c r="F45" s="20">
        <v>36</v>
      </c>
      <c r="G45" s="20">
        <v>705</v>
      </c>
      <c r="H45" s="20">
        <v>65</v>
      </c>
      <c r="I45" s="20">
        <v>229</v>
      </c>
      <c r="J45" s="20">
        <v>255</v>
      </c>
      <c r="K45" s="20">
        <v>243</v>
      </c>
      <c r="L45" s="20">
        <v>792</v>
      </c>
      <c r="M45" s="20">
        <v>492</v>
      </c>
      <c r="N45" s="20">
        <v>667</v>
      </c>
      <c r="O45" s="20">
        <v>794</v>
      </c>
      <c r="P45" s="20">
        <v>-153</v>
      </c>
      <c r="Q45" s="20">
        <v>1800</v>
      </c>
      <c r="R45" s="20">
        <v>706</v>
      </c>
      <c r="S45" s="20">
        <v>3293</v>
      </c>
      <c r="T45" s="20">
        <v>4042</v>
      </c>
      <c r="U45" s="20">
        <v>-8450</v>
      </c>
      <c r="V45" s="20">
        <v>-409</v>
      </c>
      <c r="W45" s="20">
        <v>1023</v>
      </c>
      <c r="X45" s="20">
        <v>1728</v>
      </c>
      <c r="Y45" s="20">
        <v>5575</v>
      </c>
      <c r="Z45" s="9">
        <f>-SUM(W45:Y45)</f>
        <v>-8326</v>
      </c>
      <c r="AA45" s="20">
        <f>SUM(W45:Z45)</f>
        <v>0</v>
      </c>
      <c r="AB45" s="9">
        <v>0</v>
      </c>
      <c r="AC45" s="9">
        <v>0</v>
      </c>
      <c r="AD45" s="9">
        <v>0</v>
      </c>
    </row>
    <row r="46" spans="1:30" ht="15" customHeight="1" x14ac:dyDescent="0.2">
      <c r="B46" s="1" t="s">
        <v>79</v>
      </c>
      <c r="E46" s="20">
        <v>0</v>
      </c>
      <c r="F46" s="20">
        <v>0</v>
      </c>
      <c r="G46" s="20">
        <v>0</v>
      </c>
      <c r="H46" s="20">
        <v>0</v>
      </c>
      <c r="I46" s="20">
        <v>0</v>
      </c>
      <c r="J46" s="20">
        <v>0</v>
      </c>
      <c r="K46" s="20">
        <v>34435</v>
      </c>
      <c r="L46" s="20">
        <v>34435</v>
      </c>
      <c r="M46" s="20">
        <v>-76</v>
      </c>
      <c r="N46" s="20">
        <v>592</v>
      </c>
      <c r="O46" s="20">
        <v>-532</v>
      </c>
      <c r="P46" s="20">
        <v>571</v>
      </c>
      <c r="Q46" s="20">
        <v>555</v>
      </c>
      <c r="R46" s="20">
        <v>-742</v>
      </c>
      <c r="S46" s="20">
        <v>922</v>
      </c>
      <c r="T46" s="20">
        <v>-551</v>
      </c>
      <c r="U46" s="20">
        <v>183</v>
      </c>
      <c r="V46" s="20">
        <v>-188</v>
      </c>
      <c r="W46" s="20">
        <v>279</v>
      </c>
      <c r="X46" s="20">
        <v>3813</v>
      </c>
      <c r="Y46" s="20">
        <v>-1945</v>
      </c>
      <c r="Z46" s="9">
        <f>-SUM(W46:Y46)</f>
        <v>-2147</v>
      </c>
      <c r="AA46" s="20">
        <f>SUM(W46:Z46)</f>
        <v>0</v>
      </c>
      <c r="AB46" s="9">
        <v>0</v>
      </c>
      <c r="AC46" s="9">
        <v>0</v>
      </c>
      <c r="AD46" s="9">
        <v>0</v>
      </c>
    </row>
    <row r="47" spans="1:30" ht="15" customHeight="1" x14ac:dyDescent="0.2">
      <c r="B47" s="60" t="s">
        <v>208</v>
      </c>
      <c r="C47" s="60"/>
      <c r="D47" s="60"/>
      <c r="E47" s="61">
        <f t="shared" ref="E47:V47" si="14">E43+E44</f>
        <v>7166</v>
      </c>
      <c r="F47" s="61">
        <f t="shared" si="14"/>
        <v>14341</v>
      </c>
      <c r="G47" s="61">
        <f t="shared" si="14"/>
        <v>65875</v>
      </c>
      <c r="H47" s="61">
        <f t="shared" si="14"/>
        <v>44780</v>
      </c>
      <c r="I47" s="61">
        <f t="shared" si="14"/>
        <v>18063</v>
      </c>
      <c r="J47" s="61">
        <f t="shared" si="14"/>
        <v>5829</v>
      </c>
      <c r="K47" s="61">
        <f t="shared" si="14"/>
        <v>8449.5298919519992</v>
      </c>
      <c r="L47" s="61">
        <f t="shared" si="14"/>
        <v>77121.529891951999</v>
      </c>
      <c r="M47" s="61">
        <f t="shared" si="14"/>
        <v>40356</v>
      </c>
      <c r="N47" s="61">
        <f t="shared" si="14"/>
        <v>49646</v>
      </c>
      <c r="O47" s="61">
        <f t="shared" si="14"/>
        <v>506.89999999999418</v>
      </c>
      <c r="P47" s="61">
        <f t="shared" si="14"/>
        <v>76603</v>
      </c>
      <c r="Q47" s="61">
        <f t="shared" si="14"/>
        <v>167113</v>
      </c>
      <c r="R47" s="61">
        <f t="shared" si="14"/>
        <v>56205</v>
      </c>
      <c r="S47" s="61">
        <f t="shared" si="14"/>
        <v>53684</v>
      </c>
      <c r="T47" s="61">
        <f t="shared" si="14"/>
        <v>35292</v>
      </c>
      <c r="U47" s="61">
        <f t="shared" si="14"/>
        <v>75669</v>
      </c>
      <c r="V47" s="61">
        <f t="shared" si="14"/>
        <v>220850</v>
      </c>
      <c r="W47" s="62">
        <f>SUM(W43:W46)</f>
        <v>61071</v>
      </c>
      <c r="X47" s="62">
        <f>SUM(X43:X46)</f>
        <v>36381.801013985983</v>
      </c>
      <c r="Y47" s="62">
        <f>SUM(Y43:Y46)</f>
        <v>-11972</v>
      </c>
      <c r="Z47" s="66">
        <f>SUM(Z43:Z46)</f>
        <v>76480.10725247988</v>
      </c>
      <c r="AA47" s="62">
        <f>SUM(W47:Z47)</f>
        <v>161960.90826646588</v>
      </c>
      <c r="AB47" s="66">
        <f>SUM(AB43:AB46)</f>
        <v>31255</v>
      </c>
      <c r="AC47" s="66">
        <f>SUM(AC43:AC46)</f>
        <v>-23183.200190000021</v>
      </c>
      <c r="AD47" s="66">
        <f>SUM(AD43:AD46)</f>
        <v>-61944.53</v>
      </c>
    </row>
    <row r="48" spans="1:30" s="7" customFormat="1" ht="15" customHeight="1" x14ac:dyDescent="0.2">
      <c r="A48" s="1"/>
      <c r="B48" s="1" t="s">
        <v>77</v>
      </c>
      <c r="C48" s="1"/>
      <c r="D48" s="1"/>
      <c r="E48" s="2">
        <v>38415</v>
      </c>
      <c r="F48" s="2">
        <v>69872</v>
      </c>
      <c r="G48" s="2">
        <v>244382</v>
      </c>
      <c r="H48" s="2">
        <v>113634</v>
      </c>
      <c r="I48" s="2">
        <v>81436</v>
      </c>
      <c r="J48" s="2">
        <v>64902</v>
      </c>
      <c r="K48" s="2">
        <v>121009</v>
      </c>
      <c r="L48" s="2">
        <v>380981</v>
      </c>
      <c r="M48" s="2">
        <v>117055</v>
      </c>
      <c r="N48" s="2">
        <v>137566</v>
      </c>
      <c r="O48" s="2">
        <v>70572</v>
      </c>
      <c r="P48" s="2">
        <v>247644</v>
      </c>
      <c r="Q48" s="2">
        <v>572837</v>
      </c>
      <c r="R48" s="2">
        <v>261579</v>
      </c>
      <c r="S48" s="2">
        <v>234864</v>
      </c>
      <c r="T48" s="22">
        <v>208730</v>
      </c>
      <c r="U48" s="2">
        <v>296537</v>
      </c>
      <c r="V48" s="22">
        <v>1001710</v>
      </c>
      <c r="W48" s="22">
        <v>331672</v>
      </c>
      <c r="X48" s="20">
        <v>256301</v>
      </c>
      <c r="Y48" s="20">
        <v>183267</v>
      </c>
      <c r="Z48" s="9">
        <v>460834</v>
      </c>
      <c r="AA48" s="22">
        <f>SUM(W48:Z48)</f>
        <v>1232074</v>
      </c>
      <c r="AB48" s="9">
        <v>430037</v>
      </c>
      <c r="AC48" s="9">
        <v>412137</v>
      </c>
      <c r="AD48" s="9">
        <v>253922</v>
      </c>
    </row>
    <row r="49" spans="1:30" ht="15" customHeight="1" x14ac:dyDescent="0.2">
      <c r="A49" s="7"/>
      <c r="B49" s="7" t="s">
        <v>117</v>
      </c>
      <c r="C49" s="7"/>
      <c r="D49" s="7"/>
      <c r="E49" s="16">
        <f t="shared" ref="E49:AA49" si="15">E43/E48</f>
        <v>0.15095665755564233</v>
      </c>
      <c r="F49" s="16">
        <f t="shared" si="15"/>
        <v>0.20089592397526906</v>
      </c>
      <c r="G49" s="16">
        <f t="shared" si="15"/>
        <v>0.25192117259045266</v>
      </c>
      <c r="H49" s="16">
        <f t="shared" si="15"/>
        <v>0.38891528943802028</v>
      </c>
      <c r="I49" s="16">
        <f t="shared" si="15"/>
        <v>0.21813448597671792</v>
      </c>
      <c r="J49" s="16">
        <f t="shared" si="15"/>
        <v>8.3834088317771407E-2</v>
      </c>
      <c r="K49" s="16">
        <f t="shared" si="15"/>
        <v>6.8528207752745651E-2</v>
      </c>
      <c r="L49" s="16">
        <f t="shared" si="15"/>
        <v>0.19867534048142033</v>
      </c>
      <c r="M49" s="16">
        <f t="shared" si="15"/>
        <v>0.33696125752851225</v>
      </c>
      <c r="N49" s="16">
        <f t="shared" si="15"/>
        <v>0.37087652472267857</v>
      </c>
      <c r="O49" s="16">
        <f t="shared" si="15"/>
        <v>9.605792665646349E-3</v>
      </c>
      <c r="P49" s="16">
        <f t="shared" si="15"/>
        <v>0.28383485971798228</v>
      </c>
      <c r="Q49" s="16">
        <f t="shared" si="15"/>
        <v>0.28181140533869148</v>
      </c>
      <c r="R49" s="16">
        <f t="shared" si="15"/>
        <v>0.18161626124421304</v>
      </c>
      <c r="S49" s="16">
        <f t="shared" si="15"/>
        <v>0.1963945091627495</v>
      </c>
      <c r="T49" s="16">
        <f t="shared" si="15"/>
        <v>0.14748718440090069</v>
      </c>
      <c r="U49" s="16">
        <f t="shared" si="15"/>
        <v>0.23943049265353059</v>
      </c>
      <c r="V49" s="16">
        <f t="shared" si="15"/>
        <v>0.19508440566631061</v>
      </c>
      <c r="W49" s="16">
        <f t="shared" si="15"/>
        <v>0.1654104054608167</v>
      </c>
      <c r="X49" s="16">
        <f t="shared" si="15"/>
        <v>8.3089028189456862E-2</v>
      </c>
      <c r="Y49" s="16">
        <f t="shared" si="15"/>
        <v>-0.17459226156372942</v>
      </c>
      <c r="Z49" s="16">
        <f t="shared" si="15"/>
        <v>0.25562373273777517</v>
      </c>
      <c r="AA49" s="16">
        <f t="shared" si="15"/>
        <v>0.1314538804215217</v>
      </c>
      <c r="AB49" s="16">
        <f>AB43/AB48</f>
        <v>7.2679792669002902E-2</v>
      </c>
      <c r="AC49" s="16">
        <f>AC43/AC48</f>
        <v>-5.6251198484969858E-2</v>
      </c>
      <c r="AD49" s="16">
        <f>AD43/AD48</f>
        <v>-0.24395101645387166</v>
      </c>
    </row>
    <row r="50" spans="1:30" ht="15" customHeight="1" x14ac:dyDescent="0.2">
      <c r="A50" s="7"/>
      <c r="B50" s="7" t="s">
        <v>207</v>
      </c>
      <c r="C50" s="7"/>
      <c r="D50" s="7"/>
      <c r="E50" s="16">
        <f>E47/E48</f>
        <v>0.18654171547572562</v>
      </c>
      <c r="F50" s="16">
        <f t="shared" ref="F50:AA50" si="16">F47/F48</f>
        <v>0.20524673689031372</v>
      </c>
      <c r="G50" s="16">
        <f t="shared" si="16"/>
        <v>0.269557496051264</v>
      </c>
      <c r="H50" s="16">
        <f t="shared" si="16"/>
        <v>0.39407219670169141</v>
      </c>
      <c r="I50" s="16">
        <f t="shared" si="16"/>
        <v>0.22180608084876469</v>
      </c>
      <c r="J50" s="16">
        <f t="shared" si="16"/>
        <v>8.9812332439678288E-2</v>
      </c>
      <c r="K50" s="16">
        <f t="shared" si="16"/>
        <v>6.9825631911279315E-2</v>
      </c>
      <c r="L50" s="16">
        <f t="shared" si="16"/>
        <v>0.20242880850213527</v>
      </c>
      <c r="M50" s="16">
        <f t="shared" si="16"/>
        <v>0.34476100978172652</v>
      </c>
      <c r="N50" s="16">
        <f t="shared" si="16"/>
        <v>0.36088859165782244</v>
      </c>
      <c r="O50" s="16">
        <f t="shared" si="16"/>
        <v>7.1827353624666183E-3</v>
      </c>
      <c r="P50" s="16">
        <f t="shared" si="16"/>
        <v>0.30932709857698953</v>
      </c>
      <c r="Q50" s="16">
        <f t="shared" si="16"/>
        <v>0.29172871165794106</v>
      </c>
      <c r="R50" s="16">
        <f t="shared" si="16"/>
        <v>0.21486816602250181</v>
      </c>
      <c r="S50" s="16">
        <f t="shared" si="16"/>
        <v>0.22857483479801077</v>
      </c>
      <c r="T50" s="16">
        <f t="shared" si="16"/>
        <v>0.16907967230393331</v>
      </c>
      <c r="U50" s="16">
        <f t="shared" si="16"/>
        <v>0.25517557674084518</v>
      </c>
      <c r="V50" s="16">
        <f t="shared" si="16"/>
        <v>0.22047299118507352</v>
      </c>
      <c r="W50" s="16">
        <f t="shared" si="16"/>
        <v>0.18413070744591042</v>
      </c>
      <c r="X50" s="16">
        <f t="shared" si="16"/>
        <v>0.14194950864017691</v>
      </c>
      <c r="Y50" s="16">
        <f t="shared" si="16"/>
        <v>-6.5325454118853918E-2</v>
      </c>
      <c r="Z50" s="16">
        <f t="shared" si="16"/>
        <v>0.16596020964703098</v>
      </c>
      <c r="AA50" s="16">
        <f t="shared" si="16"/>
        <v>0.13145388042152167</v>
      </c>
      <c r="AB50" s="16">
        <f>AB47/AB48</f>
        <v>7.2679792669002902E-2</v>
      </c>
      <c r="AC50" s="16">
        <f>AC47/AC48</f>
        <v>-5.6251198484969858E-2</v>
      </c>
      <c r="AD50" s="16">
        <f>AD47/AD48</f>
        <v>-0.24395101645387166</v>
      </c>
    </row>
    <row r="51" spans="1:30" s="7" customFormat="1" ht="15" customHeight="1" x14ac:dyDescent="0.2">
      <c r="A51" s="1"/>
      <c r="B51" s="1"/>
      <c r="C51" s="1"/>
      <c r="D51" s="1"/>
      <c r="E51" s="2"/>
      <c r="F51" s="2"/>
      <c r="G51" s="2"/>
      <c r="H51" s="2"/>
      <c r="I51" s="2"/>
      <c r="J51" s="2"/>
      <c r="K51" s="2"/>
      <c r="L51" s="2"/>
      <c r="M51" s="2"/>
      <c r="N51" s="2"/>
      <c r="O51" s="2"/>
      <c r="P51" s="2"/>
      <c r="Q51" s="2"/>
      <c r="R51" s="2"/>
      <c r="S51" s="2"/>
      <c r="T51" s="19"/>
      <c r="U51" s="2"/>
      <c r="V51" s="19"/>
      <c r="W51" s="19"/>
      <c r="X51" s="19"/>
      <c r="Y51" s="19"/>
      <c r="Z51" s="19"/>
      <c r="AA51" s="19"/>
      <c r="AB51" s="19"/>
      <c r="AC51" s="19"/>
      <c r="AD51" s="19"/>
    </row>
    <row r="52" spans="1:30" s="7" customFormat="1" ht="15" customHeight="1" x14ac:dyDescent="0.2">
      <c r="A52" s="1"/>
      <c r="B52" s="1" t="s">
        <v>253</v>
      </c>
      <c r="C52" s="1"/>
      <c r="D52" s="1"/>
      <c r="E52" s="2">
        <v>0</v>
      </c>
      <c r="F52" s="2">
        <v>0</v>
      </c>
      <c r="G52" s="2">
        <v>0</v>
      </c>
      <c r="H52" s="2">
        <v>0</v>
      </c>
      <c r="I52" s="2">
        <v>0</v>
      </c>
      <c r="J52" s="2">
        <v>0</v>
      </c>
      <c r="K52" s="2">
        <v>0</v>
      </c>
      <c r="L52" s="2">
        <v>0</v>
      </c>
      <c r="M52" s="2">
        <v>0</v>
      </c>
      <c r="N52" s="2">
        <v>0</v>
      </c>
      <c r="O52" s="2">
        <v>0</v>
      </c>
      <c r="P52" s="2">
        <v>0</v>
      </c>
      <c r="Q52" s="2">
        <v>0</v>
      </c>
      <c r="R52" s="2">
        <v>0</v>
      </c>
      <c r="S52" s="2">
        <v>0</v>
      </c>
      <c r="T52" s="2">
        <v>0</v>
      </c>
      <c r="U52" s="2">
        <v>0</v>
      </c>
      <c r="V52" s="2">
        <v>0</v>
      </c>
      <c r="W52" s="2">
        <v>0</v>
      </c>
      <c r="X52" s="2">
        <v>0</v>
      </c>
      <c r="Y52" s="2">
        <v>0</v>
      </c>
      <c r="Z52" s="2">
        <v>0</v>
      </c>
      <c r="AA52" s="2">
        <v>0</v>
      </c>
      <c r="AB52" s="2">
        <v>0</v>
      </c>
      <c r="AC52" s="9">
        <v>55917</v>
      </c>
      <c r="AD52" s="9">
        <v>55807</v>
      </c>
    </row>
    <row r="53" spans="1:30" s="7" customFormat="1" ht="15" customHeight="1" x14ac:dyDescent="0.2">
      <c r="A53" s="1"/>
      <c r="B53" s="7" t="s">
        <v>254</v>
      </c>
      <c r="C53" s="1"/>
      <c r="D53" s="1"/>
      <c r="E53" s="2">
        <v>0</v>
      </c>
      <c r="F53" s="2">
        <v>0</v>
      </c>
      <c r="G53" s="2">
        <v>0</v>
      </c>
      <c r="H53" s="2">
        <v>0</v>
      </c>
      <c r="I53" s="2">
        <v>0</v>
      </c>
      <c r="J53" s="2">
        <v>0</v>
      </c>
      <c r="K53" s="2">
        <v>0</v>
      </c>
      <c r="L53" s="2">
        <v>0</v>
      </c>
      <c r="M53" s="2">
        <v>0</v>
      </c>
      <c r="N53" s="2">
        <v>0</v>
      </c>
      <c r="O53" s="2">
        <v>0</v>
      </c>
      <c r="P53" s="2">
        <v>0</v>
      </c>
      <c r="Q53" s="2">
        <v>0</v>
      </c>
      <c r="R53" s="2">
        <v>0</v>
      </c>
      <c r="S53" s="2">
        <v>0</v>
      </c>
      <c r="T53" s="2">
        <v>0</v>
      </c>
      <c r="U53" s="2">
        <v>0</v>
      </c>
      <c r="V53" s="2">
        <v>0</v>
      </c>
      <c r="W53" s="2">
        <v>0</v>
      </c>
      <c r="X53" s="2">
        <v>0</v>
      </c>
      <c r="Y53" s="2">
        <v>0</v>
      </c>
      <c r="Z53" s="2">
        <v>0</v>
      </c>
      <c r="AA53" s="2">
        <v>0</v>
      </c>
      <c r="AB53" s="2">
        <v>0</v>
      </c>
      <c r="AC53" s="70">
        <f>AC47/AC52</f>
        <v>-0.41460021442495165</v>
      </c>
      <c r="AD53" s="70">
        <f>AD43/AD52</f>
        <v>-1.1099777805651621</v>
      </c>
    </row>
    <row r="54" spans="1:30" s="7" customFormat="1" ht="15" customHeight="1" x14ac:dyDescent="0.2">
      <c r="A54" s="1"/>
      <c r="B54" s="1"/>
      <c r="C54" s="1"/>
      <c r="D54" s="1"/>
      <c r="E54" s="2"/>
      <c r="F54" s="2"/>
      <c r="G54" s="2"/>
      <c r="H54" s="2"/>
      <c r="I54" s="2"/>
      <c r="J54" s="2"/>
      <c r="K54" s="2"/>
      <c r="L54" s="2"/>
      <c r="M54" s="2"/>
      <c r="N54" s="2"/>
      <c r="O54" s="2"/>
      <c r="P54" s="2"/>
      <c r="Q54" s="2"/>
      <c r="R54" s="2"/>
      <c r="S54" s="2"/>
      <c r="T54" s="19"/>
      <c r="U54" s="2"/>
      <c r="V54" s="19"/>
      <c r="W54" s="19"/>
      <c r="X54" s="19"/>
      <c r="Y54" s="19"/>
      <c r="Z54" s="19"/>
      <c r="AA54" s="19"/>
      <c r="AB54" s="19"/>
      <c r="AC54" s="19"/>
      <c r="AD54" s="19"/>
    </row>
    <row r="55" spans="1:30" ht="15" customHeight="1" x14ac:dyDescent="0.2">
      <c r="B55" s="7" t="s">
        <v>80</v>
      </c>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1:30" ht="15" customHeight="1" x14ac:dyDescent="0.2">
      <c r="B56" s="7" t="s">
        <v>249</v>
      </c>
      <c r="E56" s="40">
        <f t="shared" ref="E56:AB56" si="17">E82</f>
        <v>0</v>
      </c>
      <c r="F56" s="40">
        <f t="shared" si="17"/>
        <v>0</v>
      </c>
      <c r="G56" s="40">
        <f t="shared" si="17"/>
        <v>0</v>
      </c>
      <c r="H56" s="40">
        <f t="shared" si="17"/>
        <v>0</v>
      </c>
      <c r="I56" s="40">
        <f t="shared" si="17"/>
        <v>0</v>
      </c>
      <c r="J56" s="40">
        <f t="shared" si="17"/>
        <v>0</v>
      </c>
      <c r="K56" s="40">
        <f t="shared" si="17"/>
        <v>0</v>
      </c>
      <c r="L56" s="40">
        <f t="shared" si="17"/>
        <v>0</v>
      </c>
      <c r="M56" s="40">
        <f t="shared" si="17"/>
        <v>0</v>
      </c>
      <c r="N56" s="40">
        <f t="shared" si="17"/>
        <v>0</v>
      </c>
      <c r="O56" s="40">
        <f t="shared" si="17"/>
        <v>0</v>
      </c>
      <c r="P56" s="40">
        <f t="shared" si="17"/>
        <v>0</v>
      </c>
      <c r="Q56" s="40">
        <f t="shared" si="17"/>
        <v>0</v>
      </c>
      <c r="R56" s="40">
        <f t="shared" si="17"/>
        <v>10430</v>
      </c>
      <c r="S56" s="40">
        <f t="shared" si="17"/>
        <v>22629</v>
      </c>
      <c r="T56" s="40">
        <f t="shared" si="17"/>
        <v>-38677</v>
      </c>
      <c r="U56" s="40">
        <f t="shared" si="17"/>
        <v>44720</v>
      </c>
      <c r="V56" s="40">
        <f t="shared" si="17"/>
        <v>39102</v>
      </c>
      <c r="W56" s="40">
        <f t="shared" si="17"/>
        <v>22411</v>
      </c>
      <c r="X56" s="40">
        <f t="shared" si="17"/>
        <v>-26834</v>
      </c>
      <c r="Y56" s="40">
        <f t="shared" si="17"/>
        <v>-196104</v>
      </c>
      <c r="Z56" s="40">
        <f t="shared" si="17"/>
        <v>26870</v>
      </c>
      <c r="AA56" s="40">
        <f t="shared" si="17"/>
        <v>-173657</v>
      </c>
      <c r="AB56" s="40">
        <f t="shared" si="17"/>
        <v>108890</v>
      </c>
      <c r="AC56" s="40">
        <f>AC82</f>
        <v>-12114</v>
      </c>
      <c r="AD56" s="40">
        <f>AD82</f>
        <v>-107845</v>
      </c>
    </row>
    <row r="57" spans="1:30" ht="15" customHeight="1" x14ac:dyDescent="0.2">
      <c r="B57" s="1" t="s">
        <v>217</v>
      </c>
      <c r="E57" s="20">
        <f t="shared" ref="E57:AA57" si="18">-(SUM(E56,E58)-E59)</f>
        <v>13934</v>
      </c>
      <c r="F57" s="20">
        <f t="shared" si="18"/>
        <v>27570</v>
      </c>
      <c r="G57" s="20">
        <f t="shared" si="18"/>
        <v>110263</v>
      </c>
      <c r="H57" s="20">
        <f t="shared" si="18"/>
        <v>64177</v>
      </c>
      <c r="I57" s="20">
        <f t="shared" si="18"/>
        <v>29035</v>
      </c>
      <c r="J57" s="20">
        <f t="shared" si="18"/>
        <v>12221</v>
      </c>
      <c r="K57" s="20">
        <f t="shared" si="18"/>
        <v>64316</v>
      </c>
      <c r="L57" s="20">
        <f t="shared" si="18"/>
        <v>169749</v>
      </c>
      <c r="M57" s="20">
        <f t="shared" si="18"/>
        <v>58331</v>
      </c>
      <c r="N57" s="20">
        <f t="shared" si="18"/>
        <v>68885</v>
      </c>
      <c r="O57" s="20">
        <f t="shared" si="18"/>
        <v>1449</v>
      </c>
      <c r="P57" s="20">
        <f t="shared" si="18"/>
        <v>28807</v>
      </c>
      <c r="Q57" s="20">
        <f t="shared" si="18"/>
        <v>157472</v>
      </c>
      <c r="R57" s="20">
        <f t="shared" si="18"/>
        <v>79268</v>
      </c>
      <c r="S57" s="20">
        <f t="shared" si="18"/>
        <v>74609</v>
      </c>
      <c r="T57" s="20">
        <f t="shared" si="18"/>
        <v>63972</v>
      </c>
      <c r="U57" s="20">
        <f t="shared" si="18"/>
        <v>84995</v>
      </c>
      <c r="V57" s="20">
        <f t="shared" si="18"/>
        <v>302844</v>
      </c>
      <c r="W57" s="20">
        <f t="shared" si="18"/>
        <v>90867</v>
      </c>
      <c r="X57" s="20">
        <f t="shared" si="18"/>
        <v>98824</v>
      </c>
      <c r="Y57" s="20">
        <f t="shared" si="18"/>
        <v>214901</v>
      </c>
      <c r="Z57" s="20">
        <f t="shared" si="18"/>
        <v>206290</v>
      </c>
      <c r="AA57" s="20">
        <f t="shared" si="18"/>
        <v>610882</v>
      </c>
      <c r="AB57" s="20">
        <f>-(SUM(AB56,AB58)-AB59)</f>
        <v>16577</v>
      </c>
      <c r="AC57" s="20">
        <f>-(SUM(AC56,AC58)-AC59)</f>
        <v>128366</v>
      </c>
      <c r="AD57" s="20">
        <f>-(SUM(AD56,AD58)-AD59)</f>
        <v>147983</v>
      </c>
    </row>
    <row r="58" spans="1:30" ht="15" customHeight="1" x14ac:dyDescent="0.2">
      <c r="B58" s="1" t="s">
        <v>218</v>
      </c>
      <c r="E58" s="9">
        <f>SUM('Cash Flow Statement'!E30:E38)</f>
        <v>7357</v>
      </c>
      <c r="F58" s="9">
        <f>SUM('Cash Flow Statement'!F30:F38)</f>
        <v>-54513</v>
      </c>
      <c r="G58" s="9">
        <f>SUM('Cash Flow Statement'!G30:G38)</f>
        <v>-30940</v>
      </c>
      <c r="H58" s="9">
        <f>SUM('Cash Flow Statement'!H30:H38)</f>
        <v>-13609</v>
      </c>
      <c r="I58" s="9">
        <f>SUM('Cash Flow Statement'!I30:I38)</f>
        <v>18707</v>
      </c>
      <c r="J58" s="9">
        <f>SUM('Cash Flow Statement'!J30:J38)</f>
        <v>17052</v>
      </c>
      <c r="K58" s="9">
        <f>SUM('Cash Flow Statement'!K30:K38)</f>
        <v>-73136</v>
      </c>
      <c r="L58" s="9">
        <f>SUM('Cash Flow Statement'!L30:L38)</f>
        <v>-50986</v>
      </c>
      <c r="M58" s="9">
        <f>SUM('Cash Flow Statement'!M30:M38)</f>
        <v>6230</v>
      </c>
      <c r="N58" s="9">
        <f>SUM('Cash Flow Statement'!N30:N38)</f>
        <v>-4259</v>
      </c>
      <c r="O58" s="9">
        <f>SUM('Cash Flow Statement'!O30:O38)</f>
        <v>36213</v>
      </c>
      <c r="P58" s="9">
        <f>SUM('Cash Flow Statement'!P30:P38)</f>
        <v>-167672</v>
      </c>
      <c r="Q58" s="9">
        <f>SUM('Cash Flow Statement'!Q30:Q38)</f>
        <v>-129488</v>
      </c>
      <c r="R58" s="9">
        <f>SUM('Cash Flow Statement'!R30:R38)</f>
        <v>14031</v>
      </c>
      <c r="S58" s="9">
        <f>SUM('Cash Flow Statement'!S30:S38)</f>
        <v>-7360</v>
      </c>
      <c r="T58" s="9">
        <f>SUM('Cash Flow Statement'!T30:T38)</f>
        <v>43639</v>
      </c>
      <c r="U58" s="9">
        <f>SUM('Cash Flow Statement'!U30:U38)</f>
        <v>-179622</v>
      </c>
      <c r="V58" s="9">
        <f>SUM('Cash Flow Statement'!V30:V38)</f>
        <v>-129312</v>
      </c>
      <c r="W58" s="9">
        <f>SUM('Cash Flow Statement'!W30:W38)</f>
        <v>-24050</v>
      </c>
      <c r="X58" s="9">
        <f>SUM('Cash Flow Statement'!X30:X38)</f>
        <v>41167</v>
      </c>
      <c r="Y58" s="9">
        <f>SUM('Cash Flow Statement'!Y30:Y38)</f>
        <v>55340</v>
      </c>
      <c r="Z58" s="9">
        <f>SUM('Cash Flow Statement'!Z30:Z38)</f>
        <v>-371516</v>
      </c>
      <c r="AA58" s="9">
        <f>SUM('Cash Flow Statement'!AA30:AA38)</f>
        <v>-299059</v>
      </c>
      <c r="AB58" s="9">
        <f>SUM('Cash Flow Statement'!AB30:AB38)</f>
        <v>-22681</v>
      </c>
      <c r="AC58" s="9">
        <f>SUM('Cash Flow Statement'!AC30:AC38)</f>
        <v>75310</v>
      </c>
      <c r="AD58" s="9">
        <f>SUM('Cash Flow Statement'!AD30:AD38)</f>
        <v>49609</v>
      </c>
    </row>
    <row r="59" spans="1:30" s="7" customFormat="1" ht="15" customHeight="1" x14ac:dyDescent="0.2">
      <c r="B59" s="7" t="s">
        <v>63</v>
      </c>
      <c r="E59" s="11">
        <f>'Cash Flow Statement'!E40</f>
        <v>21291</v>
      </c>
      <c r="F59" s="11">
        <f>'Cash Flow Statement'!F40</f>
        <v>-26943</v>
      </c>
      <c r="G59" s="11">
        <f>'Cash Flow Statement'!G40</f>
        <v>79323</v>
      </c>
      <c r="H59" s="11">
        <f>'Cash Flow Statement'!H40</f>
        <v>50568</v>
      </c>
      <c r="I59" s="11">
        <f>'Cash Flow Statement'!I40</f>
        <v>47742</v>
      </c>
      <c r="J59" s="11">
        <f>'Cash Flow Statement'!J40</f>
        <v>29273</v>
      </c>
      <c r="K59" s="11">
        <f>'Cash Flow Statement'!K40</f>
        <v>-8820</v>
      </c>
      <c r="L59" s="11">
        <f>'Cash Flow Statement'!L40</f>
        <v>118763</v>
      </c>
      <c r="M59" s="11">
        <f>'Cash Flow Statement'!M40</f>
        <v>64561</v>
      </c>
      <c r="N59" s="11">
        <f>'Cash Flow Statement'!N40</f>
        <v>64626</v>
      </c>
      <c r="O59" s="11">
        <f>'Cash Flow Statement'!O40</f>
        <v>37662</v>
      </c>
      <c r="P59" s="11">
        <f>'Cash Flow Statement'!P40</f>
        <v>-138865</v>
      </c>
      <c r="Q59" s="11">
        <f>'Cash Flow Statement'!Q40</f>
        <v>27984</v>
      </c>
      <c r="R59" s="11">
        <f>'Cash Flow Statement'!R40</f>
        <v>103729</v>
      </c>
      <c r="S59" s="11">
        <f>'Cash Flow Statement'!S40</f>
        <v>89878</v>
      </c>
      <c r="T59" s="11">
        <f>'Cash Flow Statement'!T40</f>
        <v>68934</v>
      </c>
      <c r="U59" s="11">
        <f>'Cash Flow Statement'!U40</f>
        <v>-49907</v>
      </c>
      <c r="V59" s="11">
        <f>'Cash Flow Statement'!V40</f>
        <v>212634</v>
      </c>
      <c r="W59" s="11">
        <f>'Cash Flow Statement'!W40</f>
        <v>89228</v>
      </c>
      <c r="X59" s="11">
        <f>'Cash Flow Statement'!X40</f>
        <v>113157</v>
      </c>
      <c r="Y59" s="11">
        <f>'Cash Flow Statement'!Y40</f>
        <v>74137</v>
      </c>
      <c r="Z59" s="11">
        <f>'Cash Flow Statement'!Z40</f>
        <v>-138356</v>
      </c>
      <c r="AA59" s="11">
        <f>'Cash Flow Statement'!AA40</f>
        <v>138166</v>
      </c>
      <c r="AB59" s="11">
        <f>'Cash Flow Statement'!AB40</f>
        <v>102786</v>
      </c>
      <c r="AC59" s="11">
        <f>'Cash Flow Statement'!AC40</f>
        <v>191562</v>
      </c>
      <c r="AD59" s="11">
        <f>'Cash Flow Statement'!AD40</f>
        <v>89747</v>
      </c>
    </row>
    <row r="60" spans="1:30" ht="15" customHeight="1" x14ac:dyDescent="0.2">
      <c r="B60" s="1" t="s">
        <v>116</v>
      </c>
      <c r="E60" s="2">
        <f>'Cash Flow Statement'!E42</f>
        <v>-3280</v>
      </c>
      <c r="F60" s="2">
        <f>'Cash Flow Statement'!F42</f>
        <v>-3640</v>
      </c>
      <c r="G60" s="2">
        <f>'Cash Flow Statement'!G42</f>
        <v>-16673</v>
      </c>
      <c r="H60" s="2">
        <f>'Cash Flow Statement'!H42</f>
        <v>-16340</v>
      </c>
      <c r="I60" s="2">
        <f>'Cash Flow Statement'!I42</f>
        <v>-4691</v>
      </c>
      <c r="J60" s="2">
        <f>'Cash Flow Statement'!J42</f>
        <v>-4434</v>
      </c>
      <c r="K60" s="2">
        <f>'Cash Flow Statement'!K42</f>
        <v>-1174</v>
      </c>
      <c r="L60" s="2">
        <f>'Cash Flow Statement'!L42</f>
        <v>-26639</v>
      </c>
      <c r="M60" s="2">
        <f>'Cash Flow Statement'!M42</f>
        <v>-18035</v>
      </c>
      <c r="N60" s="2">
        <f>'Cash Flow Statement'!N42</f>
        <v>-5175</v>
      </c>
      <c r="O60" s="2">
        <f>'Cash Flow Statement'!O42</f>
        <v>-5430</v>
      </c>
      <c r="P60" s="2">
        <f>'Cash Flow Statement'!P42</f>
        <v>-6107</v>
      </c>
      <c r="Q60" s="2">
        <f>'Cash Flow Statement'!Q42</f>
        <v>-34747</v>
      </c>
      <c r="R60" s="2">
        <f>'Cash Flow Statement'!R42</f>
        <v>-57543</v>
      </c>
      <c r="S60" s="2">
        <f>'Cash Flow Statement'!S42</f>
        <v>-6477</v>
      </c>
      <c r="T60" s="2">
        <v>-26392</v>
      </c>
      <c r="U60" s="2">
        <v>-4641</v>
      </c>
      <c r="V60" s="2">
        <v>-95053</v>
      </c>
      <c r="W60" s="2">
        <f>'Cash Flow Statement'!W42</f>
        <v>-46988</v>
      </c>
      <c r="X60" s="2">
        <f>'Cash Flow Statement'!X42</f>
        <v>-4529</v>
      </c>
      <c r="Y60" s="2">
        <f>'Cash Flow Statement'!Y42</f>
        <v>-19167</v>
      </c>
      <c r="Z60" s="2">
        <f>'Cash Flow Statement'!Z42</f>
        <v>-1880</v>
      </c>
      <c r="AA60" s="2">
        <f t="shared" ref="AA60" si="19">SUM(W60:Z60)</f>
        <v>-72564</v>
      </c>
      <c r="AB60" s="2">
        <f>'Cash Flow Statement'!AB42</f>
        <v>-42682</v>
      </c>
      <c r="AC60" s="2">
        <f>'Cash Flow Statement'!AC42</f>
        <v>-4792</v>
      </c>
      <c r="AD60" s="2">
        <f>'Cash Flow Statement'!AD42</f>
        <v>-3101</v>
      </c>
    </row>
    <row r="61" spans="1:30" ht="15" customHeight="1" x14ac:dyDescent="0.2">
      <c r="B61" s="1" t="s">
        <v>219</v>
      </c>
      <c r="E61" s="2">
        <f>SUM('Cash Flow Statement'!E52,'Cash Flow Statement'!E56)</f>
        <v>-3848</v>
      </c>
      <c r="F61" s="2">
        <f>SUM('Cash Flow Statement'!F52,'Cash Flow Statement'!F56)</f>
        <v>-2856</v>
      </c>
      <c r="G61" s="2">
        <f>SUM('Cash Flow Statement'!G52,'Cash Flow Statement'!G56)</f>
        <v>-11361</v>
      </c>
      <c r="H61" s="2">
        <f>SUM('Cash Flow Statement'!H52,'Cash Flow Statement'!H56)</f>
        <v>-2785</v>
      </c>
      <c r="I61" s="2">
        <f>SUM('Cash Flow Statement'!I52,'Cash Flow Statement'!I56)</f>
        <v>-4284</v>
      </c>
      <c r="J61" s="2">
        <f>SUM('Cash Flow Statement'!J52,'Cash Flow Statement'!J56)</f>
        <v>-6826</v>
      </c>
      <c r="K61" s="2">
        <f>SUM('Cash Flow Statement'!K52,'Cash Flow Statement'!K56)</f>
        <v>-22362</v>
      </c>
      <c r="L61" s="2">
        <f>SUM('Cash Flow Statement'!L52,'Cash Flow Statement'!L56)</f>
        <v>-36257</v>
      </c>
      <c r="M61" s="2">
        <f>SUM('Cash Flow Statement'!M52,'Cash Flow Statement'!M56)</f>
        <v>-14285</v>
      </c>
      <c r="N61" s="2">
        <f>SUM('Cash Flow Statement'!N52,'Cash Flow Statement'!N56)</f>
        <v>-9923</v>
      </c>
      <c r="O61" s="2">
        <f>SUM('Cash Flow Statement'!O52,'Cash Flow Statement'!O56)</f>
        <v>-9762</v>
      </c>
      <c r="P61" s="2">
        <f>SUM('Cash Flow Statement'!P52,'Cash Flow Statement'!P56)</f>
        <v>-20123</v>
      </c>
      <c r="Q61" s="2">
        <f>SUM('Cash Flow Statement'!Q52,'Cash Flow Statement'!Q56)</f>
        <v>-54093</v>
      </c>
      <c r="R61" s="2">
        <f>SUM('Cash Flow Statement'!R52,'Cash Flow Statement'!R56)</f>
        <v>-19436</v>
      </c>
      <c r="S61" s="2">
        <f>SUM('Cash Flow Statement'!S52,'Cash Flow Statement'!S56)</f>
        <v>-24086</v>
      </c>
      <c r="T61" s="2">
        <f>SUM('Cash Flow Statement'!T52,'Cash Flow Statement'!T56)</f>
        <v>-25210</v>
      </c>
      <c r="U61" s="2">
        <f>SUM('Cash Flow Statement'!U52,'Cash Flow Statement'!U56)</f>
        <v>-38917</v>
      </c>
      <c r="V61" s="2">
        <f>SUM('Cash Flow Statement'!V52,'Cash Flow Statement'!V56)</f>
        <v>-107649</v>
      </c>
      <c r="W61" s="2">
        <f>SUM('Cash Flow Statement'!W52,'Cash Flow Statement'!W56)</f>
        <v>-35699</v>
      </c>
      <c r="X61" s="2">
        <f>SUM('Cash Flow Statement'!X52,'Cash Flow Statement'!X56)</f>
        <v>-39376</v>
      </c>
      <c r="Y61" s="2">
        <f>SUM('Cash Flow Statement'!Y52,'Cash Flow Statement'!Y56)</f>
        <v>-39200</v>
      </c>
      <c r="Z61" s="2">
        <f>SUM('Cash Flow Statement'!Z52,'Cash Flow Statement'!Z56)</f>
        <v>-97121</v>
      </c>
      <c r="AA61" s="2">
        <f>SUM('Cash Flow Statement'!AA52,'Cash Flow Statement'!AA56)</f>
        <v>-211396</v>
      </c>
      <c r="AB61" s="2">
        <f>SUM('Cash Flow Statement'!AB52,'Cash Flow Statement'!AB56)</f>
        <v>-52484</v>
      </c>
      <c r="AC61" s="2">
        <f>SUM('Cash Flow Statement'!AC52,'Cash Flow Statement'!AC56)</f>
        <v>-51967</v>
      </c>
      <c r="AD61" s="2">
        <f>SUM('Cash Flow Statement'!AD52,'Cash Flow Statement'!AD56)</f>
        <v>-30901</v>
      </c>
    </row>
    <row r="62" spans="1:30" s="7" customFormat="1" ht="15" customHeight="1" x14ac:dyDescent="0.2">
      <c r="B62" s="71" t="s">
        <v>266</v>
      </c>
      <c r="E62" s="11">
        <f t="shared" ref="E62:AC62" si="20">SUM(E59:E61)</f>
        <v>14163</v>
      </c>
      <c r="F62" s="11">
        <f t="shared" si="20"/>
        <v>-33439</v>
      </c>
      <c r="G62" s="11">
        <f t="shared" si="20"/>
        <v>51289</v>
      </c>
      <c r="H62" s="11">
        <f t="shared" si="20"/>
        <v>31443</v>
      </c>
      <c r="I62" s="11">
        <f t="shared" si="20"/>
        <v>38767</v>
      </c>
      <c r="J62" s="11">
        <f t="shared" si="20"/>
        <v>18013</v>
      </c>
      <c r="K62" s="11">
        <f t="shared" si="20"/>
        <v>-32356</v>
      </c>
      <c r="L62" s="11">
        <f t="shared" si="20"/>
        <v>55867</v>
      </c>
      <c r="M62" s="11">
        <f t="shared" si="20"/>
        <v>32241</v>
      </c>
      <c r="N62" s="11">
        <f t="shared" si="20"/>
        <v>49528</v>
      </c>
      <c r="O62" s="11">
        <f t="shared" si="20"/>
        <v>22470</v>
      </c>
      <c r="P62" s="11">
        <f t="shared" si="20"/>
        <v>-165095</v>
      </c>
      <c r="Q62" s="11">
        <f t="shared" si="20"/>
        <v>-60856</v>
      </c>
      <c r="R62" s="11">
        <f t="shared" si="20"/>
        <v>26750</v>
      </c>
      <c r="S62" s="11">
        <f t="shared" si="20"/>
        <v>59315</v>
      </c>
      <c r="T62" s="11">
        <f t="shared" si="20"/>
        <v>17332</v>
      </c>
      <c r="U62" s="11">
        <f t="shared" si="20"/>
        <v>-93465</v>
      </c>
      <c r="V62" s="11">
        <f t="shared" si="20"/>
        <v>9932</v>
      </c>
      <c r="W62" s="11">
        <f t="shared" si="20"/>
        <v>6541</v>
      </c>
      <c r="X62" s="11">
        <f t="shared" si="20"/>
        <v>69252</v>
      </c>
      <c r="Y62" s="11">
        <f t="shared" si="20"/>
        <v>15770</v>
      </c>
      <c r="Z62" s="11">
        <f t="shared" si="20"/>
        <v>-237357</v>
      </c>
      <c r="AA62" s="11">
        <f t="shared" si="20"/>
        <v>-145794</v>
      </c>
      <c r="AB62" s="11">
        <f t="shared" si="20"/>
        <v>7620</v>
      </c>
      <c r="AC62" s="11">
        <f t="shared" si="20"/>
        <v>134803</v>
      </c>
      <c r="AD62" s="11">
        <f>SUM(AD59:AD61)</f>
        <v>55745</v>
      </c>
    </row>
    <row r="63" spans="1:30" ht="15" customHeight="1" x14ac:dyDescent="0.2">
      <c r="B63" s="1" t="s">
        <v>267</v>
      </c>
      <c r="E63" s="2">
        <v>0</v>
      </c>
      <c r="F63" s="2">
        <v>0</v>
      </c>
      <c r="G63" s="2">
        <v>0</v>
      </c>
      <c r="H63" s="2">
        <v>0</v>
      </c>
      <c r="I63" s="2">
        <v>0</v>
      </c>
      <c r="J63" s="2">
        <v>0</v>
      </c>
      <c r="K63" s="2">
        <v>0</v>
      </c>
      <c r="L63" s="2">
        <v>0</v>
      </c>
      <c r="M63" s="2">
        <v>0</v>
      </c>
      <c r="N63" s="2">
        <f>'Cash Flow Statement'!N43</f>
        <v>-220</v>
      </c>
      <c r="O63" s="2">
        <f>'Cash Flow Statement'!O43</f>
        <v>-177</v>
      </c>
      <c r="P63" s="2">
        <f>'Cash Flow Statement'!P43</f>
        <v>-455</v>
      </c>
      <c r="Q63" s="2">
        <f>'Cash Flow Statement'!Q43</f>
        <v>-852</v>
      </c>
      <c r="R63" s="2">
        <f>'Cash Flow Statement'!R43</f>
        <v>-425</v>
      </c>
      <c r="S63" s="2">
        <f>'Cash Flow Statement'!S43</f>
        <v>-285</v>
      </c>
      <c r="T63" s="2">
        <f>SUM('Cash Flow Statement'!T43,'Cash Flow Statement'!T45)</f>
        <v>-10343</v>
      </c>
      <c r="U63" s="2">
        <f>SUM('Cash Flow Statement'!U43,'Cash Flow Statement'!U45)</f>
        <v>-4470</v>
      </c>
      <c r="V63" s="2">
        <f>SUM('Cash Flow Statement'!V43,'Cash Flow Statement'!V45)</f>
        <v>-15523</v>
      </c>
      <c r="W63" s="2">
        <f>SUM('Cash Flow Statement'!W43,'Cash Flow Statement'!W45)</f>
        <v>-4427</v>
      </c>
      <c r="X63" s="2">
        <f>SUM('Cash Flow Statement'!X43,'Cash Flow Statement'!X45)</f>
        <v>-5121</v>
      </c>
      <c r="Y63" s="2">
        <f>SUM('Cash Flow Statement'!Y43,'Cash Flow Statement'!Y45)</f>
        <v>-6379</v>
      </c>
      <c r="Z63" s="2">
        <f>SUM('Cash Flow Statement'!Z43,'Cash Flow Statement'!Z45)</f>
        <v>-7642</v>
      </c>
      <c r="AA63" s="2">
        <f>SUM(W63:Z63)</f>
        <v>-23569</v>
      </c>
      <c r="AB63" s="2">
        <f>'Cash Flow Statement'!AB45+'Cash Flow Statement'!AB43</f>
        <v>-16887</v>
      </c>
      <c r="AC63" s="2">
        <f>'Cash Flow Statement'!AC45+'Cash Flow Statement'!AC43</f>
        <v>-17451</v>
      </c>
      <c r="AD63" s="2">
        <f>'Cash Flow Statement'!AD45+'Cash Flow Statement'!AD43</f>
        <v>-117106</v>
      </c>
    </row>
    <row r="64" spans="1:30" ht="15" customHeight="1" x14ac:dyDescent="0.2">
      <c r="B64" s="1" t="s">
        <v>220</v>
      </c>
      <c r="E64" s="2">
        <v>0</v>
      </c>
      <c r="F64" s="2">
        <v>0</v>
      </c>
      <c r="G64" s="2">
        <v>0</v>
      </c>
      <c r="H64" s="2">
        <v>0</v>
      </c>
      <c r="I64" s="2">
        <v>0</v>
      </c>
      <c r="J64" s="2">
        <v>0</v>
      </c>
      <c r="K64" s="2">
        <v>0</v>
      </c>
      <c r="L64" s="2">
        <v>0</v>
      </c>
      <c r="M64" s="2">
        <v>0</v>
      </c>
      <c r="N64" s="2">
        <v>0</v>
      </c>
      <c r="O64" s="2">
        <v>0</v>
      </c>
      <c r="P64" s="2">
        <v>0</v>
      </c>
      <c r="Q64" s="2">
        <v>0</v>
      </c>
      <c r="R64" s="2">
        <v>0</v>
      </c>
      <c r="S64" s="2">
        <v>0</v>
      </c>
      <c r="T64" s="2">
        <v>-47</v>
      </c>
      <c r="U64" s="2">
        <v>-140</v>
      </c>
      <c r="V64" s="2">
        <v>-187</v>
      </c>
      <c r="W64" s="2">
        <f>'Cash Flow Statement'!W44</f>
        <v>-4153</v>
      </c>
      <c r="X64" s="2">
        <f>'Cash Flow Statement'!X44</f>
        <v>-70</v>
      </c>
      <c r="Y64" s="2">
        <f>'Cash Flow Statement'!Y44</f>
        <v>-1031</v>
      </c>
      <c r="Z64" s="2">
        <f>'Cash Flow Statement'!Z44</f>
        <v>-8446</v>
      </c>
      <c r="AA64" s="2">
        <f>SUM(W64:Z64)</f>
        <v>-13700</v>
      </c>
      <c r="AB64" s="2">
        <f>'Cash Flow Statement'!AB44</f>
        <v>-378</v>
      </c>
      <c r="AC64" s="2">
        <f>'Cash Flow Statement'!AC44</f>
        <v>-36536</v>
      </c>
      <c r="AD64" s="2">
        <f>'Cash Flow Statement'!AD44</f>
        <v>-1702</v>
      </c>
    </row>
    <row r="65" spans="2:30" ht="15" customHeight="1" x14ac:dyDescent="0.2">
      <c r="B65" s="1" t="s">
        <v>142</v>
      </c>
      <c r="E65" s="2">
        <v>0</v>
      </c>
      <c r="F65" s="2">
        <v>0</v>
      </c>
      <c r="G65" s="2">
        <v>0</v>
      </c>
      <c r="H65" s="2">
        <v>0</v>
      </c>
      <c r="I65" s="2">
        <v>0</v>
      </c>
      <c r="J65" s="2">
        <v>0</v>
      </c>
      <c r="K65" s="2">
        <v>0</v>
      </c>
      <c r="L65" s="2">
        <v>0</v>
      </c>
      <c r="M65" s="2">
        <v>0</v>
      </c>
      <c r="N65" s="2">
        <v>0</v>
      </c>
      <c r="O65" s="2">
        <v>0</v>
      </c>
      <c r="P65" s="2">
        <v>0</v>
      </c>
      <c r="Q65" s="2">
        <v>0</v>
      </c>
      <c r="R65" s="2">
        <v>-3696</v>
      </c>
      <c r="S65" s="2">
        <v>0</v>
      </c>
      <c r="T65" s="2">
        <v>0</v>
      </c>
      <c r="U65" s="2">
        <f>-5824</f>
        <v>-5824</v>
      </c>
      <c r="V65" s="2">
        <v>-9520</v>
      </c>
      <c r="W65" s="2">
        <v>0</v>
      </c>
      <c r="X65" s="2">
        <f>'Cash Flow Statement'!X46</f>
        <v>-332</v>
      </c>
      <c r="Y65" s="2">
        <f>'Cash Flow Statement'!Y46</f>
        <v>0</v>
      </c>
      <c r="Z65" s="2">
        <f>'Cash Flow Statement'!Z46</f>
        <v>-3505</v>
      </c>
      <c r="AA65" s="2">
        <f>SUM(W65:Z65)</f>
        <v>-3837</v>
      </c>
      <c r="AB65" s="2">
        <f>'Cash Flow Statement'!AB46</f>
        <v>0</v>
      </c>
      <c r="AC65" s="2">
        <f>'Cash Flow Statement'!AC46</f>
        <v>-70541</v>
      </c>
      <c r="AD65" s="2">
        <f>'Cash Flow Statement'!AD46</f>
        <v>-146</v>
      </c>
    </row>
    <row r="66" spans="2:30" ht="15" customHeight="1" x14ac:dyDescent="0.2">
      <c r="B66" s="1" t="s">
        <v>268</v>
      </c>
      <c r="D66" s="2">
        <v>0</v>
      </c>
      <c r="E66" s="2">
        <v>0</v>
      </c>
      <c r="F66" s="2">
        <v>0</v>
      </c>
      <c r="G66" s="2">
        <v>0</v>
      </c>
      <c r="H66" s="2">
        <v>0</v>
      </c>
      <c r="I66" s="2">
        <v>0</v>
      </c>
      <c r="J66" s="2">
        <v>0</v>
      </c>
      <c r="K66" s="2">
        <v>0</v>
      </c>
      <c r="L66" s="2">
        <v>0</v>
      </c>
      <c r="M66" s="2">
        <v>0</v>
      </c>
      <c r="N66" s="2">
        <v>0</v>
      </c>
      <c r="O66" s="2">
        <v>0</v>
      </c>
      <c r="P66" s="2">
        <v>0</v>
      </c>
      <c r="Q66" s="2">
        <v>0</v>
      </c>
      <c r="R66" s="2">
        <v>0</v>
      </c>
      <c r="S66" s="2">
        <v>0</v>
      </c>
      <c r="T66" s="2">
        <v>0</v>
      </c>
      <c r="U66" s="2">
        <v>0</v>
      </c>
      <c r="V66" s="2">
        <v>0</v>
      </c>
      <c r="W66" s="2">
        <v>0</v>
      </c>
      <c r="X66" s="2">
        <v>0</v>
      </c>
      <c r="Y66" s="2">
        <v>0</v>
      </c>
      <c r="Z66" s="2">
        <v>0</v>
      </c>
      <c r="AA66" s="2">
        <v>0</v>
      </c>
      <c r="AB66" s="2"/>
      <c r="AC66" s="2">
        <f>'Cash Flow Statement'!AC47</f>
        <v>-75578</v>
      </c>
      <c r="AD66" s="2">
        <f>'Cash Flow Statement'!AD47</f>
        <v>0</v>
      </c>
    </row>
    <row r="67" spans="2:30" ht="15" customHeight="1" x14ac:dyDescent="0.2">
      <c r="B67" s="7" t="s">
        <v>269</v>
      </c>
      <c r="E67" s="11">
        <f t="shared" ref="E67:AC67" si="21">SUM(E62:E66)</f>
        <v>14163</v>
      </c>
      <c r="F67" s="11">
        <f t="shared" si="21"/>
        <v>-33439</v>
      </c>
      <c r="G67" s="11">
        <f t="shared" si="21"/>
        <v>51289</v>
      </c>
      <c r="H67" s="11">
        <f t="shared" si="21"/>
        <v>31443</v>
      </c>
      <c r="I67" s="11">
        <f t="shared" si="21"/>
        <v>38767</v>
      </c>
      <c r="J67" s="11">
        <f t="shared" si="21"/>
        <v>18013</v>
      </c>
      <c r="K67" s="11">
        <f t="shared" si="21"/>
        <v>-32356</v>
      </c>
      <c r="L67" s="11">
        <f t="shared" si="21"/>
        <v>55867</v>
      </c>
      <c r="M67" s="11">
        <f t="shared" si="21"/>
        <v>32241</v>
      </c>
      <c r="N67" s="11">
        <f t="shared" si="21"/>
        <v>49308</v>
      </c>
      <c r="O67" s="11">
        <f t="shared" si="21"/>
        <v>22293</v>
      </c>
      <c r="P67" s="11">
        <f t="shared" si="21"/>
        <v>-165550</v>
      </c>
      <c r="Q67" s="11">
        <f t="shared" si="21"/>
        <v>-61708</v>
      </c>
      <c r="R67" s="11">
        <f t="shared" si="21"/>
        <v>22629</v>
      </c>
      <c r="S67" s="11">
        <f t="shared" si="21"/>
        <v>59030</v>
      </c>
      <c r="T67" s="11">
        <f t="shared" si="21"/>
        <v>6942</v>
      </c>
      <c r="U67" s="11">
        <f t="shared" si="21"/>
        <v>-103899</v>
      </c>
      <c r="V67" s="11">
        <f t="shared" si="21"/>
        <v>-15298</v>
      </c>
      <c r="W67" s="11">
        <f t="shared" si="21"/>
        <v>-2039</v>
      </c>
      <c r="X67" s="11">
        <f t="shared" si="21"/>
        <v>63729</v>
      </c>
      <c r="Y67" s="11">
        <f t="shared" si="21"/>
        <v>8360</v>
      </c>
      <c r="Z67" s="11">
        <f t="shared" si="21"/>
        <v>-256950</v>
      </c>
      <c r="AA67" s="11">
        <f t="shared" si="21"/>
        <v>-186900</v>
      </c>
      <c r="AB67" s="11">
        <f t="shared" si="21"/>
        <v>-9645</v>
      </c>
      <c r="AC67" s="11">
        <f t="shared" si="21"/>
        <v>-65303</v>
      </c>
      <c r="AD67" s="11">
        <f>SUM(AD62:AD66)</f>
        <v>-63209</v>
      </c>
    </row>
    <row r="68" spans="2:30" s="7" customFormat="1" ht="15" customHeight="1" x14ac:dyDescent="0.2">
      <c r="B68" s="1" t="s">
        <v>270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c r="AB68" s="2">
        <v>0</v>
      </c>
      <c r="AC68" s="2">
        <v>75578</v>
      </c>
      <c r="AD68" s="2">
        <v>0</v>
      </c>
    </row>
    <row r="69" spans="2:30" s="7" customFormat="1" ht="15" customHeight="1" x14ac:dyDescent="0.2">
      <c r="B69" s="1" t="s">
        <v>271</v>
      </c>
      <c r="E69" s="2">
        <v>0</v>
      </c>
      <c r="F69" s="2">
        <v>0</v>
      </c>
      <c r="G69" s="2">
        <v>0</v>
      </c>
      <c r="H69" s="2">
        <v>0</v>
      </c>
      <c r="I69" s="2">
        <v>0</v>
      </c>
      <c r="J69" s="2">
        <v>0</v>
      </c>
      <c r="K69" s="2">
        <v>0</v>
      </c>
      <c r="L69" s="2">
        <v>0</v>
      </c>
      <c r="M69" s="2">
        <v>0</v>
      </c>
      <c r="N69" s="2">
        <v>0</v>
      </c>
      <c r="O69" s="2">
        <v>0</v>
      </c>
      <c r="P69" s="2">
        <v>0</v>
      </c>
      <c r="Q69" s="2">
        <v>0</v>
      </c>
      <c r="R69" s="2">
        <v>0</v>
      </c>
      <c r="S69" s="2">
        <v>0</v>
      </c>
      <c r="T69" s="2">
        <v>0</v>
      </c>
      <c r="U69" s="2">
        <v>0</v>
      </c>
      <c r="V69" s="2">
        <v>0</v>
      </c>
      <c r="W69" s="2">
        <v>0</v>
      </c>
      <c r="X69" s="2">
        <v>0</v>
      </c>
      <c r="Y69" s="2">
        <v>0</v>
      </c>
      <c r="Z69" s="2">
        <v>0</v>
      </c>
      <c r="AA69" s="2">
        <v>0</v>
      </c>
      <c r="AB69" s="2">
        <v>5507</v>
      </c>
      <c r="AC69" s="2">
        <v>8701</v>
      </c>
      <c r="AD69" s="2">
        <v>0</v>
      </c>
    </row>
    <row r="70" spans="2:30" s="7" customFormat="1" ht="15" customHeight="1" x14ac:dyDescent="0.2">
      <c r="B70" s="1" t="s">
        <v>272</v>
      </c>
      <c r="E70" s="2">
        <v>0</v>
      </c>
      <c r="F70" s="2">
        <v>0</v>
      </c>
      <c r="G70" s="2">
        <v>0</v>
      </c>
      <c r="H70" s="2">
        <v>0</v>
      </c>
      <c r="I70" s="2">
        <v>0</v>
      </c>
      <c r="J70" s="2">
        <v>0</v>
      </c>
      <c r="K70" s="2">
        <v>0</v>
      </c>
      <c r="L70" s="2">
        <v>0</v>
      </c>
      <c r="M70" s="2">
        <v>0</v>
      </c>
      <c r="N70" s="2">
        <v>0</v>
      </c>
      <c r="O70" s="2">
        <v>0</v>
      </c>
      <c r="P70" s="2">
        <v>0</v>
      </c>
      <c r="Q70" s="2">
        <v>0</v>
      </c>
      <c r="R70" s="2">
        <v>3696</v>
      </c>
      <c r="S70" s="2">
        <v>0</v>
      </c>
      <c r="T70" s="2">
        <v>0</v>
      </c>
      <c r="U70" s="2">
        <v>5824</v>
      </c>
      <c r="V70" s="2">
        <v>9520</v>
      </c>
      <c r="W70" s="2">
        <v>0</v>
      </c>
      <c r="X70" s="2">
        <v>332</v>
      </c>
      <c r="Y70" s="2">
        <v>0</v>
      </c>
      <c r="Z70" s="2">
        <v>3505</v>
      </c>
      <c r="AA70" s="2">
        <v>3837</v>
      </c>
      <c r="AB70" s="2">
        <v>0</v>
      </c>
      <c r="AC70" s="2">
        <v>70541</v>
      </c>
      <c r="AD70" s="2">
        <v>146</v>
      </c>
    </row>
    <row r="71" spans="2:30" ht="15" customHeight="1" x14ac:dyDescent="0.2">
      <c r="B71" s="60" t="s">
        <v>273</v>
      </c>
      <c r="E71" s="11">
        <f t="shared" ref="E71:AC71" si="22">SUM(E67:E70)</f>
        <v>14163</v>
      </c>
      <c r="F71" s="11">
        <f t="shared" si="22"/>
        <v>-33439</v>
      </c>
      <c r="G71" s="11">
        <f t="shared" si="22"/>
        <v>51289</v>
      </c>
      <c r="H71" s="11">
        <f t="shared" si="22"/>
        <v>31443</v>
      </c>
      <c r="I71" s="11">
        <f t="shared" si="22"/>
        <v>38767</v>
      </c>
      <c r="J71" s="11">
        <f t="shared" si="22"/>
        <v>18013</v>
      </c>
      <c r="K71" s="11">
        <f t="shared" si="22"/>
        <v>-32356</v>
      </c>
      <c r="L71" s="11">
        <f t="shared" si="22"/>
        <v>55867</v>
      </c>
      <c r="M71" s="11">
        <f t="shared" si="22"/>
        <v>32241</v>
      </c>
      <c r="N71" s="11">
        <f t="shared" si="22"/>
        <v>49308</v>
      </c>
      <c r="O71" s="11">
        <f t="shared" si="22"/>
        <v>22293</v>
      </c>
      <c r="P71" s="11">
        <f t="shared" si="22"/>
        <v>-165550</v>
      </c>
      <c r="Q71" s="11">
        <f t="shared" si="22"/>
        <v>-61708</v>
      </c>
      <c r="R71" s="11">
        <f t="shared" si="22"/>
        <v>26325</v>
      </c>
      <c r="S71" s="11">
        <f t="shared" si="22"/>
        <v>59030</v>
      </c>
      <c r="T71" s="11">
        <f t="shared" si="22"/>
        <v>6942</v>
      </c>
      <c r="U71" s="11">
        <f t="shared" si="22"/>
        <v>-98075</v>
      </c>
      <c r="V71" s="11">
        <f t="shared" si="22"/>
        <v>-5778</v>
      </c>
      <c r="W71" s="11">
        <f t="shared" si="22"/>
        <v>-2039</v>
      </c>
      <c r="X71" s="11">
        <f t="shared" si="22"/>
        <v>64061</v>
      </c>
      <c r="Y71" s="11">
        <f t="shared" si="22"/>
        <v>8360</v>
      </c>
      <c r="Z71" s="11">
        <f t="shared" si="22"/>
        <v>-253445</v>
      </c>
      <c r="AA71" s="11">
        <f t="shared" si="22"/>
        <v>-183063</v>
      </c>
      <c r="AB71" s="11">
        <f t="shared" si="22"/>
        <v>-4138</v>
      </c>
      <c r="AC71" s="11">
        <f t="shared" si="22"/>
        <v>89517</v>
      </c>
      <c r="AD71" s="11">
        <f>SUM(AD67:AD70)</f>
        <v>-63063</v>
      </c>
    </row>
    <row r="72" spans="2:30" ht="15" customHeight="1" x14ac:dyDescent="0.2">
      <c r="B72" s="69" t="s">
        <v>251</v>
      </c>
      <c r="E72" s="2">
        <v>0</v>
      </c>
      <c r="F72" s="2">
        <v>0</v>
      </c>
      <c r="G72" s="2">
        <v>0</v>
      </c>
      <c r="H72" s="2">
        <v>0</v>
      </c>
      <c r="I72" s="2">
        <v>0</v>
      </c>
      <c r="J72" s="2">
        <v>0</v>
      </c>
      <c r="K72" s="2">
        <v>0</v>
      </c>
      <c r="L72" s="2">
        <v>0</v>
      </c>
      <c r="M72" s="2">
        <v>0</v>
      </c>
      <c r="N72" s="2">
        <v>0</v>
      </c>
      <c r="O72" s="2">
        <v>0</v>
      </c>
      <c r="P72" s="2">
        <v>0</v>
      </c>
      <c r="Q72" s="2">
        <v>0</v>
      </c>
      <c r="R72" s="2">
        <v>0</v>
      </c>
      <c r="S72" s="2">
        <v>0</v>
      </c>
      <c r="T72" s="2">
        <v>0</v>
      </c>
      <c r="U72" s="2">
        <v>0</v>
      </c>
      <c r="V72" s="2">
        <v>0</v>
      </c>
      <c r="W72" s="2">
        <v>0</v>
      </c>
      <c r="X72" s="2">
        <v>0</v>
      </c>
      <c r="Y72" s="2">
        <v>0</v>
      </c>
      <c r="Z72" s="2">
        <v>0</v>
      </c>
      <c r="AA72" s="2">
        <v>0</v>
      </c>
      <c r="AB72" s="2">
        <v>-5507</v>
      </c>
      <c r="AC72" s="2">
        <v>0</v>
      </c>
      <c r="AD72" s="2">
        <v>0</v>
      </c>
    </row>
    <row r="73" spans="2:30" ht="15" customHeight="1" x14ac:dyDescent="0.2">
      <c r="B73" s="69" t="s">
        <v>142</v>
      </c>
      <c r="E73" s="2">
        <v>0</v>
      </c>
      <c r="F73" s="2">
        <v>0</v>
      </c>
      <c r="G73" s="2">
        <v>0</v>
      </c>
      <c r="H73" s="2">
        <v>0</v>
      </c>
      <c r="I73" s="2">
        <v>0</v>
      </c>
      <c r="J73" s="2">
        <v>0</v>
      </c>
      <c r="K73" s="2">
        <v>0</v>
      </c>
      <c r="L73" s="2">
        <v>0</v>
      </c>
      <c r="M73" s="2">
        <v>0</v>
      </c>
      <c r="N73" s="2">
        <v>0</v>
      </c>
      <c r="O73" s="2">
        <v>0</v>
      </c>
      <c r="P73" s="2">
        <v>0</v>
      </c>
      <c r="Q73" s="2">
        <v>0</v>
      </c>
      <c r="R73" s="2">
        <v>-3696</v>
      </c>
      <c r="S73" s="2">
        <v>0</v>
      </c>
      <c r="T73" s="2">
        <v>0</v>
      </c>
      <c r="U73" s="2">
        <v>-5824</v>
      </c>
      <c r="V73" s="2">
        <v>-9520</v>
      </c>
      <c r="W73" s="2">
        <v>0</v>
      </c>
      <c r="X73" s="2">
        <v>-332</v>
      </c>
      <c r="Y73" s="2">
        <v>0</v>
      </c>
      <c r="Z73" s="2">
        <v>-3505</v>
      </c>
      <c r="AA73" s="2">
        <v>-3837</v>
      </c>
      <c r="AB73" s="2">
        <v>0</v>
      </c>
      <c r="AC73" s="2">
        <v>0</v>
      </c>
      <c r="AD73" s="2">
        <v>0</v>
      </c>
    </row>
    <row r="74" spans="2:30" ht="15" customHeight="1" x14ac:dyDescent="0.2">
      <c r="B74" s="60" t="s">
        <v>250</v>
      </c>
      <c r="E74" s="11">
        <f>SUM(E71:E73)</f>
        <v>14163</v>
      </c>
      <c r="F74" s="11">
        <f t="shared" ref="F74:AD74" si="23">SUM(F71:F73)</f>
        <v>-33439</v>
      </c>
      <c r="G74" s="11">
        <f t="shared" si="23"/>
        <v>51289</v>
      </c>
      <c r="H74" s="11">
        <f t="shared" si="23"/>
        <v>31443</v>
      </c>
      <c r="I74" s="11">
        <f t="shared" si="23"/>
        <v>38767</v>
      </c>
      <c r="J74" s="11">
        <f t="shared" si="23"/>
        <v>18013</v>
      </c>
      <c r="K74" s="11">
        <f t="shared" si="23"/>
        <v>-32356</v>
      </c>
      <c r="L74" s="11">
        <f t="shared" si="23"/>
        <v>55867</v>
      </c>
      <c r="M74" s="11">
        <f t="shared" si="23"/>
        <v>32241</v>
      </c>
      <c r="N74" s="11">
        <f t="shared" si="23"/>
        <v>49308</v>
      </c>
      <c r="O74" s="11">
        <f t="shared" si="23"/>
        <v>22293</v>
      </c>
      <c r="P74" s="11">
        <f t="shared" si="23"/>
        <v>-165550</v>
      </c>
      <c r="Q74" s="11">
        <f t="shared" si="23"/>
        <v>-61708</v>
      </c>
      <c r="R74" s="11">
        <f t="shared" si="23"/>
        <v>22629</v>
      </c>
      <c r="S74" s="11">
        <f t="shared" si="23"/>
        <v>59030</v>
      </c>
      <c r="T74" s="11">
        <f t="shared" si="23"/>
        <v>6942</v>
      </c>
      <c r="U74" s="11">
        <f t="shared" si="23"/>
        <v>-103899</v>
      </c>
      <c r="V74" s="11">
        <f t="shared" si="23"/>
        <v>-15298</v>
      </c>
      <c r="W74" s="11">
        <f t="shared" si="23"/>
        <v>-2039</v>
      </c>
      <c r="X74" s="11">
        <f t="shared" si="23"/>
        <v>63729</v>
      </c>
      <c r="Y74" s="11">
        <f t="shared" si="23"/>
        <v>8360</v>
      </c>
      <c r="Z74" s="11">
        <f t="shared" si="23"/>
        <v>-256950</v>
      </c>
      <c r="AA74" s="11">
        <f t="shared" si="23"/>
        <v>-186900</v>
      </c>
      <c r="AB74" s="11">
        <f t="shared" si="23"/>
        <v>-9645</v>
      </c>
      <c r="AC74" s="11">
        <f t="shared" si="23"/>
        <v>89517</v>
      </c>
      <c r="AD74" s="11">
        <f t="shared" si="23"/>
        <v>-63063</v>
      </c>
    </row>
    <row r="75" spans="2:30" ht="15" customHeight="1" x14ac:dyDescent="0.2">
      <c r="T75" s="1"/>
      <c r="V75" s="1"/>
      <c r="AA75" s="1"/>
    </row>
    <row r="76" spans="2:30" ht="15" customHeight="1" x14ac:dyDescent="0.2">
      <c r="T76" s="1"/>
      <c r="V76" s="1"/>
      <c r="AA76" s="1"/>
    </row>
    <row r="77" spans="2:30" s="7" customFormat="1" ht="15" customHeight="1" x14ac:dyDescent="0.2">
      <c r="B77" s="7" t="s">
        <v>266</v>
      </c>
      <c r="E77" s="40">
        <f t="shared" ref="E77:AB77" si="24">E62</f>
        <v>14163</v>
      </c>
      <c r="F77" s="40">
        <f t="shared" si="24"/>
        <v>-33439</v>
      </c>
      <c r="G77" s="40">
        <f t="shared" si="24"/>
        <v>51289</v>
      </c>
      <c r="H77" s="40">
        <f t="shared" si="24"/>
        <v>31443</v>
      </c>
      <c r="I77" s="40">
        <f t="shared" si="24"/>
        <v>38767</v>
      </c>
      <c r="J77" s="40">
        <f t="shared" si="24"/>
        <v>18013</v>
      </c>
      <c r="K77" s="40">
        <f t="shared" si="24"/>
        <v>-32356</v>
      </c>
      <c r="L77" s="40">
        <f t="shared" si="24"/>
        <v>55867</v>
      </c>
      <c r="M77" s="40">
        <f t="shared" si="24"/>
        <v>32241</v>
      </c>
      <c r="N77" s="40">
        <f t="shared" si="24"/>
        <v>49528</v>
      </c>
      <c r="O77" s="40">
        <f t="shared" si="24"/>
        <v>22470</v>
      </c>
      <c r="P77" s="40">
        <f t="shared" si="24"/>
        <v>-165095</v>
      </c>
      <c r="Q77" s="40">
        <f t="shared" si="24"/>
        <v>-60856</v>
      </c>
      <c r="R77" s="40">
        <f t="shared" si="24"/>
        <v>26750</v>
      </c>
      <c r="S77" s="40">
        <f t="shared" si="24"/>
        <v>59315</v>
      </c>
      <c r="T77" s="40">
        <f t="shared" si="24"/>
        <v>17332</v>
      </c>
      <c r="U77" s="40">
        <f t="shared" si="24"/>
        <v>-93465</v>
      </c>
      <c r="V77" s="40">
        <f t="shared" si="24"/>
        <v>9932</v>
      </c>
      <c r="W77" s="40">
        <f t="shared" si="24"/>
        <v>6541</v>
      </c>
      <c r="X77" s="40">
        <f t="shared" si="24"/>
        <v>69252</v>
      </c>
      <c r="Y77" s="40">
        <f t="shared" si="24"/>
        <v>15770</v>
      </c>
      <c r="Z77" s="40">
        <f t="shared" si="24"/>
        <v>-237357</v>
      </c>
      <c r="AA77" s="40">
        <f t="shared" si="24"/>
        <v>-145794</v>
      </c>
      <c r="AB77" s="40">
        <f t="shared" si="24"/>
        <v>7620</v>
      </c>
      <c r="AC77" s="40">
        <f>AC62</f>
        <v>134803</v>
      </c>
      <c r="AD77" s="40">
        <f>AD62</f>
        <v>55745</v>
      </c>
    </row>
    <row r="78" spans="2:30" ht="15" customHeight="1" x14ac:dyDescent="0.2">
      <c r="B78" s="1" t="s">
        <v>274</v>
      </c>
      <c r="E78" s="9">
        <f t="shared" ref="E78:AB78" si="25">E69</f>
        <v>0</v>
      </c>
      <c r="F78" s="9">
        <f t="shared" si="25"/>
        <v>0</v>
      </c>
      <c r="G78" s="9">
        <f t="shared" si="25"/>
        <v>0</v>
      </c>
      <c r="H78" s="9">
        <f t="shared" si="25"/>
        <v>0</v>
      </c>
      <c r="I78" s="9">
        <f t="shared" si="25"/>
        <v>0</v>
      </c>
      <c r="J78" s="9">
        <f t="shared" si="25"/>
        <v>0</v>
      </c>
      <c r="K78" s="9">
        <f t="shared" si="25"/>
        <v>0</v>
      </c>
      <c r="L78" s="9">
        <f t="shared" si="25"/>
        <v>0</v>
      </c>
      <c r="M78" s="9">
        <f t="shared" si="25"/>
        <v>0</v>
      </c>
      <c r="N78" s="9">
        <f t="shared" si="25"/>
        <v>0</v>
      </c>
      <c r="O78" s="9">
        <f t="shared" si="25"/>
        <v>0</v>
      </c>
      <c r="P78" s="9">
        <f t="shared" si="25"/>
        <v>0</v>
      </c>
      <c r="Q78" s="9">
        <f t="shared" si="25"/>
        <v>0</v>
      </c>
      <c r="R78" s="9">
        <f t="shared" si="25"/>
        <v>0</v>
      </c>
      <c r="S78" s="9">
        <f t="shared" si="25"/>
        <v>0</v>
      </c>
      <c r="T78" s="9">
        <f t="shared" si="25"/>
        <v>0</v>
      </c>
      <c r="U78" s="9">
        <f t="shared" si="25"/>
        <v>0</v>
      </c>
      <c r="V78" s="9">
        <f t="shared" si="25"/>
        <v>0</v>
      </c>
      <c r="W78" s="9">
        <f t="shared" si="25"/>
        <v>0</v>
      </c>
      <c r="X78" s="9">
        <f t="shared" si="25"/>
        <v>0</v>
      </c>
      <c r="Y78" s="9">
        <f t="shared" si="25"/>
        <v>0</v>
      </c>
      <c r="Z78" s="9">
        <f t="shared" si="25"/>
        <v>0</v>
      </c>
      <c r="AA78" s="9">
        <f t="shared" si="25"/>
        <v>0</v>
      </c>
      <c r="AB78" s="9">
        <f t="shared" si="25"/>
        <v>5507</v>
      </c>
      <c r="AC78" s="9">
        <f>AC69</f>
        <v>8701</v>
      </c>
      <c r="AD78" s="9">
        <f>AD69</f>
        <v>0</v>
      </c>
    </row>
    <row r="79" spans="2:30" s="7" customFormat="1" ht="15" customHeight="1" x14ac:dyDescent="0.2">
      <c r="B79" s="7" t="s">
        <v>275</v>
      </c>
      <c r="E79" s="40">
        <f t="shared" ref="E79:AC79" si="26">SUM(E77:E78)</f>
        <v>14163</v>
      </c>
      <c r="F79" s="40">
        <f t="shared" si="26"/>
        <v>-33439</v>
      </c>
      <c r="G79" s="40">
        <f t="shared" si="26"/>
        <v>51289</v>
      </c>
      <c r="H79" s="40">
        <f t="shared" si="26"/>
        <v>31443</v>
      </c>
      <c r="I79" s="40">
        <f t="shared" si="26"/>
        <v>38767</v>
      </c>
      <c r="J79" s="40">
        <f t="shared" si="26"/>
        <v>18013</v>
      </c>
      <c r="K79" s="40">
        <f t="shared" si="26"/>
        <v>-32356</v>
      </c>
      <c r="L79" s="40">
        <f t="shared" si="26"/>
        <v>55867</v>
      </c>
      <c r="M79" s="40">
        <f t="shared" si="26"/>
        <v>32241</v>
      </c>
      <c r="N79" s="40">
        <f t="shared" si="26"/>
        <v>49528</v>
      </c>
      <c r="O79" s="40">
        <f t="shared" si="26"/>
        <v>22470</v>
      </c>
      <c r="P79" s="40">
        <f t="shared" si="26"/>
        <v>-165095</v>
      </c>
      <c r="Q79" s="40">
        <f t="shared" si="26"/>
        <v>-60856</v>
      </c>
      <c r="R79" s="40">
        <f t="shared" si="26"/>
        <v>26750</v>
      </c>
      <c r="S79" s="40">
        <f t="shared" si="26"/>
        <v>59315</v>
      </c>
      <c r="T79" s="40">
        <f t="shared" si="26"/>
        <v>17332</v>
      </c>
      <c r="U79" s="40">
        <f t="shared" si="26"/>
        <v>-93465</v>
      </c>
      <c r="V79" s="40">
        <f t="shared" si="26"/>
        <v>9932</v>
      </c>
      <c r="W79" s="40">
        <f t="shared" si="26"/>
        <v>6541</v>
      </c>
      <c r="X79" s="40">
        <f t="shared" si="26"/>
        <v>69252</v>
      </c>
      <c r="Y79" s="40">
        <f t="shared" si="26"/>
        <v>15770</v>
      </c>
      <c r="Z79" s="40">
        <f t="shared" si="26"/>
        <v>-237357</v>
      </c>
      <c r="AA79" s="40">
        <f t="shared" si="26"/>
        <v>-145794</v>
      </c>
      <c r="AB79" s="40">
        <f t="shared" si="26"/>
        <v>13127</v>
      </c>
      <c r="AC79" s="40">
        <f t="shared" si="26"/>
        <v>143504</v>
      </c>
      <c r="AD79" s="40">
        <f>SUM(AD77:AD78)</f>
        <v>55745</v>
      </c>
    </row>
    <row r="80" spans="2:30" ht="15" customHeight="1" x14ac:dyDescent="0.2">
      <c r="T80" s="1"/>
      <c r="V80" s="1"/>
      <c r="AA80" s="1"/>
    </row>
    <row r="81" spans="2:30" ht="15" customHeight="1" x14ac:dyDescent="0.2">
      <c r="B81" s="7" t="s">
        <v>149</v>
      </c>
      <c r="E81" s="2"/>
      <c r="F81" s="2"/>
      <c r="G81" s="2"/>
      <c r="H81" s="2"/>
      <c r="I81" s="2"/>
      <c r="J81" s="2"/>
      <c r="K81" s="2"/>
      <c r="L81" s="2"/>
      <c r="M81" s="2"/>
      <c r="N81" s="2"/>
      <c r="O81" s="2"/>
      <c r="P81" s="2"/>
      <c r="Q81" s="2"/>
      <c r="S81" s="2"/>
      <c r="T81" s="2"/>
      <c r="U81" s="2"/>
      <c r="V81" s="1"/>
      <c r="AA81" s="1"/>
      <c r="AC81" s="7"/>
      <c r="AD81" s="7"/>
    </row>
    <row r="82" spans="2:30" ht="15" customHeight="1" x14ac:dyDescent="0.2">
      <c r="B82" s="7" t="s">
        <v>150</v>
      </c>
      <c r="E82" s="2">
        <v>0</v>
      </c>
      <c r="F82" s="2">
        <v>0</v>
      </c>
      <c r="G82" s="2">
        <v>0</v>
      </c>
      <c r="H82" s="2">
        <v>0</v>
      </c>
      <c r="I82" s="2">
        <v>0</v>
      </c>
      <c r="J82" s="2">
        <v>0</v>
      </c>
      <c r="K82" s="2">
        <v>0</v>
      </c>
      <c r="L82" s="2">
        <v>0</v>
      </c>
      <c r="M82" s="2">
        <v>0</v>
      </c>
      <c r="N82" s="2">
        <v>0</v>
      </c>
      <c r="O82" s="2">
        <v>0</v>
      </c>
      <c r="P82" s="2">
        <v>0</v>
      </c>
      <c r="Q82" s="2">
        <v>0</v>
      </c>
      <c r="R82" s="21">
        <f>'Cash Flow Statement'!R7</f>
        <v>10430</v>
      </c>
      <c r="S82" s="21">
        <v>22629</v>
      </c>
      <c r="T82" s="2">
        <v>-38677</v>
      </c>
      <c r="U82" s="2">
        <v>44720</v>
      </c>
      <c r="V82" s="11">
        <f>'Cash Flow Statement'!V7</f>
        <v>39102</v>
      </c>
      <c r="W82" s="21">
        <f>'Cash Flow Statement'!W7</f>
        <v>22411</v>
      </c>
      <c r="X82" s="21">
        <f>'Cash Flow Statement'!X7</f>
        <v>-26834</v>
      </c>
      <c r="Y82" s="21">
        <f>'Cash Flow Statement'!Y7</f>
        <v>-196104</v>
      </c>
      <c r="Z82" s="11">
        <f>'Cash Flow Statement'!Z7</f>
        <v>26870</v>
      </c>
      <c r="AA82" s="11">
        <f>'Cash Flow Statement'!AA7</f>
        <v>-173657</v>
      </c>
      <c r="AB82" s="11">
        <f>'Cash Flow Statement'!AB7</f>
        <v>108890</v>
      </c>
      <c r="AC82" s="11">
        <f>'Cash Flow Statement'!AC7</f>
        <v>-12114</v>
      </c>
      <c r="AD82" s="11">
        <f>'Cash Flow Statement'!AD7</f>
        <v>-107845</v>
      </c>
    </row>
    <row r="83" spans="2:30" ht="15" customHeight="1" x14ac:dyDescent="0.2">
      <c r="B83" s="1" t="s">
        <v>151</v>
      </c>
      <c r="E83" s="2">
        <v>0</v>
      </c>
      <c r="F83" s="2">
        <v>0</v>
      </c>
      <c r="G83" s="2">
        <v>0</v>
      </c>
      <c r="H83" s="2">
        <v>0</v>
      </c>
      <c r="I83" s="2">
        <v>0</v>
      </c>
      <c r="J83" s="2">
        <v>0</v>
      </c>
      <c r="K83" s="2">
        <v>0</v>
      </c>
      <c r="L83" s="2">
        <v>0</v>
      </c>
      <c r="M83" s="2">
        <v>0</v>
      </c>
      <c r="N83" s="2">
        <v>0</v>
      </c>
      <c r="O83" s="2">
        <v>0</v>
      </c>
      <c r="P83" s="2">
        <v>0</v>
      </c>
      <c r="Q83" s="2">
        <v>0</v>
      </c>
      <c r="R83" s="9">
        <v>9209</v>
      </c>
      <c r="S83" s="9">
        <v>16566.776159999994</v>
      </c>
      <c r="T83" s="2">
        <v>-3896.8764087033342</v>
      </c>
      <c r="U83" s="2">
        <v>-4307</v>
      </c>
      <c r="V83" s="2">
        <v>17571.987689999994</v>
      </c>
      <c r="W83" s="22">
        <v>8570</v>
      </c>
      <c r="X83" s="22">
        <v>466</v>
      </c>
      <c r="Y83" s="22">
        <v>44929</v>
      </c>
      <c r="Z83" s="22">
        <v>-5469</v>
      </c>
      <c r="AA83" s="2">
        <f t="shared" ref="AA83:AA91" si="27">SUM(W83:Z83)</f>
        <v>48496</v>
      </c>
      <c r="AB83" s="22">
        <v>948.69027999999992</v>
      </c>
      <c r="AC83" s="22">
        <v>-19762.690279999999</v>
      </c>
      <c r="AD83" s="22">
        <v>26215</v>
      </c>
    </row>
    <row r="84" spans="2:30" ht="15" customHeight="1" x14ac:dyDescent="0.2">
      <c r="B84" s="1" t="s">
        <v>152</v>
      </c>
      <c r="E84" s="2">
        <v>0</v>
      </c>
      <c r="F84" s="2">
        <v>0</v>
      </c>
      <c r="G84" s="2">
        <v>0</v>
      </c>
      <c r="H84" s="2">
        <v>0</v>
      </c>
      <c r="I84" s="2">
        <v>0</v>
      </c>
      <c r="J84" s="2">
        <v>0</v>
      </c>
      <c r="K84" s="2">
        <v>0</v>
      </c>
      <c r="L84" s="2">
        <v>0</v>
      </c>
      <c r="M84" s="2">
        <v>0</v>
      </c>
      <c r="N84" s="2">
        <v>0</v>
      </c>
      <c r="O84" s="2">
        <v>0</v>
      </c>
      <c r="P84" s="2">
        <v>0</v>
      </c>
      <c r="Q84" s="2">
        <v>0</v>
      </c>
      <c r="R84" s="9">
        <v>14524</v>
      </c>
      <c r="S84" s="9">
        <v>25025.2436848</v>
      </c>
      <c r="T84" s="2">
        <v>-5344.2576671999996</v>
      </c>
      <c r="U84" s="2">
        <v>-701</v>
      </c>
      <c r="V84" s="2">
        <v>33504</v>
      </c>
      <c r="W84" s="22">
        <v>4901</v>
      </c>
      <c r="X84" s="22">
        <v>4859</v>
      </c>
      <c r="Y84" s="22">
        <v>725</v>
      </c>
      <c r="Z84" s="22">
        <v>12147</v>
      </c>
      <c r="AA84" s="2">
        <f t="shared" si="27"/>
        <v>22632</v>
      </c>
      <c r="AB84" s="22">
        <v>7751.5418239999999</v>
      </c>
      <c r="AC84" s="22">
        <v>6094.4581760000001</v>
      </c>
      <c r="AD84" s="22">
        <v>7477</v>
      </c>
    </row>
    <row r="85" spans="2:30" ht="15" customHeight="1" x14ac:dyDescent="0.2">
      <c r="B85" s="1" t="s">
        <v>153</v>
      </c>
      <c r="E85" s="2">
        <v>0</v>
      </c>
      <c r="F85" s="2">
        <v>0</v>
      </c>
      <c r="G85" s="2">
        <v>0</v>
      </c>
      <c r="H85" s="2">
        <v>0</v>
      </c>
      <c r="I85" s="2">
        <v>0</v>
      </c>
      <c r="J85" s="2">
        <v>0</v>
      </c>
      <c r="K85" s="2">
        <v>0</v>
      </c>
      <c r="L85" s="2">
        <v>0</v>
      </c>
      <c r="M85" s="2">
        <v>0</v>
      </c>
      <c r="N85" s="2">
        <v>0</v>
      </c>
      <c r="O85" s="2">
        <v>0</v>
      </c>
      <c r="P85" s="2">
        <v>0</v>
      </c>
      <c r="Q85" s="2">
        <v>0</v>
      </c>
      <c r="R85" s="9">
        <v>17118</v>
      </c>
      <c r="S85" s="9">
        <v>15765.363550000002</v>
      </c>
      <c r="T85" s="2">
        <v>21297.346349999985</v>
      </c>
      <c r="U85" s="2">
        <v>12604</v>
      </c>
      <c r="V85" s="2">
        <v>66784</v>
      </c>
      <c r="W85" s="22">
        <v>17646</v>
      </c>
      <c r="X85" s="22">
        <v>21765</v>
      </c>
      <c r="Y85" s="22">
        <v>92173</v>
      </c>
      <c r="Z85" s="22">
        <v>36125</v>
      </c>
      <c r="AA85" s="2">
        <f t="shared" si="27"/>
        <v>167709</v>
      </c>
      <c r="AB85" s="22">
        <v>29873.039406500535</v>
      </c>
      <c r="AC85" s="22">
        <v>-6269.0394065005348</v>
      </c>
      <c r="AD85" s="22">
        <v>17751</v>
      </c>
    </row>
    <row r="86" spans="2:30" ht="15" customHeight="1" x14ac:dyDescent="0.2">
      <c r="B86" s="1" t="s">
        <v>247</v>
      </c>
      <c r="E86" s="2">
        <v>0</v>
      </c>
      <c r="F86" s="2">
        <v>0</v>
      </c>
      <c r="G86" s="2">
        <v>0</v>
      </c>
      <c r="H86" s="2">
        <v>0</v>
      </c>
      <c r="I86" s="2">
        <v>0</v>
      </c>
      <c r="J86" s="2">
        <v>0</v>
      </c>
      <c r="K86" s="2">
        <v>0</v>
      </c>
      <c r="L86" s="2">
        <v>0</v>
      </c>
      <c r="M86" s="2">
        <v>0</v>
      </c>
      <c r="N86" s="2">
        <v>0</v>
      </c>
      <c r="O86" s="2">
        <v>0</v>
      </c>
      <c r="P86" s="2">
        <v>0</v>
      </c>
      <c r="Q86" s="2">
        <v>0</v>
      </c>
      <c r="R86" s="9">
        <v>-240</v>
      </c>
      <c r="S86" s="9">
        <v>-1120</v>
      </c>
      <c r="T86" s="2">
        <v>-1374</v>
      </c>
      <c r="U86" s="2">
        <v>2325</v>
      </c>
      <c r="V86" s="2">
        <v>-409</v>
      </c>
      <c r="W86" s="22">
        <v>-348</v>
      </c>
      <c r="X86" s="22">
        <f>-'Income Statement'!X22</f>
        <v>1728</v>
      </c>
      <c r="Y86" s="22">
        <f>-'Income Statement'!Y22</f>
        <v>5575</v>
      </c>
      <c r="Z86" s="22">
        <f>-'Income Statement'!Z22</f>
        <v>13856</v>
      </c>
      <c r="AA86" s="22">
        <f>-'Income Statement'!AA22</f>
        <v>22182</v>
      </c>
      <c r="AB86" s="22">
        <f>-'Income Statement'!AB22</f>
        <v>5642</v>
      </c>
      <c r="AC86" s="22">
        <f>-'Income Statement'!AC22</f>
        <v>14294</v>
      </c>
      <c r="AD86" s="22">
        <v>4284</v>
      </c>
    </row>
    <row r="87" spans="2:30" ht="15" customHeight="1" x14ac:dyDescent="0.2">
      <c r="B87" s="1" t="s">
        <v>154</v>
      </c>
      <c r="E87" s="2">
        <v>0</v>
      </c>
      <c r="F87" s="2">
        <v>0</v>
      </c>
      <c r="G87" s="2">
        <v>0</v>
      </c>
      <c r="H87" s="2">
        <v>0</v>
      </c>
      <c r="I87" s="2">
        <v>0</v>
      </c>
      <c r="J87" s="2">
        <v>0</v>
      </c>
      <c r="K87" s="2">
        <v>0</v>
      </c>
      <c r="L87" s="2">
        <v>0</v>
      </c>
      <c r="M87" s="2">
        <v>0</v>
      </c>
      <c r="N87" s="2">
        <v>0</v>
      </c>
      <c r="O87" s="2">
        <v>0</v>
      </c>
      <c r="P87" s="2">
        <v>0</v>
      </c>
      <c r="Q87" s="2">
        <v>0</v>
      </c>
      <c r="R87" s="9">
        <v>629</v>
      </c>
      <c r="S87" s="9">
        <v>4649.0966399999998</v>
      </c>
      <c r="T87" s="2">
        <v>6839.1971400000039</v>
      </c>
      <c r="U87" s="2">
        <v>4804</v>
      </c>
      <c r="V87" s="2">
        <v>16922</v>
      </c>
      <c r="W87" s="22">
        <v>5649</v>
      </c>
      <c r="X87" s="22">
        <v>8151</v>
      </c>
      <c r="Y87" s="22">
        <v>2971</v>
      </c>
      <c r="Z87" s="22">
        <v>36637</v>
      </c>
      <c r="AA87" s="2">
        <f t="shared" si="27"/>
        <v>53408</v>
      </c>
      <c r="AB87" s="22">
        <v>-109514.86990000011</v>
      </c>
      <c r="AC87" s="22">
        <v>5006.6697300001251</v>
      </c>
      <c r="AD87" s="22">
        <v>-7719</v>
      </c>
    </row>
    <row r="88" spans="2:30" ht="15" customHeight="1" x14ac:dyDescent="0.2">
      <c r="B88" s="1" t="s">
        <v>155</v>
      </c>
      <c r="E88" s="2">
        <v>0</v>
      </c>
      <c r="F88" s="2">
        <v>0</v>
      </c>
      <c r="G88" s="2">
        <v>0</v>
      </c>
      <c r="H88" s="2">
        <v>0</v>
      </c>
      <c r="I88" s="2">
        <v>0</v>
      </c>
      <c r="J88" s="2">
        <v>0</v>
      </c>
      <c r="K88" s="2">
        <v>0</v>
      </c>
      <c r="L88" s="2">
        <v>0</v>
      </c>
      <c r="M88" s="2">
        <v>0</v>
      </c>
      <c r="N88" s="2">
        <v>0</v>
      </c>
      <c r="O88" s="2">
        <v>0</v>
      </c>
      <c r="P88" s="2">
        <v>0</v>
      </c>
      <c r="Q88" s="2">
        <v>0</v>
      </c>
      <c r="R88" s="9">
        <v>1313</v>
      </c>
      <c r="S88" s="9">
        <v>1149.6559600000001</v>
      </c>
      <c r="T88" s="2">
        <v>1780.1057700000006</v>
      </c>
      <c r="U88" s="2">
        <v>680</v>
      </c>
      <c r="V88" s="2">
        <v>4923</v>
      </c>
      <c r="W88" s="22">
        <v>1384</v>
      </c>
      <c r="X88" s="22">
        <v>3383</v>
      </c>
      <c r="Y88" s="22">
        <v>4168</v>
      </c>
      <c r="Z88" s="22">
        <v>4270</v>
      </c>
      <c r="AA88" s="2">
        <f t="shared" si="27"/>
        <v>13205</v>
      </c>
      <c r="AB88" s="22">
        <v>5151.4804800000002</v>
      </c>
      <c r="AC88" s="22">
        <v>6694.1329200000018</v>
      </c>
      <c r="AD88" s="22">
        <v>3487</v>
      </c>
    </row>
    <row r="89" spans="2:30" ht="15" customHeight="1" x14ac:dyDescent="0.2">
      <c r="B89" s="1" t="s">
        <v>156</v>
      </c>
      <c r="E89" s="2">
        <v>0</v>
      </c>
      <c r="F89" s="2">
        <v>0</v>
      </c>
      <c r="G89" s="2">
        <v>0</v>
      </c>
      <c r="H89" s="2">
        <v>0</v>
      </c>
      <c r="I89" s="2">
        <v>0</v>
      </c>
      <c r="J89" s="2">
        <v>0</v>
      </c>
      <c r="K89" s="2">
        <v>0</v>
      </c>
      <c r="L89" s="2">
        <v>0</v>
      </c>
      <c r="M89" s="2">
        <v>0</v>
      </c>
      <c r="N89" s="2">
        <v>0</v>
      </c>
      <c r="O89" s="2">
        <v>0</v>
      </c>
      <c r="P89" s="2">
        <v>0</v>
      </c>
      <c r="Q89" s="2">
        <v>0</v>
      </c>
      <c r="R89" s="9">
        <v>11310</v>
      </c>
      <c r="S89" s="9">
        <v>13287.862440673343</v>
      </c>
      <c r="T89" s="2">
        <v>16427.33260458117</v>
      </c>
      <c r="U89" s="2">
        <v>-1631</v>
      </c>
      <c r="V89" s="2">
        <v>39394</v>
      </c>
      <c r="W89" s="22">
        <v>4473</v>
      </c>
      <c r="X89" s="22">
        <v>8854</v>
      </c>
      <c r="Y89" s="22">
        <v>-3546</v>
      </c>
      <c r="Z89" s="22">
        <v>37846</v>
      </c>
      <c r="AA89" s="2">
        <f t="shared" si="27"/>
        <v>47627</v>
      </c>
      <c r="AB89" s="22">
        <v>24349.119964830501</v>
      </c>
      <c r="AC89" s="22">
        <v>19770.172804828002</v>
      </c>
      <c r="AD89" s="22">
        <v>-14706</v>
      </c>
    </row>
    <row r="90" spans="2:30" ht="15" customHeight="1" x14ac:dyDescent="0.2">
      <c r="B90" s="1" t="s">
        <v>157</v>
      </c>
      <c r="E90" s="2">
        <v>0</v>
      </c>
      <c r="F90" s="2">
        <v>0</v>
      </c>
      <c r="G90" s="2">
        <v>0</v>
      </c>
      <c r="H90" s="2">
        <v>0</v>
      </c>
      <c r="I90" s="2">
        <v>0</v>
      </c>
      <c r="J90" s="2">
        <v>0</v>
      </c>
      <c r="K90" s="2">
        <v>0</v>
      </c>
      <c r="L90" s="2">
        <v>0</v>
      </c>
      <c r="M90" s="2">
        <v>0</v>
      </c>
      <c r="N90" s="2">
        <v>0</v>
      </c>
      <c r="O90" s="2">
        <v>0</v>
      </c>
      <c r="P90" s="2">
        <v>0</v>
      </c>
      <c r="Q90" s="2">
        <v>0</v>
      </c>
      <c r="R90" s="9">
        <v>29769</v>
      </c>
      <c r="S90" s="9">
        <v>-12492.730982421359</v>
      </c>
      <c r="T90" s="2">
        <v>66395.32064336726</v>
      </c>
      <c r="U90" s="2">
        <v>30184</v>
      </c>
      <c r="V90" s="2">
        <v>113856</v>
      </c>
      <c r="W90" s="22">
        <v>17054</v>
      </c>
      <c r="X90" s="22">
        <v>74312</v>
      </c>
      <c r="Y90" s="22">
        <v>77673</v>
      </c>
      <c r="Z90" s="22">
        <v>-43473</v>
      </c>
      <c r="AA90" s="2">
        <f t="shared" si="27"/>
        <v>125566</v>
      </c>
      <c r="AB90" s="22">
        <v>33434.388146025471</v>
      </c>
      <c r="AC90" s="22">
        <v>3588.3489650818665</v>
      </c>
      <c r="AD90" s="22">
        <v>131869</v>
      </c>
    </row>
    <row r="91" spans="2:30" ht="15" customHeight="1" x14ac:dyDescent="0.2">
      <c r="B91" s="1" t="s">
        <v>158</v>
      </c>
      <c r="E91" s="2">
        <v>0</v>
      </c>
      <c r="F91" s="2">
        <v>0</v>
      </c>
      <c r="G91" s="2">
        <v>0</v>
      </c>
      <c r="H91" s="2">
        <v>0</v>
      </c>
      <c r="I91" s="2">
        <v>0</v>
      </c>
      <c r="J91" s="2">
        <v>0</v>
      </c>
      <c r="K91" s="2">
        <v>0</v>
      </c>
      <c r="L91" s="2">
        <v>0</v>
      </c>
      <c r="M91" s="2">
        <v>0</v>
      </c>
      <c r="N91" s="2">
        <v>0</v>
      </c>
      <c r="O91" s="2">
        <v>0</v>
      </c>
      <c r="P91" s="2">
        <v>0</v>
      </c>
      <c r="Q91" s="2">
        <v>0</v>
      </c>
      <c r="R91" s="9">
        <v>5726</v>
      </c>
      <c r="S91" s="9">
        <v>2105.4534979999989</v>
      </c>
      <c r="T91" s="2">
        <v>-1405.0168686778334</v>
      </c>
      <c r="U91" s="2">
        <v>4639</v>
      </c>
      <c r="V91" s="2">
        <v>11065</v>
      </c>
      <c r="W91" s="22">
        <v>3763</v>
      </c>
      <c r="X91" s="22">
        <v>4756</v>
      </c>
      <c r="Y91" s="22">
        <v>9349</v>
      </c>
      <c r="Z91" s="22">
        <v>24149</v>
      </c>
      <c r="AA91" s="2">
        <f t="shared" si="27"/>
        <v>42017</v>
      </c>
      <c r="AB91" s="22">
        <v>5079.5259859999996</v>
      </c>
      <c r="AC91" s="22">
        <v>5092.5995967073495</v>
      </c>
      <c r="AD91" s="22">
        <v>13471</v>
      </c>
    </row>
    <row r="92" spans="2:30" ht="15" customHeight="1" x14ac:dyDescent="0.2">
      <c r="B92" s="7" t="s">
        <v>159</v>
      </c>
      <c r="E92" s="2">
        <v>0</v>
      </c>
      <c r="F92" s="2">
        <v>0</v>
      </c>
      <c r="G92" s="2">
        <v>0</v>
      </c>
      <c r="H92" s="2">
        <v>0</v>
      </c>
      <c r="I92" s="2">
        <v>0</v>
      </c>
      <c r="J92" s="2">
        <v>0</v>
      </c>
      <c r="K92" s="2">
        <v>0</v>
      </c>
      <c r="L92" s="2">
        <v>0</v>
      </c>
      <c r="M92" s="2">
        <v>0</v>
      </c>
      <c r="N92" s="2">
        <v>0</v>
      </c>
      <c r="O92" s="2">
        <v>0</v>
      </c>
      <c r="P92" s="2">
        <v>0</v>
      </c>
      <c r="Q92" s="2">
        <v>0</v>
      </c>
      <c r="R92" s="11">
        <f t="shared" ref="R92:Y92" si="28">SUM(R82:R91)</f>
        <v>99788</v>
      </c>
      <c r="S92" s="11">
        <f t="shared" si="28"/>
        <v>87565.72095105199</v>
      </c>
      <c r="T92" s="11">
        <f t="shared" si="28"/>
        <v>62042.151563367253</v>
      </c>
      <c r="U92" s="11">
        <f t="shared" si="28"/>
        <v>93317</v>
      </c>
      <c r="V92" s="11">
        <f t="shared" si="28"/>
        <v>342712.98768999998</v>
      </c>
      <c r="W92" s="11">
        <f t="shared" si="28"/>
        <v>85503</v>
      </c>
      <c r="X92" s="11">
        <f t="shared" si="28"/>
        <v>101440</v>
      </c>
      <c r="Y92" s="11">
        <f t="shared" si="28"/>
        <v>37913</v>
      </c>
      <c r="Z92" s="11">
        <f>SUM(Z82:Z91)</f>
        <v>142958</v>
      </c>
      <c r="AA92" s="11">
        <f>SUM(AA82:AA91)</f>
        <v>369185</v>
      </c>
      <c r="AB92" s="11">
        <f>SUM(AB82:AB91)</f>
        <v>111604.91618735637</v>
      </c>
      <c r="AC92" s="11">
        <f>SUM(AC82:AC91)</f>
        <v>22394.65250611681</v>
      </c>
      <c r="AD92" s="11">
        <f>SUM(AD82:AD91)</f>
        <v>74284</v>
      </c>
    </row>
    <row r="93" spans="2:30" ht="15" customHeight="1" x14ac:dyDescent="0.2">
      <c r="V93" s="1"/>
      <c r="AA93" s="1"/>
    </row>
    <row r="94" spans="2:30" ht="15" customHeight="1" x14ac:dyDescent="0.2">
      <c r="B94" s="7" t="s">
        <v>160</v>
      </c>
      <c r="E94" s="2">
        <v>0</v>
      </c>
      <c r="F94" s="2">
        <v>0</v>
      </c>
      <c r="G94" s="2">
        <v>0</v>
      </c>
      <c r="H94" s="2">
        <v>0</v>
      </c>
      <c r="I94" s="2">
        <v>0</v>
      </c>
      <c r="J94" s="2">
        <v>0</v>
      </c>
      <c r="K94" s="2">
        <v>0</v>
      </c>
      <c r="L94" s="2">
        <v>0</v>
      </c>
      <c r="M94" s="2">
        <v>0</v>
      </c>
      <c r="N94" s="2">
        <v>0</v>
      </c>
      <c r="O94" s="2">
        <v>0</v>
      </c>
      <c r="P94" s="2">
        <v>0</v>
      </c>
      <c r="Q94" s="2">
        <v>0</v>
      </c>
      <c r="R94" s="21">
        <f>-ROUNDDOWN(R92*R95,0)</f>
        <v>-33927</v>
      </c>
      <c r="S94" s="21">
        <v>-29773</v>
      </c>
      <c r="T94" s="2">
        <v>-21095</v>
      </c>
      <c r="U94" s="2">
        <v>-31728</v>
      </c>
      <c r="V94" s="11">
        <f>-ROUNDUP(V92*V95,0)</f>
        <v>-116523</v>
      </c>
      <c r="W94" s="21">
        <f>-ROUNDDOWN(W92*W95,0)</f>
        <v>-29071</v>
      </c>
      <c r="X94" s="21">
        <f>-ROUNDDOWN(X92*X95,0)</f>
        <v>-34489</v>
      </c>
      <c r="Y94" s="21">
        <f>-ROUNDUP(Y92*Y95,0)</f>
        <v>-12891</v>
      </c>
      <c r="Z94" s="21">
        <f>-ROUNDUP(Z92*Z95,0)</f>
        <v>-48606</v>
      </c>
      <c r="AA94" s="11">
        <f>SUM(W94:Z94)</f>
        <v>-125057</v>
      </c>
      <c r="AB94" s="21">
        <f>-ROUNDUP(AB92*AB95,0)</f>
        <v>-37946</v>
      </c>
      <c r="AC94" s="21">
        <f>-ROUND(AC92*AC95,0)</f>
        <v>-7614</v>
      </c>
      <c r="AD94" s="21">
        <f>-ROUND(AD92*AD95,0)</f>
        <v>-25257</v>
      </c>
    </row>
    <row r="95" spans="2:30" ht="15" customHeight="1" x14ac:dyDescent="0.2">
      <c r="B95" s="1" t="s">
        <v>161</v>
      </c>
      <c r="E95" s="2">
        <v>0</v>
      </c>
      <c r="F95" s="2">
        <v>0</v>
      </c>
      <c r="G95" s="2">
        <v>0</v>
      </c>
      <c r="H95" s="2">
        <v>0</v>
      </c>
      <c r="I95" s="2">
        <v>0</v>
      </c>
      <c r="J95" s="2">
        <v>0</v>
      </c>
      <c r="K95" s="2">
        <v>0</v>
      </c>
      <c r="L95" s="2">
        <v>0</v>
      </c>
      <c r="M95" s="2">
        <v>0</v>
      </c>
      <c r="N95" s="2">
        <v>0</v>
      </c>
      <c r="O95" s="2">
        <v>0</v>
      </c>
      <c r="P95" s="2">
        <v>0</v>
      </c>
      <c r="Q95" s="2">
        <v>0</v>
      </c>
      <c r="R95" s="16">
        <v>0.34</v>
      </c>
      <c r="S95" s="16">
        <v>0.34</v>
      </c>
      <c r="T95" s="16">
        <v>0.34</v>
      </c>
      <c r="U95" s="16">
        <v>0.34</v>
      </c>
      <c r="V95" s="16">
        <v>0.34</v>
      </c>
      <c r="W95" s="16">
        <v>0.34</v>
      </c>
      <c r="X95" s="16">
        <v>0.34</v>
      </c>
      <c r="Y95" s="16">
        <v>0.34</v>
      </c>
      <c r="Z95" s="16">
        <v>0.34</v>
      </c>
      <c r="AA95" s="16">
        <v>0.34</v>
      </c>
      <c r="AB95" s="16">
        <v>0.34</v>
      </c>
      <c r="AC95" s="16">
        <v>0.34</v>
      </c>
      <c r="AD95" s="16">
        <v>0.34</v>
      </c>
    </row>
    <row r="96" spans="2:30" ht="15" customHeight="1" x14ac:dyDescent="0.2">
      <c r="B96" s="1" t="s">
        <v>162</v>
      </c>
      <c r="E96" s="2">
        <v>0</v>
      </c>
      <c r="F96" s="2">
        <v>0</v>
      </c>
      <c r="G96" s="2">
        <v>0</v>
      </c>
      <c r="H96" s="2">
        <v>0</v>
      </c>
      <c r="I96" s="2">
        <v>0</v>
      </c>
      <c r="J96" s="2">
        <v>0</v>
      </c>
      <c r="K96" s="2">
        <v>0</v>
      </c>
      <c r="L96" s="2">
        <v>0</v>
      </c>
      <c r="M96" s="2">
        <v>0</v>
      </c>
      <c r="N96" s="2">
        <v>0</v>
      </c>
      <c r="O96" s="2">
        <v>0</v>
      </c>
      <c r="P96" s="2">
        <v>0</v>
      </c>
      <c r="Q96" s="2">
        <v>0</v>
      </c>
      <c r="R96" s="22">
        <v>561</v>
      </c>
      <c r="S96" s="22">
        <v>4368</v>
      </c>
      <c r="T96" s="2">
        <v>-254.19903340000019</v>
      </c>
      <c r="U96" s="2">
        <v>4877</v>
      </c>
      <c r="V96" s="2">
        <v>9552</v>
      </c>
      <c r="W96" s="22">
        <v>492</v>
      </c>
      <c r="X96" s="22">
        <v>2774</v>
      </c>
      <c r="Y96" s="22">
        <v>0</v>
      </c>
      <c r="Z96" s="22">
        <v>0</v>
      </c>
      <c r="AA96" s="2">
        <f>SUM(W96:Z96)</f>
        <v>3266</v>
      </c>
      <c r="AB96" s="22">
        <v>0</v>
      </c>
      <c r="AC96" s="22">
        <v>0</v>
      </c>
      <c r="AD96" s="22"/>
    </row>
    <row r="97" spans="2:30" ht="15" customHeight="1" x14ac:dyDescent="0.2">
      <c r="B97" s="7" t="s">
        <v>163</v>
      </c>
      <c r="E97" s="2">
        <v>0</v>
      </c>
      <c r="F97" s="2">
        <v>0</v>
      </c>
      <c r="G97" s="2">
        <v>0</v>
      </c>
      <c r="H97" s="2">
        <v>0</v>
      </c>
      <c r="I97" s="2">
        <v>0</v>
      </c>
      <c r="J97" s="2">
        <v>0</v>
      </c>
      <c r="K97" s="2">
        <v>0</v>
      </c>
      <c r="L97" s="2">
        <v>0</v>
      </c>
      <c r="M97" s="2">
        <v>0</v>
      </c>
      <c r="N97" s="2">
        <v>0</v>
      </c>
      <c r="O97" s="2">
        <v>0</v>
      </c>
      <c r="P97" s="2">
        <v>0</v>
      </c>
      <c r="Q97" s="2">
        <v>0</v>
      </c>
      <c r="R97" s="21">
        <f>R94+R96</f>
        <v>-33366</v>
      </c>
      <c r="S97" s="21">
        <f>S94+S96</f>
        <v>-25405</v>
      </c>
      <c r="T97" s="21">
        <f>T94+T96</f>
        <v>-21349.1990334</v>
      </c>
      <c r="U97" s="21">
        <f>U94+U96</f>
        <v>-26851</v>
      </c>
      <c r="V97" s="11">
        <f t="shared" ref="V97:AD97" si="29">V94+V96</f>
        <v>-106971</v>
      </c>
      <c r="W97" s="21">
        <f t="shared" si="29"/>
        <v>-28579</v>
      </c>
      <c r="X97" s="21">
        <f t="shared" si="29"/>
        <v>-31715</v>
      </c>
      <c r="Y97" s="21">
        <f t="shared" si="29"/>
        <v>-12891</v>
      </c>
      <c r="Z97" s="21">
        <f t="shared" si="29"/>
        <v>-48606</v>
      </c>
      <c r="AA97" s="11">
        <f t="shared" si="29"/>
        <v>-121791</v>
      </c>
      <c r="AB97" s="21">
        <f t="shared" si="29"/>
        <v>-37946</v>
      </c>
      <c r="AC97" s="21">
        <f t="shared" si="29"/>
        <v>-7614</v>
      </c>
      <c r="AD97" s="21">
        <f t="shared" si="29"/>
        <v>-25257</v>
      </c>
    </row>
    <row r="98" spans="2:30" ht="15" customHeight="1" x14ac:dyDescent="0.2">
      <c r="B98" s="1" t="s">
        <v>164</v>
      </c>
      <c r="E98" s="2">
        <v>0</v>
      </c>
      <c r="F98" s="2">
        <v>0</v>
      </c>
      <c r="G98" s="2">
        <v>0</v>
      </c>
      <c r="H98" s="2">
        <v>0</v>
      </c>
      <c r="I98" s="2">
        <v>0</v>
      </c>
      <c r="J98" s="2">
        <v>0</v>
      </c>
      <c r="K98" s="2">
        <v>0</v>
      </c>
      <c r="L98" s="2">
        <v>0</v>
      </c>
      <c r="M98" s="2">
        <v>0</v>
      </c>
      <c r="N98" s="2">
        <v>0</v>
      </c>
      <c r="O98" s="2">
        <v>0</v>
      </c>
      <c r="P98" s="2">
        <v>0</v>
      </c>
      <c r="Q98" s="2">
        <v>0</v>
      </c>
      <c r="R98" s="15">
        <f>-ROUND(R97/R92,3)</f>
        <v>0.33400000000000002</v>
      </c>
      <c r="S98" s="15">
        <v>0</v>
      </c>
      <c r="T98" s="15">
        <v>0.34399999999999997</v>
      </c>
      <c r="U98" s="15">
        <v>0.28799999999999998</v>
      </c>
      <c r="V98" s="15">
        <f t="shared" ref="V98:AD98" si="30">-ROUND(V97/V92,3)</f>
        <v>0.312</v>
      </c>
      <c r="W98" s="15">
        <f t="shared" si="30"/>
        <v>0.33400000000000002</v>
      </c>
      <c r="X98" s="15">
        <f t="shared" si="30"/>
        <v>0.313</v>
      </c>
      <c r="Y98" s="15">
        <f t="shared" si="30"/>
        <v>0.34</v>
      </c>
      <c r="Z98" s="15">
        <f t="shared" si="30"/>
        <v>0.34</v>
      </c>
      <c r="AA98" s="15">
        <f t="shared" si="30"/>
        <v>0.33</v>
      </c>
      <c r="AB98" s="15">
        <f t="shared" si="30"/>
        <v>0.34</v>
      </c>
      <c r="AC98" s="15">
        <f t="shared" si="30"/>
        <v>0.34</v>
      </c>
      <c r="AD98" s="15">
        <f t="shared" si="30"/>
        <v>0.34</v>
      </c>
    </row>
    <row r="99" spans="2:30" ht="15" customHeight="1" x14ac:dyDescent="0.2">
      <c r="B99" s="1" t="s">
        <v>165</v>
      </c>
      <c r="E99" s="2">
        <v>0</v>
      </c>
      <c r="F99" s="2">
        <v>0</v>
      </c>
      <c r="G99" s="2">
        <v>0</v>
      </c>
      <c r="H99" s="2">
        <v>0</v>
      </c>
      <c r="I99" s="2">
        <v>0</v>
      </c>
      <c r="J99" s="2">
        <v>0</v>
      </c>
      <c r="K99" s="2">
        <v>0</v>
      </c>
      <c r="L99" s="2">
        <v>0</v>
      </c>
      <c r="M99" s="2">
        <v>0</v>
      </c>
      <c r="N99" s="2">
        <v>0</v>
      </c>
      <c r="O99" s="2">
        <v>0</v>
      </c>
      <c r="P99" s="2">
        <v>0</v>
      </c>
      <c r="Q99" s="2">
        <v>0</v>
      </c>
      <c r="R99" s="22">
        <v>922</v>
      </c>
      <c r="S99" s="22">
        <v>923</v>
      </c>
      <c r="T99" s="2">
        <v>7434.4855064125622</v>
      </c>
      <c r="U99" s="2">
        <v>10721</v>
      </c>
      <c r="V99" s="2">
        <v>20000</v>
      </c>
      <c r="W99" s="22">
        <v>10838</v>
      </c>
      <c r="X99" s="22">
        <v>11096.829692696581</v>
      </c>
      <c r="Y99" s="22">
        <f>10867.4781531767-0.3</f>
        <v>10867.178153176701</v>
      </c>
      <c r="Z99" s="22">
        <v>11361</v>
      </c>
      <c r="AA99" s="2">
        <f>SUM(W99:Z99)</f>
        <v>44163.007845873282</v>
      </c>
      <c r="AB99" s="22">
        <v>11321.993074202226</v>
      </c>
      <c r="AC99" s="22">
        <v>15546.383284185333</v>
      </c>
      <c r="AD99" s="22">
        <v>17691.623641612441</v>
      </c>
    </row>
    <row r="100" spans="2:30" ht="15" customHeight="1" x14ac:dyDescent="0.2">
      <c r="B100" s="1" t="s">
        <v>166</v>
      </c>
      <c r="E100" s="2">
        <v>0</v>
      </c>
      <c r="F100" s="2">
        <v>0</v>
      </c>
      <c r="G100" s="2">
        <v>0</v>
      </c>
      <c r="H100" s="2">
        <v>0</v>
      </c>
      <c r="I100" s="2">
        <v>0</v>
      </c>
      <c r="J100" s="2">
        <v>0</v>
      </c>
      <c r="K100" s="2">
        <v>0</v>
      </c>
      <c r="L100" s="2">
        <v>0</v>
      </c>
      <c r="M100" s="2">
        <v>0</v>
      </c>
      <c r="N100" s="2">
        <v>0</v>
      </c>
      <c r="O100" s="2">
        <v>0</v>
      </c>
      <c r="P100" s="2">
        <v>0</v>
      </c>
      <c r="Q100" s="2">
        <v>0</v>
      </c>
      <c r="R100" s="22">
        <v>256</v>
      </c>
      <c r="S100" s="22">
        <v>2047</v>
      </c>
      <c r="T100" s="2">
        <v>-304.25684301253932</v>
      </c>
      <c r="U100" s="2">
        <v>-2407</v>
      </c>
      <c r="V100" s="2">
        <v>-408</v>
      </c>
      <c r="W100" s="22">
        <f>388</f>
        <v>388</v>
      </c>
      <c r="X100" s="22">
        <f>1287.34836190342+787</f>
        <v>2074.34836190342</v>
      </c>
      <c r="Y100" s="22">
        <f>-1763+2541</f>
        <v>778</v>
      </c>
      <c r="Z100" s="22">
        <v>8779</v>
      </c>
      <c r="AA100" s="2">
        <f>SUM(W100:Z100)</f>
        <v>12019.34836190342</v>
      </c>
      <c r="AB100" s="22">
        <v>4777.0764852535394</v>
      </c>
      <c r="AC100" s="22">
        <v>105.14925396686067</v>
      </c>
      <c r="AD100" s="22">
        <v>3180.7742607795999</v>
      </c>
    </row>
    <row r="101" spans="2:30" ht="15" customHeight="1" x14ac:dyDescent="0.2">
      <c r="B101" s="7" t="s">
        <v>167</v>
      </c>
      <c r="E101" s="2">
        <v>0</v>
      </c>
      <c r="F101" s="2">
        <v>0</v>
      </c>
      <c r="G101" s="2">
        <v>0</v>
      </c>
      <c r="H101" s="2">
        <v>0</v>
      </c>
      <c r="I101" s="2">
        <v>0</v>
      </c>
      <c r="J101" s="2">
        <v>0</v>
      </c>
      <c r="K101" s="2">
        <v>0</v>
      </c>
      <c r="L101" s="2">
        <v>0</v>
      </c>
      <c r="M101" s="2">
        <v>0</v>
      </c>
      <c r="N101" s="2">
        <v>0</v>
      </c>
      <c r="O101" s="2">
        <v>0</v>
      </c>
      <c r="P101" s="2">
        <v>0</v>
      </c>
      <c r="Q101" s="2">
        <v>0</v>
      </c>
      <c r="R101" s="21">
        <f>SUM(R97+R99+R100)</f>
        <v>-32188</v>
      </c>
      <c r="S101" s="21">
        <f>SUM(S97,S99:S100)</f>
        <v>-22435</v>
      </c>
      <c r="T101" s="21">
        <f>SUM(T97,T99:T100)</f>
        <v>-14218.970369999977</v>
      </c>
      <c r="U101" s="21">
        <f>SUM(U97,U99:U100)</f>
        <v>-18537</v>
      </c>
      <c r="V101" s="11">
        <f t="shared" ref="V101:AA101" si="31">SUM(V97+V99+V100)</f>
        <v>-87379</v>
      </c>
      <c r="W101" s="21">
        <f t="shared" si="31"/>
        <v>-17353</v>
      </c>
      <c r="X101" s="21">
        <f>SUM(X97+X99+X100)</f>
        <v>-18543.821945399999</v>
      </c>
      <c r="Y101" s="21">
        <f t="shared" si="31"/>
        <v>-1245.821846823299</v>
      </c>
      <c r="Z101" s="21">
        <f t="shared" si="31"/>
        <v>-28466</v>
      </c>
      <c r="AA101" s="11">
        <f t="shared" si="31"/>
        <v>-65608.643792223302</v>
      </c>
      <c r="AB101" s="21">
        <f>SUM(AB97+AB99+AB100)</f>
        <v>-21846.930440544234</v>
      </c>
      <c r="AC101" s="21">
        <f>SUM(AC97+AC99+AC100)</f>
        <v>8037.5325381521934</v>
      </c>
      <c r="AD101" s="21">
        <f>SUM(AD97+AD99+AD100)</f>
        <v>-4384.602097607959</v>
      </c>
    </row>
    <row r="102" spans="2:30" ht="15" customHeight="1" x14ac:dyDescent="0.2">
      <c r="B102" s="1" t="s">
        <v>168</v>
      </c>
      <c r="E102" s="2">
        <v>0</v>
      </c>
      <c r="F102" s="2">
        <v>0</v>
      </c>
      <c r="G102" s="2">
        <v>0</v>
      </c>
      <c r="H102" s="2">
        <v>0</v>
      </c>
      <c r="I102" s="2">
        <v>0</v>
      </c>
      <c r="J102" s="2">
        <v>0</v>
      </c>
      <c r="K102" s="2">
        <v>0</v>
      </c>
      <c r="L102" s="2">
        <v>0</v>
      </c>
      <c r="M102" s="2">
        <v>0</v>
      </c>
      <c r="N102" s="2">
        <v>0</v>
      </c>
      <c r="O102" s="2">
        <v>0</v>
      </c>
      <c r="P102" s="2">
        <v>0</v>
      </c>
      <c r="Q102" s="2">
        <v>0</v>
      </c>
      <c r="R102" s="15">
        <f>-ROUND(R101/R92,3)</f>
        <v>0.32300000000000001</v>
      </c>
      <c r="S102" s="15">
        <f>-ROUND(S101/S92,3)</f>
        <v>0.25600000000000001</v>
      </c>
      <c r="T102" s="15">
        <f>-ROUND(T101/T92,3)</f>
        <v>0.22900000000000001</v>
      </c>
      <c r="U102" s="15">
        <f>-ROUND(U101/U92,3)</f>
        <v>0.19900000000000001</v>
      </c>
      <c r="V102" s="15">
        <f t="shared" ref="V102:AA102" si="32">-ROUND(V101/V92,3)</f>
        <v>0.255</v>
      </c>
      <c r="W102" s="15">
        <f t="shared" si="32"/>
        <v>0.20300000000000001</v>
      </c>
      <c r="X102" s="15">
        <f t="shared" si="32"/>
        <v>0.183</v>
      </c>
      <c r="Y102" s="15">
        <f t="shared" si="32"/>
        <v>3.3000000000000002E-2</v>
      </c>
      <c r="Z102" s="15">
        <f t="shared" si="32"/>
        <v>0.19900000000000001</v>
      </c>
      <c r="AA102" s="15">
        <f t="shared" si="32"/>
        <v>0.17799999999999999</v>
      </c>
      <c r="AB102" s="15">
        <f>-ROUND(AB101/AB92,3)</f>
        <v>0.19600000000000001</v>
      </c>
      <c r="AC102" s="15">
        <f>-ROUND(AC101/AC92,3)</f>
        <v>-0.35899999999999999</v>
      </c>
      <c r="AD102" s="15">
        <f>-ROUND(AD101/AD92,3)</f>
        <v>5.8999999999999997E-2</v>
      </c>
    </row>
    <row r="106" spans="2:30" ht="15" customHeight="1" x14ac:dyDescent="0.2">
      <c r="W106" s="9"/>
      <c r="X106" s="9"/>
      <c r="Y106" s="9"/>
    </row>
  </sheetData>
  <pageMargins left="0.23622047244094491" right="0.23622047244094491" top="0.74803149606299213" bottom="0.74803149606299213" header="0.31496062992125984" footer="0.31496062992125984"/>
  <pageSetup paperSize="9" scale="74" orientation="landscape" r:id="rId1"/>
  <ignoredErrors>
    <ignoredError sqref="A1:Z6 AB1:XFD4 A31:Z31 A26:Y26 A92:Z93 A102:Z103 A100:V100 A99:Y99 A95:Z98 A94:X94 Z94 A108:Z1048576 A101:W101 Y101:Z101 A104:U107 Z104:Z107 AB6:XFD6 AE5:XFD5 AB51:XFD51 AB81:XFD81 AB93:XFD93 AB103:XFD1048576 AE31:XFD31 AC55:XFD55 A60:Z60 A41:Z51 A81:Z82 A71 C71:D71 A59:D59 AE92:XFD92 AE91:XFD91 AC25:XFD25 A27:Z28 A29 C29:Z29 A33:A34 C33:Y34 A55:D55 AF33:XFD34 AF41:XFD41 A14:A16 AE14:XFD16 A25:D25 C83:Z85 Z32:Z34 AB32:AB34 AA30 A7:A12 A21:Z23 A18:A20 AE18:XFD19 AE42:XFD42 AE59:XFD60 AE71:XFD71 AE83:XFD85 AE12:XFD12 AE26:XFD26 Z39:AB40 AD96:XFD96 C18:Z19 C7:Y9 C14:Z16 C10:Z12 C20:D20 C87:Z89 C86:V86 C90:Y91 A83:A91 AE21:XFD21 AE20:XFD20 AE22:XFD23 AE28:XFD29 AE27:XFD27 AE44:XFD46 AE43:XFD43 AE48:XFD48 AE47:XFD47 AE49:XFD50 AE82:XFD82 AE87:XFD90 AE86:XFD86 AE94:XFD94 AE95:XFD95 AE99:XFD100 AE97:XFD97 AE98:XFD98 AE101:XFD102 AE7:XFD11" formulaRange="1"/>
    <ignoredError sqref="AA87:AA1048576 AA60 AA81:AA85 AA18:AA19 AA14:AA15 AA26:AA29 AA41:AA51 AA31:AA34 AA1:AA12 AA21:AA23" formula="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62EAB-742C-4898-8AB4-5C4D160CDFDD}">
  <sheetPr>
    <tabColor rgb="FF0070C0"/>
  </sheetPr>
  <dimension ref="B2:W18"/>
  <sheetViews>
    <sheetView showGridLines="0" tabSelected="1" zoomScale="70" zoomScaleNormal="70" workbookViewId="0">
      <pane xSplit="3" ySplit="5" topLeftCell="D6" activePane="bottomRight" state="frozen"/>
      <selection pane="topRight" activeCell="D1" sqref="D1"/>
      <selection pane="bottomLeft" activeCell="A6" sqref="A6"/>
      <selection pane="bottomRight" activeCell="K18" sqref="K18"/>
    </sheetView>
  </sheetViews>
  <sheetFormatPr defaultColWidth="14.7109375" defaultRowHeight="15" customHeight="1" x14ac:dyDescent="0.2"/>
  <cols>
    <col min="1" max="1" width="2.85546875" style="1" customWidth="1"/>
    <col min="2" max="2" width="57.28515625" style="1" bestFit="1" customWidth="1"/>
    <col min="3" max="3" width="2.7109375" style="1" customWidth="1"/>
    <col min="4" max="16384" width="14.7109375" style="1"/>
  </cols>
  <sheetData>
    <row r="2" spans="2:23" ht="15" customHeight="1" x14ac:dyDescent="0.25">
      <c r="B2" s="8" t="s">
        <v>85</v>
      </c>
    </row>
    <row r="5" spans="2:23" s="32" customFormat="1" ht="15" customHeight="1" x14ac:dyDescent="0.2">
      <c r="D5" s="32">
        <v>2015</v>
      </c>
      <c r="E5" s="32">
        <v>2016</v>
      </c>
      <c r="F5" s="32">
        <v>2017</v>
      </c>
      <c r="G5" s="32">
        <v>2018</v>
      </c>
      <c r="H5" s="32">
        <v>2019</v>
      </c>
      <c r="I5" s="32">
        <v>2020</v>
      </c>
      <c r="J5" s="32">
        <v>2021</v>
      </c>
      <c r="K5" s="32">
        <v>2022</v>
      </c>
      <c r="V5" s="33"/>
      <c r="W5" s="33"/>
    </row>
    <row r="6" spans="2:23" ht="15" customHeight="1" x14ac:dyDescent="0.2">
      <c r="B6" s="7" t="s">
        <v>84</v>
      </c>
      <c r="D6" s="4">
        <v>377</v>
      </c>
      <c r="E6" s="4">
        <v>667</v>
      </c>
      <c r="F6" s="4">
        <v>835</v>
      </c>
      <c r="G6" s="4">
        <v>1140</v>
      </c>
      <c r="H6" s="4">
        <v>1464</v>
      </c>
      <c r="I6" s="4">
        <v>5414</v>
      </c>
      <c r="J6" s="4">
        <v>6119</v>
      </c>
      <c r="K6" s="4">
        <v>8056</v>
      </c>
      <c r="L6" s="9"/>
    </row>
    <row r="7" spans="2:23" ht="15" customHeight="1" x14ac:dyDescent="0.2">
      <c r="B7" s="7"/>
      <c r="D7" s="4"/>
      <c r="E7" s="4"/>
      <c r="F7" s="4"/>
      <c r="G7" s="4"/>
      <c r="H7" s="4"/>
      <c r="I7" s="4"/>
      <c r="J7" s="4"/>
    </row>
    <row r="8" spans="2:23" ht="15" customHeight="1" x14ac:dyDescent="0.2">
      <c r="B8" s="7" t="s">
        <v>145</v>
      </c>
      <c r="D8" s="3">
        <f>SUM(D9:D10)</f>
        <v>156011</v>
      </c>
      <c r="E8" s="3">
        <f t="shared" ref="E8:G8" si="0">SUM(E9:E10)</f>
        <v>265354</v>
      </c>
      <c r="F8" s="3">
        <f t="shared" si="0"/>
        <v>322031</v>
      </c>
      <c r="G8" s="3">
        <f t="shared" si="0"/>
        <v>405814</v>
      </c>
      <c r="H8" s="3">
        <f>SUM(H9:H10)</f>
        <v>498553</v>
      </c>
      <c r="I8" s="3">
        <f>SUM(I9:I10)</f>
        <v>1362141</v>
      </c>
      <c r="J8" s="3">
        <f>SUM(J9:J10)</f>
        <v>1785576</v>
      </c>
      <c r="K8" s="3">
        <f>SUM(K9:K10)</f>
        <v>2279025</v>
      </c>
    </row>
    <row r="9" spans="2:23" ht="15" customHeight="1" x14ac:dyDescent="0.2">
      <c r="B9" s="28" t="s">
        <v>82</v>
      </c>
      <c r="D9" s="2">
        <v>156011</v>
      </c>
      <c r="E9" s="2">
        <v>265354</v>
      </c>
      <c r="F9" s="2">
        <v>303950</v>
      </c>
      <c r="G9" s="2">
        <v>363824</v>
      </c>
      <c r="H9" s="2">
        <v>413678</v>
      </c>
      <c r="I9" s="2">
        <v>1131691</v>
      </c>
      <c r="J9" s="73">
        <v>1270463</v>
      </c>
      <c r="K9" s="74">
        <v>1614648</v>
      </c>
    </row>
    <row r="10" spans="2:23" ht="15" customHeight="1" x14ac:dyDescent="0.2">
      <c r="B10" s="28" t="s">
        <v>83</v>
      </c>
      <c r="D10" s="2">
        <v>0</v>
      </c>
      <c r="E10" s="2">
        <v>0</v>
      </c>
      <c r="F10" s="2">
        <v>18081</v>
      </c>
      <c r="G10" s="2">
        <v>41990</v>
      </c>
      <c r="H10" s="2">
        <v>84875</v>
      </c>
      <c r="I10" s="2">
        <v>230450</v>
      </c>
      <c r="J10" s="2">
        <v>515113</v>
      </c>
      <c r="K10" s="74">
        <v>664377</v>
      </c>
    </row>
    <row r="11" spans="2:23" ht="15" customHeight="1" x14ac:dyDescent="0.2">
      <c r="D11" s="2"/>
      <c r="E11" s="2"/>
      <c r="F11" s="2"/>
      <c r="G11" s="2"/>
      <c r="H11" s="2"/>
      <c r="I11" s="2"/>
      <c r="J11" s="2"/>
    </row>
    <row r="12" spans="2:23" ht="15" customHeight="1" x14ac:dyDescent="0.2">
      <c r="B12" s="7" t="s">
        <v>146</v>
      </c>
      <c r="D12" s="3">
        <f>SUM(D13:D14)</f>
        <v>94.7</v>
      </c>
      <c r="E12" s="3">
        <f t="shared" ref="E12:K12" si="1">SUM(E13:E14)</f>
        <v>165.1</v>
      </c>
      <c r="F12" s="3">
        <f t="shared" si="1"/>
        <v>229.29999999999998</v>
      </c>
      <c r="G12" s="3">
        <f t="shared" si="1"/>
        <v>322.2</v>
      </c>
      <c r="H12" s="3">
        <f t="shared" si="1"/>
        <v>440.9</v>
      </c>
      <c r="I12" s="3">
        <f t="shared" si="1"/>
        <v>1005.8</v>
      </c>
      <c r="J12" s="3">
        <f t="shared" si="1"/>
        <v>1163.4000000000001</v>
      </c>
      <c r="K12" s="3">
        <f t="shared" si="1"/>
        <v>1560</v>
      </c>
      <c r="L12" s="17"/>
    </row>
    <row r="13" spans="2:23" ht="15" customHeight="1" x14ac:dyDescent="0.2">
      <c r="B13" s="28" t="s">
        <v>82</v>
      </c>
      <c r="D13" s="2">
        <v>94.7</v>
      </c>
      <c r="E13" s="2">
        <v>165.1</v>
      </c>
      <c r="F13" s="2">
        <v>209.1</v>
      </c>
      <c r="G13" s="2">
        <v>275.7</v>
      </c>
      <c r="H13" s="2">
        <v>340.5</v>
      </c>
      <c r="I13" s="2">
        <v>803.6</v>
      </c>
      <c r="J13" s="2">
        <v>912.7</v>
      </c>
      <c r="K13" s="74">
        <v>1236.7</v>
      </c>
    </row>
    <row r="14" spans="2:23" ht="15" customHeight="1" x14ac:dyDescent="0.2">
      <c r="B14" s="28" t="s">
        <v>83</v>
      </c>
      <c r="D14" s="2">
        <v>0</v>
      </c>
      <c r="E14" s="2">
        <v>0</v>
      </c>
      <c r="F14" s="2">
        <v>20.2</v>
      </c>
      <c r="G14" s="2">
        <v>46.5</v>
      </c>
      <c r="H14" s="2">
        <v>100.4</v>
      </c>
      <c r="I14" s="2">
        <v>202.2</v>
      </c>
      <c r="J14" s="2">
        <v>250.7</v>
      </c>
      <c r="K14" s="74">
        <v>323.3</v>
      </c>
    </row>
    <row r="15" spans="2:23" ht="15" customHeight="1" x14ac:dyDescent="0.2">
      <c r="D15" s="2"/>
      <c r="E15" s="2"/>
      <c r="F15" s="2"/>
      <c r="G15" s="2"/>
      <c r="H15" s="2"/>
      <c r="I15" s="2"/>
      <c r="J15" s="2"/>
      <c r="K15" s="9"/>
    </row>
    <row r="16" spans="2:23" ht="15" customHeight="1" x14ac:dyDescent="0.2">
      <c r="B16" s="7" t="s">
        <v>276</v>
      </c>
      <c r="D16" s="3"/>
      <c r="E16" s="3"/>
      <c r="F16" s="3"/>
      <c r="G16" s="3"/>
      <c r="H16" s="3"/>
      <c r="I16" s="3">
        <f>SUM(I17:I18)</f>
        <v>961.7</v>
      </c>
      <c r="J16" s="3">
        <f>SUM(J17:J18)</f>
        <v>1057.2458623149971</v>
      </c>
      <c r="K16" s="3">
        <f>SUM(K17:K18)</f>
        <v>1561.3450951267532</v>
      </c>
      <c r="L16" s="75"/>
    </row>
    <row r="17" spans="2:12" ht="15" customHeight="1" x14ac:dyDescent="0.2">
      <c r="B17" s="28" t="s">
        <v>82</v>
      </c>
      <c r="D17" s="2"/>
      <c r="E17" s="2"/>
      <c r="F17" s="2"/>
      <c r="G17" s="2"/>
      <c r="H17" s="2"/>
      <c r="I17" s="2">
        <v>789.7</v>
      </c>
      <c r="J17" s="2">
        <v>841.89211323357904</v>
      </c>
      <c r="K17" s="74">
        <v>1236.7043198795604</v>
      </c>
      <c r="L17" s="75"/>
    </row>
    <row r="18" spans="2:12" ht="15" customHeight="1" x14ac:dyDescent="0.2">
      <c r="B18" s="28" t="s">
        <v>83</v>
      </c>
      <c r="D18" s="2"/>
      <c r="E18" s="2"/>
      <c r="F18" s="2"/>
      <c r="G18" s="2"/>
      <c r="H18" s="2"/>
      <c r="I18" s="2">
        <v>172</v>
      </c>
      <c r="J18" s="2">
        <v>215.35374908141799</v>
      </c>
      <c r="K18" s="74">
        <v>324.64077524719278</v>
      </c>
      <c r="L18" s="75"/>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Balance Sheet</vt:lpstr>
      <vt:lpstr>Income Statement</vt:lpstr>
      <vt:lpstr>EN Income Statement</vt:lpstr>
      <vt:lpstr>Core x Sup.</vt:lpstr>
      <vt:lpstr>Cash Flow Statement</vt:lpstr>
      <vt:lpstr>Non-GAAP Measures</vt:lpstr>
      <vt:lpstr>ACV Bookings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Mirele Mitie Matsuoka de Aragao</dc:creator>
  <cp:lastModifiedBy>Renata Lima Chagas de Oliveira</cp:lastModifiedBy>
  <cp:lastPrinted>2020-03-17T12:15:53Z</cp:lastPrinted>
  <dcterms:created xsi:type="dcterms:W3CDTF">2020-02-10T20:39:44Z</dcterms:created>
  <dcterms:modified xsi:type="dcterms:W3CDTF">2022-12-01T20:39:44Z</dcterms:modified>
</cp:coreProperties>
</file>